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tura_ventola_franch/Desktop/"/>
    </mc:Choice>
  </mc:AlternateContent>
  <xr:revisionPtr revIDLastSave="0" documentId="13_ncr:1_{ECB56689-55C9-1341-B1F9-A38D83B9A04D}" xr6:coauthVersionLast="47" xr6:coauthVersionMax="47" xr10:uidLastSave="{00000000-0000-0000-0000-000000000000}"/>
  <bookViews>
    <workbookView xWindow="6600" yWindow="500" windowWidth="29240" windowHeight="20340" xr2:uid="{6E1DB8F5-34DD-C24E-AE4F-8C8B089FB8BA}"/>
  </bookViews>
  <sheets>
    <sheet name="Cover" sheetId="1" r:id="rId1"/>
    <sheet name="Earnings" sheetId="13" r:id="rId2"/>
    <sheet name="Products" sheetId="11" r:id="rId3"/>
    <sheet name="Financial Statements" sheetId="7" r:id="rId4"/>
    <sheet name="Equity" sheetId="9" r:id="rId5"/>
    <sheet name="Cost of Capital" sheetId="6" r:id="rId6"/>
    <sheet name="Valuation (DCF) Model" sheetId="3" r:id="rId7"/>
    <sheet name="Multiple (Relative Methods)" sheetId="4" r:id="rId8"/>
    <sheet name="Financial Analysis" sheetId="2" r:id="rId9"/>
    <sheet name="Competitors Data" sheetId="15" state="hidden" r:id="rId10"/>
    <sheet name="Report Tables" sheetId="16" r:id="rId11"/>
    <sheet name="Report Graphs" sheetId="17" r:id="rId12"/>
  </sheets>
  <externalReferences>
    <externalReference r:id="rId13"/>
    <externalReference r:id="rId14"/>
  </externalReferences>
  <definedNames>
    <definedName name="_xlchart.v1.0" hidden="1">'Report Graphs'!$I$56:$N$56</definedName>
    <definedName name="_xlchart.v1.1" hidden="1">'Report Graphs'!$I$57:$N$57</definedName>
    <definedName name="ADR">[1]Inputs!$M$12</definedName>
    <definedName name="FX">[1]Inputs!$M$10</definedName>
    <definedName name="WACC">[1]Inputs!$Q$566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7" i="17" l="1"/>
  <c r="B156" i="17"/>
  <c r="B155" i="17"/>
  <c r="D24" i="16"/>
  <c r="E24" i="16"/>
  <c r="D25" i="16"/>
  <c r="E25" i="16"/>
  <c r="A22" i="16"/>
  <c r="B22" i="16"/>
  <c r="A23" i="16"/>
  <c r="B23" i="16"/>
  <c r="A24" i="16"/>
  <c r="B24" i="16"/>
  <c r="A25" i="16"/>
  <c r="B25" i="16"/>
  <c r="A26" i="16"/>
  <c r="B26" i="16"/>
  <c r="A27" i="16"/>
  <c r="B27" i="16"/>
  <c r="D21" i="16"/>
  <c r="D22" i="16"/>
  <c r="E22" i="16"/>
  <c r="D23" i="16"/>
  <c r="E23" i="16"/>
  <c r="A21" i="16"/>
  <c r="B109" i="17"/>
  <c r="C109" i="17"/>
  <c r="D109" i="17"/>
  <c r="E109" i="17"/>
  <c r="F109" i="17"/>
  <c r="G109" i="17"/>
  <c r="H109" i="17"/>
  <c r="I109" i="17"/>
  <c r="J109" i="17"/>
  <c r="K109" i="17"/>
  <c r="K108" i="17"/>
  <c r="J108" i="17"/>
  <c r="I108" i="17"/>
  <c r="H108" i="17"/>
  <c r="G108" i="17"/>
  <c r="F108" i="17"/>
  <c r="E108" i="17"/>
  <c r="D108" i="17"/>
  <c r="C108" i="17"/>
  <c r="B108" i="17"/>
  <c r="B193" i="17"/>
  <c r="B192" i="17"/>
  <c r="I189" i="17"/>
  <c r="A54" i="17"/>
  <c r="B54" i="17"/>
  <c r="A55" i="17"/>
  <c r="B55" i="17"/>
  <c r="A56" i="17"/>
  <c r="B56" i="17"/>
  <c r="A57" i="17"/>
  <c r="B57" i="17"/>
  <c r="A58" i="17"/>
  <c r="B58" i="17"/>
  <c r="A59" i="17"/>
  <c r="B59" i="17"/>
  <c r="A60" i="17"/>
  <c r="B60" i="17"/>
  <c r="A61" i="17"/>
  <c r="B61" i="17"/>
  <c r="A62" i="17"/>
  <c r="B62" i="17"/>
  <c r="DA9" i="11"/>
  <c r="DB9" i="11" s="1"/>
  <c r="U22" i="13" l="1"/>
  <c r="Z32" i="13"/>
  <c r="Z16" i="13"/>
  <c r="Z15" i="13"/>
  <c r="B133" i="17"/>
  <c r="CX500" i="11"/>
  <c r="B132" i="17"/>
  <c r="B131" i="17"/>
  <c r="A133" i="17"/>
  <c r="A132" i="17"/>
  <c r="A19" i="17" a="1"/>
  <c r="A19" i="17" s="1"/>
  <c r="H140" i="17"/>
  <c r="H141" i="17"/>
  <c r="H142" i="17"/>
  <c r="H143" i="17"/>
  <c r="H144" i="17"/>
  <c r="H145" i="17"/>
  <c r="H146" i="17"/>
  <c r="H139" i="17"/>
  <c r="H138" i="17"/>
  <c r="B98" i="17"/>
  <c r="B43" i="17" a="1"/>
  <c r="B43" i="17" s="1"/>
  <c r="B7" i="16"/>
  <c r="B6" i="16"/>
  <c r="B2" i="16" l="1"/>
  <c r="D18" i="3" l="1"/>
  <c r="C18" i="3"/>
  <c r="C25" i="3"/>
  <c r="F8" i="6"/>
  <c r="D8" i="6"/>
  <c r="L9" i="6"/>
  <c r="H11" i="3"/>
  <c r="C6" i="3"/>
  <c r="C8" i="3"/>
  <c r="C7" i="3"/>
  <c r="E7" i="3" s="1"/>
  <c r="C47" i="3"/>
  <c r="D7" i="3" l="1"/>
  <c r="F7" i="3"/>
  <c r="G7" i="3"/>
  <c r="C10" i="3"/>
  <c r="D10" i="3" l="1"/>
  <c r="F10" i="3"/>
  <c r="F11" i="3" s="1"/>
  <c r="G10" i="3"/>
  <c r="G11" i="3" s="1"/>
  <c r="E10" i="3"/>
  <c r="E11" i="3" s="1"/>
  <c r="D11" i="3"/>
  <c r="C36" i="3"/>
  <c r="B5" i="16" s="1"/>
  <c r="O34" i="7"/>
  <c r="E18" i="3" s="1"/>
  <c r="C20" i="4"/>
  <c r="H7" i="4"/>
  <c r="H8" i="4"/>
  <c r="H9" i="4"/>
  <c r="H10" i="4"/>
  <c r="H11" i="4"/>
  <c r="H12" i="4"/>
  <c r="H13" i="4"/>
  <c r="H14" i="4"/>
  <c r="H6" i="4"/>
  <c r="N14" i="4"/>
  <c r="N13" i="4"/>
  <c r="N12" i="4"/>
  <c r="N11" i="4"/>
  <c r="N10" i="4"/>
  <c r="N9" i="4"/>
  <c r="N8" i="4"/>
  <c r="N7" i="4"/>
  <c r="N6" i="4"/>
  <c r="K180" i="15"/>
  <c r="J180" i="15"/>
  <c r="I180" i="15"/>
  <c r="H180" i="15"/>
  <c r="G180" i="15"/>
  <c r="F180" i="15"/>
  <c r="E180" i="15"/>
  <c r="D180" i="15"/>
  <c r="C180" i="15"/>
  <c r="J14" i="4"/>
  <c r="J13" i="4"/>
  <c r="J12" i="4"/>
  <c r="J11" i="4"/>
  <c r="J10" i="4"/>
  <c r="J9" i="4"/>
  <c r="J8" i="4"/>
  <c r="J7" i="4"/>
  <c r="J6" i="4"/>
  <c r="C176" i="15"/>
  <c r="C175" i="15"/>
  <c r="C174" i="15"/>
  <c r="C173" i="15"/>
  <c r="C172" i="15"/>
  <c r="K171" i="15"/>
  <c r="J171" i="15"/>
  <c r="I171" i="15"/>
  <c r="H171" i="15"/>
  <c r="G171" i="15"/>
  <c r="F171" i="15"/>
  <c r="E171" i="15"/>
  <c r="D171" i="15"/>
  <c r="C171" i="15"/>
  <c r="K170" i="15"/>
  <c r="J170" i="15"/>
  <c r="I170" i="15"/>
  <c r="H170" i="15"/>
  <c r="G170" i="15"/>
  <c r="F170" i="15"/>
  <c r="E170" i="15"/>
  <c r="D170" i="15"/>
  <c r="C170" i="15"/>
  <c r="K169" i="15"/>
  <c r="J169" i="15"/>
  <c r="I169" i="15"/>
  <c r="H169" i="15"/>
  <c r="G169" i="15"/>
  <c r="F169" i="15"/>
  <c r="E169" i="15"/>
  <c r="D169" i="15"/>
  <c r="C169" i="15"/>
  <c r="K168" i="15"/>
  <c r="J168" i="15"/>
  <c r="I168" i="15"/>
  <c r="H168" i="15"/>
  <c r="G168" i="15"/>
  <c r="F168" i="15"/>
  <c r="E168" i="15"/>
  <c r="D168" i="15"/>
  <c r="C168" i="15"/>
  <c r="C167" i="15"/>
  <c r="K166" i="15"/>
  <c r="J166" i="15"/>
  <c r="I166" i="15"/>
  <c r="H166" i="15"/>
  <c r="G166" i="15"/>
  <c r="F166" i="15"/>
  <c r="E166" i="15"/>
  <c r="D166" i="15"/>
  <c r="C166" i="15"/>
  <c r="K165" i="15"/>
  <c r="J165" i="15"/>
  <c r="I165" i="15"/>
  <c r="H165" i="15"/>
  <c r="G165" i="15"/>
  <c r="F165" i="15"/>
  <c r="E165" i="15"/>
  <c r="D165" i="15"/>
  <c r="C165" i="15"/>
  <c r="K164" i="15"/>
  <c r="J164" i="15"/>
  <c r="I164" i="15"/>
  <c r="H164" i="15"/>
  <c r="G164" i="15"/>
  <c r="F164" i="15"/>
  <c r="E164" i="15"/>
  <c r="D164" i="15"/>
  <c r="C164" i="15"/>
  <c r="K163" i="15"/>
  <c r="J163" i="15"/>
  <c r="I163" i="15"/>
  <c r="H163" i="15"/>
  <c r="G163" i="15"/>
  <c r="F163" i="15"/>
  <c r="E163" i="15"/>
  <c r="D163" i="15"/>
  <c r="C163" i="15"/>
  <c r="K162" i="15"/>
  <c r="J162" i="15"/>
  <c r="I162" i="15"/>
  <c r="H162" i="15"/>
  <c r="G162" i="15"/>
  <c r="F162" i="15"/>
  <c r="E162" i="15"/>
  <c r="D162" i="15"/>
  <c r="C162" i="15"/>
  <c r="C161" i="15"/>
  <c r="K160" i="15"/>
  <c r="J160" i="15"/>
  <c r="I160" i="15"/>
  <c r="H160" i="15"/>
  <c r="G160" i="15"/>
  <c r="F160" i="15"/>
  <c r="E160" i="15"/>
  <c r="D160" i="15"/>
  <c r="C160" i="15"/>
  <c r="K159" i="15"/>
  <c r="J159" i="15"/>
  <c r="I159" i="15"/>
  <c r="H159" i="15"/>
  <c r="G159" i="15"/>
  <c r="F159" i="15"/>
  <c r="E159" i="15"/>
  <c r="D159" i="15"/>
  <c r="C159" i="15"/>
  <c r="K158" i="15"/>
  <c r="J158" i="15"/>
  <c r="I158" i="15"/>
  <c r="H158" i="15"/>
  <c r="G158" i="15"/>
  <c r="F158" i="15"/>
  <c r="E158" i="15"/>
  <c r="D158" i="15"/>
  <c r="C158" i="15"/>
  <c r="K157" i="15"/>
  <c r="J157" i="15"/>
  <c r="I157" i="15"/>
  <c r="H157" i="15"/>
  <c r="G157" i="15"/>
  <c r="F157" i="15"/>
  <c r="E157" i="15"/>
  <c r="D157" i="15"/>
  <c r="C157" i="15"/>
  <c r="K156" i="15"/>
  <c r="J156" i="15"/>
  <c r="I156" i="15"/>
  <c r="H156" i="15"/>
  <c r="G156" i="15"/>
  <c r="F156" i="15"/>
  <c r="E156" i="15"/>
  <c r="D156" i="15"/>
  <c r="C156" i="15"/>
  <c r="K155" i="15"/>
  <c r="J155" i="15"/>
  <c r="I155" i="15"/>
  <c r="H155" i="15"/>
  <c r="G155" i="15"/>
  <c r="F155" i="15"/>
  <c r="E155" i="15"/>
  <c r="D155" i="15"/>
  <c r="C155" i="15"/>
  <c r="K154" i="15"/>
  <c r="J154" i="15"/>
  <c r="I154" i="15"/>
  <c r="H154" i="15"/>
  <c r="G154" i="15"/>
  <c r="F154" i="15"/>
  <c r="E154" i="15"/>
  <c r="D154" i="15"/>
  <c r="C154" i="15"/>
  <c r="K153" i="15"/>
  <c r="J153" i="15"/>
  <c r="I153" i="15"/>
  <c r="H153" i="15"/>
  <c r="G153" i="15"/>
  <c r="F153" i="15"/>
  <c r="E153" i="15"/>
  <c r="D153" i="15"/>
  <c r="C153" i="15"/>
  <c r="K152" i="15"/>
  <c r="J152" i="15"/>
  <c r="I152" i="15"/>
  <c r="H152" i="15"/>
  <c r="G152" i="15"/>
  <c r="F152" i="15"/>
  <c r="E152" i="15"/>
  <c r="D152" i="15"/>
  <c r="C152" i="15"/>
  <c r="K151" i="15"/>
  <c r="J151" i="15"/>
  <c r="I151" i="15"/>
  <c r="H151" i="15"/>
  <c r="G151" i="15"/>
  <c r="F151" i="15"/>
  <c r="E151" i="15"/>
  <c r="D151" i="15"/>
  <c r="C151" i="15"/>
  <c r="K150" i="15"/>
  <c r="J150" i="15"/>
  <c r="I150" i="15"/>
  <c r="H150" i="15"/>
  <c r="G150" i="15"/>
  <c r="F150" i="15"/>
  <c r="E150" i="15"/>
  <c r="D150" i="15"/>
  <c r="C150" i="15"/>
  <c r="C149" i="15"/>
  <c r="C148" i="15"/>
  <c r="K147" i="15"/>
  <c r="J147" i="15"/>
  <c r="I147" i="15"/>
  <c r="H147" i="15"/>
  <c r="G147" i="15"/>
  <c r="F147" i="15"/>
  <c r="E147" i="15"/>
  <c r="D147" i="15"/>
  <c r="C147" i="15"/>
  <c r="K146" i="15"/>
  <c r="J146" i="15"/>
  <c r="I146" i="15"/>
  <c r="H146" i="15"/>
  <c r="G146" i="15"/>
  <c r="F146" i="15"/>
  <c r="E146" i="15"/>
  <c r="D146" i="15"/>
  <c r="C146" i="15"/>
  <c r="K145" i="15"/>
  <c r="J145" i="15"/>
  <c r="I145" i="15"/>
  <c r="H145" i="15"/>
  <c r="G145" i="15"/>
  <c r="F145" i="15"/>
  <c r="E145" i="15"/>
  <c r="D145" i="15"/>
  <c r="C145" i="15"/>
  <c r="K144" i="15"/>
  <c r="J144" i="15"/>
  <c r="I144" i="15"/>
  <c r="H144" i="15"/>
  <c r="G144" i="15"/>
  <c r="F144" i="15"/>
  <c r="E144" i="15"/>
  <c r="D144" i="15"/>
  <c r="C144" i="15"/>
  <c r="K143" i="15"/>
  <c r="J143" i="15"/>
  <c r="I143" i="15"/>
  <c r="H143" i="15"/>
  <c r="G143" i="15"/>
  <c r="F143" i="15"/>
  <c r="E143" i="15"/>
  <c r="D143" i="15"/>
  <c r="C143" i="15"/>
  <c r="C142" i="15"/>
  <c r="C141" i="15"/>
  <c r="K140" i="15"/>
  <c r="J140" i="15"/>
  <c r="I140" i="15"/>
  <c r="H140" i="15"/>
  <c r="G140" i="15"/>
  <c r="F140" i="15"/>
  <c r="E140" i="15"/>
  <c r="D140" i="15"/>
  <c r="C140" i="15"/>
  <c r="K139" i="15"/>
  <c r="J139" i="15"/>
  <c r="I139" i="15"/>
  <c r="H139" i="15"/>
  <c r="G139" i="15"/>
  <c r="F139" i="15"/>
  <c r="E139" i="15"/>
  <c r="D139" i="15"/>
  <c r="C139" i="15"/>
  <c r="K138" i="15"/>
  <c r="J138" i="15"/>
  <c r="I138" i="15"/>
  <c r="H138" i="15"/>
  <c r="G138" i="15"/>
  <c r="F138" i="15"/>
  <c r="E138" i="15"/>
  <c r="D138" i="15"/>
  <c r="C138" i="15"/>
  <c r="K137" i="15"/>
  <c r="J137" i="15"/>
  <c r="I137" i="15"/>
  <c r="H137" i="15"/>
  <c r="G137" i="15"/>
  <c r="F137" i="15"/>
  <c r="E137" i="15"/>
  <c r="D137" i="15"/>
  <c r="C137" i="15"/>
  <c r="V136" i="15"/>
  <c r="U136" i="15"/>
  <c r="T136" i="15"/>
  <c r="S136" i="15"/>
  <c r="R136" i="15"/>
  <c r="Q136" i="15"/>
  <c r="P136" i="15"/>
  <c r="O136" i="15"/>
  <c r="N136" i="15"/>
  <c r="M136" i="15"/>
  <c r="E136" i="15" s="1"/>
  <c r="K136" i="15"/>
  <c r="J136" i="15"/>
  <c r="C136" i="15"/>
  <c r="V135" i="15"/>
  <c r="U135" i="15"/>
  <c r="T135" i="15"/>
  <c r="S135" i="15"/>
  <c r="R135" i="15"/>
  <c r="Q135" i="15"/>
  <c r="P135" i="15"/>
  <c r="O135" i="15"/>
  <c r="N135" i="15"/>
  <c r="M135" i="15"/>
  <c r="H135" i="15" s="1"/>
  <c r="K135" i="15"/>
  <c r="C135" i="15"/>
  <c r="K134" i="15"/>
  <c r="J134" i="15"/>
  <c r="I134" i="15"/>
  <c r="H134" i="15"/>
  <c r="G134" i="15"/>
  <c r="F134" i="15"/>
  <c r="E134" i="15"/>
  <c r="D134" i="15"/>
  <c r="C134" i="15"/>
  <c r="C133" i="15"/>
  <c r="K132" i="15"/>
  <c r="J132" i="15"/>
  <c r="I132" i="15"/>
  <c r="H132" i="15"/>
  <c r="G132" i="15"/>
  <c r="F132" i="15"/>
  <c r="E132" i="15"/>
  <c r="D132" i="15"/>
  <c r="C132" i="15"/>
  <c r="K131" i="15"/>
  <c r="J131" i="15"/>
  <c r="I131" i="15"/>
  <c r="H131" i="15"/>
  <c r="G131" i="15"/>
  <c r="F131" i="15"/>
  <c r="E131" i="15"/>
  <c r="D131" i="15"/>
  <c r="C131" i="15"/>
  <c r="K130" i="15"/>
  <c r="J130" i="15"/>
  <c r="I130" i="15"/>
  <c r="H130" i="15"/>
  <c r="G130" i="15"/>
  <c r="F130" i="15"/>
  <c r="E130" i="15"/>
  <c r="D130" i="15"/>
  <c r="C130" i="15"/>
  <c r="K129" i="15"/>
  <c r="J129" i="15"/>
  <c r="I129" i="15"/>
  <c r="H129" i="15"/>
  <c r="G129" i="15"/>
  <c r="F129" i="15"/>
  <c r="E129" i="15"/>
  <c r="D129" i="15"/>
  <c r="C129" i="15"/>
  <c r="K128" i="15"/>
  <c r="J128" i="15"/>
  <c r="I128" i="15"/>
  <c r="H128" i="15"/>
  <c r="G128" i="15"/>
  <c r="F128" i="15"/>
  <c r="E128" i="15"/>
  <c r="D128" i="15"/>
  <c r="C128" i="15"/>
  <c r="K127" i="15"/>
  <c r="J127" i="15"/>
  <c r="I127" i="15"/>
  <c r="H127" i="15"/>
  <c r="G127" i="15"/>
  <c r="F127" i="15"/>
  <c r="E127" i="15"/>
  <c r="D127" i="15"/>
  <c r="C127" i="15"/>
  <c r="K126" i="15"/>
  <c r="J126" i="15"/>
  <c r="I126" i="15"/>
  <c r="H126" i="15"/>
  <c r="G126" i="15"/>
  <c r="F126" i="15"/>
  <c r="E126" i="15"/>
  <c r="D126" i="15"/>
  <c r="C126" i="15"/>
  <c r="K125" i="15"/>
  <c r="J125" i="15"/>
  <c r="I125" i="15"/>
  <c r="H125" i="15"/>
  <c r="G125" i="15"/>
  <c r="F125" i="15"/>
  <c r="E125" i="15"/>
  <c r="D125" i="15"/>
  <c r="C125" i="15"/>
  <c r="K124" i="15"/>
  <c r="J124" i="15"/>
  <c r="I124" i="15"/>
  <c r="H124" i="15"/>
  <c r="G124" i="15"/>
  <c r="F124" i="15"/>
  <c r="E124" i="15"/>
  <c r="D124" i="15"/>
  <c r="C124" i="15"/>
  <c r="K123" i="15"/>
  <c r="J123" i="15"/>
  <c r="I123" i="15"/>
  <c r="H123" i="15"/>
  <c r="G123" i="15"/>
  <c r="F123" i="15"/>
  <c r="E123" i="15"/>
  <c r="D123" i="15"/>
  <c r="C123" i="15"/>
  <c r="C122" i="15"/>
  <c r="K121" i="15"/>
  <c r="J121" i="15"/>
  <c r="I121" i="15"/>
  <c r="H121" i="15"/>
  <c r="G121" i="15"/>
  <c r="F121" i="15"/>
  <c r="E121" i="15"/>
  <c r="D121" i="15"/>
  <c r="C121" i="15"/>
  <c r="K120" i="15"/>
  <c r="J120" i="15"/>
  <c r="I120" i="15"/>
  <c r="H120" i="15"/>
  <c r="G120" i="15"/>
  <c r="F120" i="15"/>
  <c r="E120" i="15"/>
  <c r="D120" i="15"/>
  <c r="C120" i="15"/>
  <c r="K119" i="15"/>
  <c r="J119" i="15"/>
  <c r="I119" i="15"/>
  <c r="H119" i="15"/>
  <c r="G119" i="15"/>
  <c r="F119" i="15"/>
  <c r="E119" i="15"/>
  <c r="D119" i="15"/>
  <c r="C119" i="15"/>
  <c r="K118" i="15"/>
  <c r="J118" i="15"/>
  <c r="I118" i="15"/>
  <c r="H118" i="15"/>
  <c r="G118" i="15"/>
  <c r="F118" i="15"/>
  <c r="E118" i="15"/>
  <c r="D118" i="15"/>
  <c r="C118" i="15"/>
  <c r="K117" i="15"/>
  <c r="J117" i="15"/>
  <c r="I117" i="15"/>
  <c r="H117" i="15"/>
  <c r="G117" i="15"/>
  <c r="F117" i="15"/>
  <c r="E117" i="15"/>
  <c r="D117" i="15"/>
  <c r="C117" i="15"/>
  <c r="K116" i="15"/>
  <c r="J116" i="15"/>
  <c r="I116" i="15"/>
  <c r="H116" i="15"/>
  <c r="G116" i="15"/>
  <c r="F116" i="15"/>
  <c r="E116" i="15"/>
  <c r="D116" i="15"/>
  <c r="C116" i="15"/>
  <c r="K115" i="15"/>
  <c r="J115" i="15"/>
  <c r="I115" i="15"/>
  <c r="H115" i="15"/>
  <c r="G115" i="15"/>
  <c r="F115" i="15"/>
  <c r="E115" i="15"/>
  <c r="D115" i="15"/>
  <c r="C115" i="15"/>
  <c r="K114" i="15"/>
  <c r="J114" i="15"/>
  <c r="I114" i="15"/>
  <c r="H114" i="15"/>
  <c r="G114" i="15"/>
  <c r="F114" i="15"/>
  <c r="E114" i="15"/>
  <c r="D114" i="15"/>
  <c r="C114" i="15"/>
  <c r="K113" i="15"/>
  <c r="J113" i="15"/>
  <c r="I113" i="15"/>
  <c r="H113" i="15"/>
  <c r="G113" i="15"/>
  <c r="F113" i="15"/>
  <c r="E113" i="15"/>
  <c r="D113" i="15"/>
  <c r="C113" i="15"/>
  <c r="K112" i="15"/>
  <c r="J112" i="15"/>
  <c r="I112" i="15"/>
  <c r="H112" i="15"/>
  <c r="G112" i="15"/>
  <c r="F112" i="15"/>
  <c r="E112" i="15"/>
  <c r="D112" i="15"/>
  <c r="C112" i="15"/>
  <c r="K111" i="15"/>
  <c r="J111" i="15"/>
  <c r="I111" i="15"/>
  <c r="H111" i="15"/>
  <c r="G111" i="15"/>
  <c r="F111" i="15"/>
  <c r="E111" i="15"/>
  <c r="D111" i="15"/>
  <c r="C111" i="15"/>
  <c r="K110" i="15"/>
  <c r="J110" i="15"/>
  <c r="I110" i="15"/>
  <c r="H110" i="15"/>
  <c r="G110" i="15"/>
  <c r="F110" i="15"/>
  <c r="E110" i="15"/>
  <c r="D110" i="15"/>
  <c r="C110" i="15"/>
  <c r="C109" i="15"/>
  <c r="C108" i="15"/>
  <c r="K107" i="15"/>
  <c r="J107" i="15"/>
  <c r="I107" i="15"/>
  <c r="H107" i="15"/>
  <c r="G107" i="15"/>
  <c r="F107" i="15"/>
  <c r="E107" i="15"/>
  <c r="D107" i="15"/>
  <c r="C107" i="15"/>
  <c r="K106" i="15"/>
  <c r="J106" i="15"/>
  <c r="I106" i="15"/>
  <c r="H106" i="15"/>
  <c r="G106" i="15"/>
  <c r="F106" i="15"/>
  <c r="E106" i="15"/>
  <c r="D106" i="15"/>
  <c r="C106" i="15"/>
  <c r="K105" i="15"/>
  <c r="J105" i="15"/>
  <c r="I105" i="15"/>
  <c r="H105" i="15"/>
  <c r="G105" i="15"/>
  <c r="F105" i="15"/>
  <c r="E105" i="15"/>
  <c r="D105" i="15"/>
  <c r="C105" i="15"/>
  <c r="K104" i="15"/>
  <c r="J104" i="15"/>
  <c r="I104" i="15"/>
  <c r="H104" i="15"/>
  <c r="G104" i="15"/>
  <c r="F104" i="15"/>
  <c r="E104" i="15"/>
  <c r="D104" i="15"/>
  <c r="C104" i="15"/>
  <c r="K103" i="15"/>
  <c r="J103" i="15"/>
  <c r="I103" i="15"/>
  <c r="H103" i="15"/>
  <c r="G103" i="15"/>
  <c r="F103" i="15"/>
  <c r="E103" i="15"/>
  <c r="D103" i="15"/>
  <c r="C103" i="15"/>
  <c r="V102" i="15"/>
  <c r="U102" i="15"/>
  <c r="T102" i="15"/>
  <c r="S102" i="15"/>
  <c r="R102" i="15"/>
  <c r="Q102" i="15"/>
  <c r="P102" i="15"/>
  <c r="O102" i="15"/>
  <c r="N102" i="15"/>
  <c r="M102" i="15"/>
  <c r="C102" i="15"/>
  <c r="K101" i="15"/>
  <c r="J101" i="15"/>
  <c r="I101" i="15"/>
  <c r="H101" i="15"/>
  <c r="G101" i="15"/>
  <c r="F101" i="15"/>
  <c r="E101" i="15"/>
  <c r="D101" i="15"/>
  <c r="C101" i="15"/>
  <c r="K100" i="15"/>
  <c r="J100" i="15"/>
  <c r="I100" i="15"/>
  <c r="H100" i="15"/>
  <c r="G100" i="15"/>
  <c r="F100" i="15"/>
  <c r="E100" i="15"/>
  <c r="D100" i="15"/>
  <c r="C100" i="15"/>
  <c r="K99" i="15"/>
  <c r="J99" i="15"/>
  <c r="I99" i="15"/>
  <c r="H99" i="15"/>
  <c r="G99" i="15"/>
  <c r="F99" i="15"/>
  <c r="E99" i="15"/>
  <c r="D99" i="15"/>
  <c r="C99" i="15"/>
  <c r="V98" i="15"/>
  <c r="U98" i="15"/>
  <c r="T98" i="15"/>
  <c r="S98" i="15"/>
  <c r="R98" i="15"/>
  <c r="Q98" i="15"/>
  <c r="P98" i="15"/>
  <c r="O98" i="15"/>
  <c r="N98" i="15"/>
  <c r="M98" i="15"/>
  <c r="K98" i="15" s="1"/>
  <c r="C98" i="15"/>
  <c r="K97" i="15"/>
  <c r="J97" i="15"/>
  <c r="I97" i="15"/>
  <c r="H97" i="15"/>
  <c r="G97" i="15"/>
  <c r="F97" i="15"/>
  <c r="E97" i="15"/>
  <c r="D97" i="15"/>
  <c r="C97" i="15"/>
  <c r="K96" i="15"/>
  <c r="J96" i="15"/>
  <c r="I96" i="15"/>
  <c r="H96" i="15"/>
  <c r="G96" i="15"/>
  <c r="F96" i="15"/>
  <c r="E96" i="15"/>
  <c r="D96" i="15"/>
  <c r="C96" i="15"/>
  <c r="K95" i="15"/>
  <c r="J95" i="15"/>
  <c r="I95" i="15"/>
  <c r="H95" i="15"/>
  <c r="G95" i="15"/>
  <c r="F95" i="15"/>
  <c r="E95" i="15"/>
  <c r="D95" i="15"/>
  <c r="C95" i="15"/>
  <c r="K94" i="15"/>
  <c r="J94" i="15"/>
  <c r="I94" i="15"/>
  <c r="H94" i="15"/>
  <c r="G94" i="15"/>
  <c r="F94" i="15"/>
  <c r="E94" i="15"/>
  <c r="D94" i="15"/>
  <c r="C94" i="15"/>
  <c r="K93" i="15"/>
  <c r="J93" i="15"/>
  <c r="I93" i="15"/>
  <c r="H93" i="15"/>
  <c r="G93" i="15"/>
  <c r="F93" i="15"/>
  <c r="E93" i="15"/>
  <c r="D93" i="15"/>
  <c r="C93" i="15"/>
  <c r="V92" i="15"/>
  <c r="U92" i="15"/>
  <c r="T92" i="15"/>
  <c r="S92" i="15"/>
  <c r="R92" i="15"/>
  <c r="Q92" i="15"/>
  <c r="P92" i="15"/>
  <c r="O92" i="15"/>
  <c r="N92" i="15"/>
  <c r="M92" i="15"/>
  <c r="K92" i="15"/>
  <c r="J92" i="15"/>
  <c r="C92" i="15"/>
  <c r="K91" i="15"/>
  <c r="J91" i="15"/>
  <c r="I91" i="15"/>
  <c r="H91" i="15"/>
  <c r="G91" i="15"/>
  <c r="F91" i="15"/>
  <c r="E91" i="15"/>
  <c r="D91" i="15"/>
  <c r="C91" i="15"/>
  <c r="K90" i="15"/>
  <c r="J90" i="15"/>
  <c r="I90" i="15"/>
  <c r="H90" i="15"/>
  <c r="G90" i="15"/>
  <c r="F90" i="15"/>
  <c r="E90" i="15"/>
  <c r="D90" i="15"/>
  <c r="C90" i="15"/>
  <c r="K89" i="15"/>
  <c r="J89" i="15"/>
  <c r="I89" i="15"/>
  <c r="H89" i="15"/>
  <c r="G89" i="15"/>
  <c r="F89" i="15"/>
  <c r="E89" i="15"/>
  <c r="D89" i="15"/>
  <c r="C89" i="15"/>
  <c r="K88" i="15"/>
  <c r="J88" i="15"/>
  <c r="I88" i="15"/>
  <c r="H88" i="15"/>
  <c r="G88" i="15"/>
  <c r="F88" i="15"/>
  <c r="E88" i="15"/>
  <c r="D88" i="15"/>
  <c r="C88" i="15"/>
  <c r="K87" i="15"/>
  <c r="J87" i="15"/>
  <c r="I87" i="15"/>
  <c r="H87" i="15"/>
  <c r="G87" i="15"/>
  <c r="F87" i="15"/>
  <c r="E87" i="15"/>
  <c r="D87" i="15"/>
  <c r="C87" i="15"/>
  <c r="K86" i="15"/>
  <c r="J86" i="15"/>
  <c r="I86" i="15"/>
  <c r="H86" i="15"/>
  <c r="G86" i="15"/>
  <c r="F86" i="15"/>
  <c r="E86" i="15"/>
  <c r="D86" i="15"/>
  <c r="C86" i="15"/>
  <c r="K85" i="15"/>
  <c r="J85" i="15"/>
  <c r="I85" i="15"/>
  <c r="H85" i="15"/>
  <c r="G85" i="15"/>
  <c r="F85" i="15"/>
  <c r="E85" i="15"/>
  <c r="D85" i="15"/>
  <c r="C85" i="15"/>
  <c r="K84" i="15"/>
  <c r="J84" i="15"/>
  <c r="I84" i="15"/>
  <c r="H84" i="15"/>
  <c r="G84" i="15"/>
  <c r="F84" i="15"/>
  <c r="E84" i="15"/>
  <c r="D84" i="15"/>
  <c r="C84" i="15"/>
  <c r="K83" i="15"/>
  <c r="J83" i="15"/>
  <c r="I83" i="15"/>
  <c r="H83" i="15"/>
  <c r="G83" i="15"/>
  <c r="F83" i="15"/>
  <c r="E83" i="15"/>
  <c r="D83" i="15"/>
  <c r="C83" i="15"/>
  <c r="K82" i="15"/>
  <c r="J82" i="15"/>
  <c r="I82" i="15"/>
  <c r="H82" i="15"/>
  <c r="G82" i="15"/>
  <c r="F82" i="15"/>
  <c r="E82" i="15"/>
  <c r="D82" i="15"/>
  <c r="C82" i="15"/>
  <c r="K81" i="15"/>
  <c r="J81" i="15"/>
  <c r="I81" i="15"/>
  <c r="H81" i="15"/>
  <c r="G81" i="15"/>
  <c r="F81" i="15"/>
  <c r="E81" i="15"/>
  <c r="D81" i="15"/>
  <c r="C81" i="15"/>
  <c r="K80" i="15"/>
  <c r="J80" i="15"/>
  <c r="I80" i="15"/>
  <c r="H80" i="15"/>
  <c r="G80" i="15"/>
  <c r="F80" i="15"/>
  <c r="E80" i="15"/>
  <c r="D80" i="15"/>
  <c r="C80" i="15"/>
  <c r="V79" i="15"/>
  <c r="U79" i="15"/>
  <c r="T79" i="15"/>
  <c r="S79" i="15"/>
  <c r="R79" i="15"/>
  <c r="Q79" i="15"/>
  <c r="P79" i="15"/>
  <c r="O79" i="15"/>
  <c r="N79" i="15"/>
  <c r="M79" i="15"/>
  <c r="K79" i="15" s="1"/>
  <c r="C79" i="15"/>
  <c r="K78" i="15"/>
  <c r="J78" i="15"/>
  <c r="I78" i="15"/>
  <c r="H78" i="15"/>
  <c r="G78" i="15"/>
  <c r="F78" i="15"/>
  <c r="E78" i="15"/>
  <c r="D78" i="15"/>
  <c r="C78" i="15"/>
  <c r="K77" i="15"/>
  <c r="J77" i="15"/>
  <c r="I77" i="15"/>
  <c r="H77" i="15"/>
  <c r="G77" i="15"/>
  <c r="F77" i="15"/>
  <c r="E77" i="15"/>
  <c r="D77" i="15"/>
  <c r="C77" i="15"/>
  <c r="K76" i="15"/>
  <c r="J76" i="15"/>
  <c r="I76" i="15"/>
  <c r="H76" i="15"/>
  <c r="G76" i="15"/>
  <c r="F76" i="15"/>
  <c r="E76" i="15"/>
  <c r="D76" i="15"/>
  <c r="C76" i="15"/>
  <c r="K75" i="15"/>
  <c r="J75" i="15"/>
  <c r="I75" i="15"/>
  <c r="H75" i="15"/>
  <c r="G75" i="15"/>
  <c r="F75" i="15"/>
  <c r="E75" i="15"/>
  <c r="D75" i="15"/>
  <c r="C75" i="15"/>
  <c r="K74" i="15"/>
  <c r="J74" i="15"/>
  <c r="I74" i="15"/>
  <c r="H74" i="15"/>
  <c r="G74" i="15"/>
  <c r="F74" i="15"/>
  <c r="E74" i="15"/>
  <c r="D74" i="15"/>
  <c r="C74" i="15"/>
  <c r="K73" i="15"/>
  <c r="J73" i="15"/>
  <c r="I73" i="15"/>
  <c r="H73" i="15"/>
  <c r="G73" i="15"/>
  <c r="F73" i="15"/>
  <c r="E73" i="15"/>
  <c r="D73" i="15"/>
  <c r="C73" i="15"/>
  <c r="K72" i="15"/>
  <c r="J72" i="15"/>
  <c r="I72" i="15"/>
  <c r="H72" i="15"/>
  <c r="G72" i="15"/>
  <c r="F72" i="15"/>
  <c r="E72" i="15"/>
  <c r="D72" i="15"/>
  <c r="C72" i="15"/>
  <c r="K71" i="15"/>
  <c r="J71" i="15"/>
  <c r="I71" i="15"/>
  <c r="H71" i="15"/>
  <c r="G71" i="15"/>
  <c r="F71" i="15"/>
  <c r="E71" i="15"/>
  <c r="D71" i="15"/>
  <c r="C71" i="15"/>
  <c r="K70" i="15"/>
  <c r="J70" i="15"/>
  <c r="I70" i="15"/>
  <c r="H70" i="15"/>
  <c r="G70" i="15"/>
  <c r="F70" i="15"/>
  <c r="E70" i="15"/>
  <c r="D70" i="15"/>
  <c r="C70" i="15"/>
  <c r="K69" i="15"/>
  <c r="J69" i="15"/>
  <c r="I69" i="15"/>
  <c r="H69" i="15"/>
  <c r="G69" i="15"/>
  <c r="F69" i="15"/>
  <c r="E69" i="15"/>
  <c r="D69" i="15"/>
  <c r="C69" i="15"/>
  <c r="K68" i="15"/>
  <c r="J68" i="15"/>
  <c r="I68" i="15"/>
  <c r="H68" i="15"/>
  <c r="G68" i="15"/>
  <c r="F68" i="15"/>
  <c r="E68" i="15"/>
  <c r="D68" i="15"/>
  <c r="C68" i="15"/>
  <c r="K67" i="15"/>
  <c r="J67" i="15"/>
  <c r="I67" i="15"/>
  <c r="H67" i="15"/>
  <c r="G67" i="15"/>
  <c r="F67" i="15"/>
  <c r="E67" i="15"/>
  <c r="D67" i="15"/>
  <c r="C67" i="15"/>
  <c r="K66" i="15"/>
  <c r="J66" i="15"/>
  <c r="I66" i="15"/>
  <c r="H66" i="15"/>
  <c r="G66" i="15"/>
  <c r="F66" i="15"/>
  <c r="E66" i="15"/>
  <c r="D66" i="15"/>
  <c r="C66" i="15"/>
  <c r="K65" i="15"/>
  <c r="J65" i="15"/>
  <c r="I65" i="15"/>
  <c r="H65" i="15"/>
  <c r="G65" i="15"/>
  <c r="F65" i="15"/>
  <c r="E65" i="15"/>
  <c r="D65" i="15"/>
  <c r="C65" i="15"/>
  <c r="K64" i="15"/>
  <c r="J64" i="15"/>
  <c r="I64" i="15"/>
  <c r="H64" i="15"/>
  <c r="G64" i="15"/>
  <c r="F64" i="15"/>
  <c r="E64" i="15"/>
  <c r="D64" i="15"/>
  <c r="C64" i="15"/>
  <c r="V63" i="15"/>
  <c r="U63" i="15"/>
  <c r="T63" i="15"/>
  <c r="S63" i="15"/>
  <c r="R63" i="15"/>
  <c r="Q63" i="15"/>
  <c r="P63" i="15"/>
  <c r="O63" i="15"/>
  <c r="N63" i="15"/>
  <c r="M63" i="15"/>
  <c r="C63" i="15"/>
  <c r="K62" i="15"/>
  <c r="J62" i="15"/>
  <c r="I62" i="15"/>
  <c r="H62" i="15"/>
  <c r="G62" i="15"/>
  <c r="F62" i="15"/>
  <c r="E62" i="15"/>
  <c r="D62" i="15"/>
  <c r="C62" i="15"/>
  <c r="K61" i="15"/>
  <c r="J61" i="15"/>
  <c r="I61" i="15"/>
  <c r="H61" i="15"/>
  <c r="G61" i="15"/>
  <c r="F61" i="15"/>
  <c r="E61" i="15"/>
  <c r="D61" i="15"/>
  <c r="C61" i="15"/>
  <c r="K60" i="15"/>
  <c r="J60" i="15"/>
  <c r="I60" i="15"/>
  <c r="H60" i="15"/>
  <c r="G60" i="15"/>
  <c r="F60" i="15"/>
  <c r="E60" i="15"/>
  <c r="D60" i="15"/>
  <c r="C60" i="15"/>
  <c r="K59" i="15"/>
  <c r="J59" i="15"/>
  <c r="I59" i="15"/>
  <c r="H59" i="15"/>
  <c r="G59" i="15"/>
  <c r="F59" i="15"/>
  <c r="E59" i="15"/>
  <c r="D59" i="15"/>
  <c r="C59" i="15"/>
  <c r="K58" i="15"/>
  <c r="J58" i="15"/>
  <c r="I58" i="15"/>
  <c r="H58" i="15"/>
  <c r="G58" i="15"/>
  <c r="F58" i="15"/>
  <c r="E58" i="15"/>
  <c r="D58" i="15"/>
  <c r="C58" i="15"/>
  <c r="V57" i="15"/>
  <c r="U57" i="15"/>
  <c r="T57" i="15"/>
  <c r="S57" i="15"/>
  <c r="R57" i="15"/>
  <c r="Q57" i="15"/>
  <c r="P57" i="15"/>
  <c r="O57" i="15"/>
  <c r="N57" i="15"/>
  <c r="M57" i="15"/>
  <c r="C57" i="15"/>
  <c r="K56" i="15"/>
  <c r="J56" i="15"/>
  <c r="I56" i="15"/>
  <c r="H56" i="15"/>
  <c r="G56" i="15"/>
  <c r="F56" i="15"/>
  <c r="E56" i="15"/>
  <c r="D56" i="15"/>
  <c r="C56" i="15"/>
  <c r="K55" i="15"/>
  <c r="J55" i="15"/>
  <c r="I55" i="15"/>
  <c r="H55" i="15"/>
  <c r="G55" i="15"/>
  <c r="F55" i="15"/>
  <c r="E55" i="15"/>
  <c r="D55" i="15"/>
  <c r="C55" i="15"/>
  <c r="K54" i="15"/>
  <c r="J54" i="15"/>
  <c r="I54" i="15"/>
  <c r="H54" i="15"/>
  <c r="G54" i="15"/>
  <c r="F54" i="15"/>
  <c r="E54" i="15"/>
  <c r="D54" i="15"/>
  <c r="C54" i="15"/>
  <c r="K53" i="15"/>
  <c r="J53" i="15"/>
  <c r="I53" i="15"/>
  <c r="H53" i="15"/>
  <c r="G53" i="15"/>
  <c r="F53" i="15"/>
  <c r="E53" i="15"/>
  <c r="D53" i="15"/>
  <c r="C53" i="15"/>
  <c r="V52" i="15"/>
  <c r="U52" i="15"/>
  <c r="T52" i="15"/>
  <c r="S52" i="15"/>
  <c r="R52" i="15"/>
  <c r="Q52" i="15"/>
  <c r="P52" i="15"/>
  <c r="O52" i="15"/>
  <c r="K52" i="15" s="1"/>
  <c r="N52" i="15"/>
  <c r="M52" i="15"/>
  <c r="C52" i="15"/>
  <c r="K51" i="15"/>
  <c r="J51" i="15"/>
  <c r="I51" i="15"/>
  <c r="H51" i="15"/>
  <c r="G51" i="15"/>
  <c r="F51" i="15"/>
  <c r="E51" i="15"/>
  <c r="D51" i="15"/>
  <c r="C51" i="15"/>
  <c r="K50" i="15"/>
  <c r="J50" i="15"/>
  <c r="I50" i="15"/>
  <c r="H50" i="15"/>
  <c r="G50" i="15"/>
  <c r="F50" i="15"/>
  <c r="E50" i="15"/>
  <c r="D50" i="15"/>
  <c r="C50" i="15"/>
  <c r="V49" i="15"/>
  <c r="U49" i="15"/>
  <c r="T49" i="15"/>
  <c r="S49" i="15"/>
  <c r="R49" i="15"/>
  <c r="Q49" i="15"/>
  <c r="P49" i="15"/>
  <c r="O49" i="15"/>
  <c r="N49" i="15"/>
  <c r="M49" i="15"/>
  <c r="C49" i="15"/>
  <c r="K48" i="15"/>
  <c r="J48" i="15"/>
  <c r="I48" i="15"/>
  <c r="H48" i="15"/>
  <c r="G48" i="15"/>
  <c r="F48" i="15"/>
  <c r="E48" i="15"/>
  <c r="D48" i="15"/>
  <c r="C48" i="15"/>
  <c r="K47" i="15"/>
  <c r="J47" i="15"/>
  <c r="I47" i="15"/>
  <c r="H47" i="15"/>
  <c r="G47" i="15"/>
  <c r="F47" i="15"/>
  <c r="E47" i="15"/>
  <c r="D47" i="15"/>
  <c r="C47" i="15"/>
  <c r="K46" i="15"/>
  <c r="J46" i="15"/>
  <c r="I46" i="15"/>
  <c r="H46" i="15"/>
  <c r="G46" i="15"/>
  <c r="F46" i="15"/>
  <c r="E46" i="15"/>
  <c r="D46" i="15"/>
  <c r="C46" i="15"/>
  <c r="K45" i="15"/>
  <c r="J45" i="15"/>
  <c r="I45" i="15"/>
  <c r="H45" i="15"/>
  <c r="G45" i="15"/>
  <c r="F45" i="15"/>
  <c r="E45" i="15"/>
  <c r="D45" i="15"/>
  <c r="C45" i="15"/>
  <c r="V44" i="15"/>
  <c r="U44" i="15"/>
  <c r="T44" i="15"/>
  <c r="S44" i="15"/>
  <c r="R44" i="15"/>
  <c r="Q44" i="15"/>
  <c r="P44" i="15"/>
  <c r="O44" i="15"/>
  <c r="N44" i="15"/>
  <c r="M44" i="15"/>
  <c r="E44" i="15" s="1"/>
  <c r="C44" i="15"/>
  <c r="K43" i="15"/>
  <c r="J43" i="15"/>
  <c r="I43" i="15"/>
  <c r="H43" i="15"/>
  <c r="G43" i="15"/>
  <c r="F43" i="15"/>
  <c r="E43" i="15"/>
  <c r="D43" i="15"/>
  <c r="C43" i="15"/>
  <c r="K42" i="15"/>
  <c r="J42" i="15"/>
  <c r="I42" i="15"/>
  <c r="H42" i="15"/>
  <c r="G42" i="15"/>
  <c r="F42" i="15"/>
  <c r="E42" i="15"/>
  <c r="D42" i="15"/>
  <c r="C42" i="15"/>
  <c r="K41" i="15"/>
  <c r="J41" i="15"/>
  <c r="I41" i="15"/>
  <c r="H41" i="15"/>
  <c r="G41" i="15"/>
  <c r="F41" i="15"/>
  <c r="E41" i="15"/>
  <c r="D41" i="15"/>
  <c r="C41" i="15"/>
  <c r="V40" i="15"/>
  <c r="U40" i="15"/>
  <c r="T40" i="15"/>
  <c r="S40" i="15"/>
  <c r="R40" i="15"/>
  <c r="Q40" i="15"/>
  <c r="P40" i="15"/>
  <c r="O40" i="15"/>
  <c r="N40" i="15"/>
  <c r="M40" i="15"/>
  <c r="K40" i="15" s="1"/>
  <c r="C40" i="15"/>
  <c r="V39" i="15"/>
  <c r="U39" i="15"/>
  <c r="T39" i="15"/>
  <c r="G39" i="15" s="1"/>
  <c r="S39" i="15"/>
  <c r="R39" i="15"/>
  <c r="Q39" i="15"/>
  <c r="P39" i="15"/>
  <c r="O39" i="15"/>
  <c r="N39" i="15"/>
  <c r="M39" i="15"/>
  <c r="K39" i="15" s="1"/>
  <c r="C39" i="15"/>
  <c r="V38" i="15"/>
  <c r="U38" i="15"/>
  <c r="T38" i="15"/>
  <c r="S38" i="15"/>
  <c r="R38" i="15"/>
  <c r="Q38" i="15"/>
  <c r="P38" i="15"/>
  <c r="O38" i="15"/>
  <c r="N38" i="15"/>
  <c r="M38" i="15"/>
  <c r="K38" i="15" s="1"/>
  <c r="C38" i="15"/>
  <c r="K37" i="15"/>
  <c r="J37" i="15"/>
  <c r="I37" i="15"/>
  <c r="H37" i="15"/>
  <c r="G37" i="15"/>
  <c r="F37" i="15"/>
  <c r="E37" i="15"/>
  <c r="D37" i="15"/>
  <c r="C37" i="15"/>
  <c r="K36" i="15"/>
  <c r="J36" i="15"/>
  <c r="I36" i="15"/>
  <c r="H36" i="15"/>
  <c r="G36" i="15"/>
  <c r="F36" i="15"/>
  <c r="E36" i="15"/>
  <c r="D36" i="15"/>
  <c r="C36" i="15"/>
  <c r="K35" i="15"/>
  <c r="J35" i="15"/>
  <c r="I35" i="15"/>
  <c r="H35" i="15"/>
  <c r="G35" i="15"/>
  <c r="F35" i="15"/>
  <c r="E35" i="15"/>
  <c r="D35" i="15"/>
  <c r="C35" i="15"/>
  <c r="K34" i="15"/>
  <c r="J34" i="15"/>
  <c r="I34" i="15"/>
  <c r="H34" i="15"/>
  <c r="G34" i="15"/>
  <c r="F34" i="15"/>
  <c r="E34" i="15"/>
  <c r="D34" i="15"/>
  <c r="C34" i="15"/>
  <c r="K33" i="15"/>
  <c r="J33" i="15"/>
  <c r="I33" i="15"/>
  <c r="H33" i="15"/>
  <c r="G33" i="15"/>
  <c r="F33" i="15"/>
  <c r="E33" i="15"/>
  <c r="D33" i="15"/>
  <c r="C33" i="15"/>
  <c r="V32" i="15"/>
  <c r="U32" i="15"/>
  <c r="T32" i="15"/>
  <c r="S32" i="15"/>
  <c r="R32" i="15"/>
  <c r="Q32" i="15"/>
  <c r="P32" i="15"/>
  <c r="O32" i="15"/>
  <c r="N32" i="15"/>
  <c r="M32" i="15"/>
  <c r="K32" i="15" s="1"/>
  <c r="C32" i="15"/>
  <c r="K31" i="15"/>
  <c r="J31" i="15"/>
  <c r="I31" i="15"/>
  <c r="H31" i="15"/>
  <c r="G31" i="15"/>
  <c r="F31" i="15"/>
  <c r="E31" i="15"/>
  <c r="D31" i="15"/>
  <c r="C31" i="15"/>
  <c r="K30" i="15"/>
  <c r="J30" i="15"/>
  <c r="I30" i="15"/>
  <c r="H30" i="15"/>
  <c r="G30" i="15"/>
  <c r="F30" i="15"/>
  <c r="E30" i="15"/>
  <c r="D30" i="15"/>
  <c r="C30" i="15"/>
  <c r="K29" i="15"/>
  <c r="J29" i="15"/>
  <c r="I29" i="15"/>
  <c r="H29" i="15"/>
  <c r="G29" i="15"/>
  <c r="F29" i="15"/>
  <c r="E29" i="15"/>
  <c r="D29" i="15"/>
  <c r="C29" i="15"/>
  <c r="V28" i="15"/>
  <c r="H28" i="15" s="1"/>
  <c r="U28" i="15"/>
  <c r="T28" i="15"/>
  <c r="S28" i="15"/>
  <c r="R28" i="15"/>
  <c r="Q28" i="15"/>
  <c r="P28" i="15"/>
  <c r="O28" i="15"/>
  <c r="N28" i="15"/>
  <c r="M28" i="15"/>
  <c r="C28" i="15"/>
  <c r="V27" i="15"/>
  <c r="U27" i="15"/>
  <c r="T27" i="15"/>
  <c r="S27" i="15"/>
  <c r="R27" i="15"/>
  <c r="Q27" i="15"/>
  <c r="P27" i="15"/>
  <c r="O27" i="15"/>
  <c r="N27" i="15"/>
  <c r="M27" i="15"/>
  <c r="K27" i="15" s="1"/>
  <c r="C27" i="15"/>
  <c r="K26" i="15"/>
  <c r="J26" i="15"/>
  <c r="I26" i="15"/>
  <c r="H26" i="15"/>
  <c r="G26" i="15"/>
  <c r="F26" i="15"/>
  <c r="E26" i="15"/>
  <c r="D26" i="15"/>
  <c r="C26" i="15"/>
  <c r="K25" i="15"/>
  <c r="J25" i="15"/>
  <c r="I25" i="15"/>
  <c r="H25" i="15"/>
  <c r="G25" i="15"/>
  <c r="F25" i="15"/>
  <c r="E25" i="15"/>
  <c r="D25" i="15"/>
  <c r="C25" i="15"/>
  <c r="K24" i="15"/>
  <c r="J24" i="15"/>
  <c r="I24" i="15"/>
  <c r="H24" i="15"/>
  <c r="G24" i="15"/>
  <c r="F24" i="15"/>
  <c r="E24" i="15"/>
  <c r="D24" i="15"/>
  <c r="C24" i="15"/>
  <c r="K23" i="15"/>
  <c r="J23" i="15"/>
  <c r="I23" i="15"/>
  <c r="H23" i="15"/>
  <c r="G23" i="15"/>
  <c r="F23" i="15"/>
  <c r="E23" i="15"/>
  <c r="D23" i="15"/>
  <c r="C23" i="15"/>
  <c r="K22" i="15"/>
  <c r="J22" i="15"/>
  <c r="I22" i="15"/>
  <c r="H22" i="15"/>
  <c r="G22" i="15"/>
  <c r="F22" i="15"/>
  <c r="E22" i="15"/>
  <c r="D22" i="15"/>
  <c r="C22" i="15"/>
  <c r="V21" i="15"/>
  <c r="U21" i="15"/>
  <c r="T21" i="15"/>
  <c r="S21" i="15"/>
  <c r="R21" i="15"/>
  <c r="Q21" i="15"/>
  <c r="P21" i="15"/>
  <c r="O21" i="15"/>
  <c r="N21" i="15"/>
  <c r="M21" i="15"/>
  <c r="K21" i="15" s="1"/>
  <c r="C21" i="15"/>
  <c r="V20" i="15"/>
  <c r="U20" i="15"/>
  <c r="T20" i="15"/>
  <c r="S20" i="15"/>
  <c r="R20" i="15"/>
  <c r="Q20" i="15"/>
  <c r="P20" i="15"/>
  <c r="O20" i="15"/>
  <c r="N20" i="15"/>
  <c r="M20" i="15"/>
  <c r="C20" i="15"/>
  <c r="K19" i="15"/>
  <c r="J19" i="15"/>
  <c r="I19" i="15"/>
  <c r="H19" i="15"/>
  <c r="G19" i="15"/>
  <c r="F19" i="15"/>
  <c r="E19" i="15"/>
  <c r="D19" i="15"/>
  <c r="C19" i="15"/>
  <c r="K18" i="15"/>
  <c r="J18" i="15"/>
  <c r="I18" i="15"/>
  <c r="H18" i="15"/>
  <c r="G18" i="15"/>
  <c r="F18" i="15"/>
  <c r="E18" i="15"/>
  <c r="D18" i="15"/>
  <c r="C18" i="15"/>
  <c r="K17" i="15"/>
  <c r="J17" i="15"/>
  <c r="I17" i="15"/>
  <c r="H17" i="15"/>
  <c r="G17" i="15"/>
  <c r="F17" i="15"/>
  <c r="E17" i="15"/>
  <c r="D17" i="15"/>
  <c r="C17" i="15"/>
  <c r="V16" i="15"/>
  <c r="U16" i="15"/>
  <c r="T16" i="15"/>
  <c r="S16" i="15"/>
  <c r="R16" i="15"/>
  <c r="Q16" i="15"/>
  <c r="P16" i="15"/>
  <c r="O16" i="15"/>
  <c r="N16" i="15"/>
  <c r="M16" i="15"/>
  <c r="C16" i="15"/>
  <c r="K15" i="15"/>
  <c r="J15" i="15"/>
  <c r="I15" i="15"/>
  <c r="H15" i="15"/>
  <c r="G15" i="15"/>
  <c r="F15" i="15"/>
  <c r="E15" i="15"/>
  <c r="D15" i="15"/>
  <c r="C15" i="15"/>
  <c r="K14" i="15"/>
  <c r="J14" i="15"/>
  <c r="I14" i="15"/>
  <c r="H14" i="15"/>
  <c r="G14" i="15"/>
  <c r="F14" i="15"/>
  <c r="E14" i="15"/>
  <c r="D14" i="15"/>
  <c r="C14" i="15"/>
  <c r="K13" i="15"/>
  <c r="J13" i="15"/>
  <c r="I13" i="15"/>
  <c r="H13" i="15"/>
  <c r="G13" i="15"/>
  <c r="F13" i="15"/>
  <c r="E13" i="15"/>
  <c r="D13" i="15"/>
  <c r="C13" i="15"/>
  <c r="V12" i="15"/>
  <c r="J12" i="15" s="1"/>
  <c r="U12" i="15"/>
  <c r="T12" i="15"/>
  <c r="S12" i="15"/>
  <c r="R12" i="15"/>
  <c r="Q12" i="15"/>
  <c r="P12" i="15"/>
  <c r="O12" i="15"/>
  <c r="N12" i="15"/>
  <c r="M12" i="15"/>
  <c r="C12" i="15"/>
  <c r="V11" i="15"/>
  <c r="U11" i="15"/>
  <c r="T11" i="15"/>
  <c r="S11" i="15"/>
  <c r="R11" i="15"/>
  <c r="Q11" i="15"/>
  <c r="P11" i="15"/>
  <c r="O11" i="15"/>
  <c r="N11" i="15"/>
  <c r="M11" i="15"/>
  <c r="C11" i="15"/>
  <c r="DL10" i="11"/>
  <c r="DN7" i="11"/>
  <c r="C22" i="4"/>
  <c r="C21" i="4"/>
  <c r="C18" i="4"/>
  <c r="L19" i="6"/>
  <c r="F16" i="4"/>
  <c r="F15" i="4"/>
  <c r="I16" i="4"/>
  <c r="I15" i="4"/>
  <c r="J16" i="4" l="1"/>
  <c r="C25" i="4"/>
  <c r="J15" i="4"/>
  <c r="K49" i="15"/>
  <c r="I92" i="15"/>
  <c r="K102" i="15"/>
  <c r="F57" i="15"/>
  <c r="I28" i="15"/>
  <c r="K63" i="15"/>
  <c r="K20" i="15"/>
  <c r="K12" i="15"/>
  <c r="K28" i="15"/>
  <c r="I39" i="15"/>
  <c r="I12" i="15"/>
  <c r="G28" i="15"/>
  <c r="J38" i="15"/>
  <c r="J39" i="15"/>
  <c r="I79" i="15"/>
  <c r="J27" i="15"/>
  <c r="J79" i="15"/>
  <c r="I38" i="15"/>
  <c r="F39" i="15"/>
  <c r="J28" i="15"/>
  <c r="K11" i="15"/>
  <c r="H79" i="15"/>
  <c r="F44" i="15"/>
  <c r="J11" i="15"/>
  <c r="G44" i="15"/>
  <c r="J98" i="15"/>
  <c r="F40" i="15"/>
  <c r="H44" i="15"/>
  <c r="J52" i="15"/>
  <c r="G63" i="15"/>
  <c r="F136" i="15"/>
  <c r="K16" i="15"/>
  <c r="J32" i="15"/>
  <c r="I44" i="15"/>
  <c r="I98" i="15"/>
  <c r="G136" i="15"/>
  <c r="H39" i="15"/>
  <c r="J44" i="15"/>
  <c r="I52" i="15"/>
  <c r="K57" i="15"/>
  <c r="I135" i="15"/>
  <c r="H136" i="15"/>
  <c r="J21" i="15"/>
  <c r="I32" i="15"/>
  <c r="K44" i="15"/>
  <c r="H49" i="15"/>
  <c r="J135" i="15"/>
  <c r="I136" i="15"/>
  <c r="D25" i="4"/>
  <c r="D57" i="15"/>
  <c r="H63" i="15"/>
  <c r="D20" i="15"/>
  <c r="J40" i="15"/>
  <c r="E49" i="15"/>
  <c r="I57" i="15"/>
  <c r="I63" i="15"/>
  <c r="F63" i="15"/>
  <c r="D11" i="15"/>
  <c r="E20" i="15"/>
  <c r="F49" i="15"/>
  <c r="J57" i="15"/>
  <c r="J63" i="15"/>
  <c r="E40" i="15"/>
  <c r="D49" i="15"/>
  <c r="E11" i="15"/>
  <c r="F20" i="15"/>
  <c r="G49" i="15"/>
  <c r="D102" i="15"/>
  <c r="D40" i="15"/>
  <c r="D16" i="15"/>
  <c r="F11" i="15"/>
  <c r="E16" i="15"/>
  <c r="G20" i="15"/>
  <c r="D21" i="15"/>
  <c r="D27" i="15"/>
  <c r="E102" i="15"/>
  <c r="G40" i="15"/>
  <c r="H40" i="15"/>
  <c r="H20" i="15"/>
  <c r="D32" i="15"/>
  <c r="D38" i="15"/>
  <c r="I49" i="15"/>
  <c r="D52" i="15"/>
  <c r="D92" i="15"/>
  <c r="D98" i="15"/>
  <c r="F102" i="15"/>
  <c r="G57" i="15"/>
  <c r="G11" i="15"/>
  <c r="E21" i="15"/>
  <c r="F27" i="15"/>
  <c r="E38" i="15"/>
  <c r="J49" i="15"/>
  <c r="E52" i="15"/>
  <c r="D79" i="15"/>
  <c r="E92" i="15"/>
  <c r="E98" i="15"/>
  <c r="G102" i="15"/>
  <c r="D135" i="15"/>
  <c r="E12" i="15"/>
  <c r="F21" i="15"/>
  <c r="F12" i="15"/>
  <c r="G21" i="15"/>
  <c r="F52" i="15"/>
  <c r="E79" i="15"/>
  <c r="F92" i="15"/>
  <c r="F98" i="15"/>
  <c r="H102" i="15"/>
  <c r="E135" i="15"/>
  <c r="H57" i="15"/>
  <c r="F16" i="15"/>
  <c r="I20" i="15"/>
  <c r="G27" i="15"/>
  <c r="F32" i="15"/>
  <c r="F38" i="15"/>
  <c r="G12" i="15"/>
  <c r="I16" i="15"/>
  <c r="H21" i="15"/>
  <c r="H27" i="15"/>
  <c r="F79" i="15"/>
  <c r="G92" i="15"/>
  <c r="G98" i="15"/>
  <c r="I102" i="15"/>
  <c r="F135" i="15"/>
  <c r="E57" i="15"/>
  <c r="E63" i="15"/>
  <c r="I40" i="15"/>
  <c r="D12" i="15"/>
  <c r="E32" i="15"/>
  <c r="J20" i="15"/>
  <c r="D28" i="15"/>
  <c r="E28" i="15"/>
  <c r="G32" i="15"/>
  <c r="G38" i="15"/>
  <c r="D39" i="15"/>
  <c r="G52" i="15"/>
  <c r="H12" i="15"/>
  <c r="J16" i="15"/>
  <c r="I21" i="15"/>
  <c r="I27" i="15"/>
  <c r="F28" i="15"/>
  <c r="H32" i="15"/>
  <c r="H38" i="15"/>
  <c r="E39" i="15"/>
  <c r="D44" i="15"/>
  <c r="H52" i="15"/>
  <c r="G79" i="15"/>
  <c r="H92" i="15"/>
  <c r="H98" i="15"/>
  <c r="J102" i="15"/>
  <c r="G135" i="15"/>
  <c r="D136" i="15"/>
  <c r="D63" i="15"/>
  <c r="E27" i="15"/>
  <c r="H11" i="15"/>
  <c r="G16" i="15"/>
  <c r="I11" i="15"/>
  <c r="H16" i="15"/>
  <c r="L15" i="4" l="1"/>
  <c r="CI100" i="11" l="1"/>
  <c r="CJ100" i="11"/>
  <c r="M15" i="4"/>
  <c r="N15" i="4"/>
  <c r="O15" i="4"/>
  <c r="M16" i="4"/>
  <c r="N16" i="4"/>
  <c r="O16" i="4"/>
  <c r="L16" i="4"/>
  <c r="G35" i="2"/>
  <c r="F35" i="2"/>
  <c r="D36" i="2"/>
  <c r="E36" i="2"/>
  <c r="F36" i="2"/>
  <c r="G36" i="2"/>
  <c r="D57" i="2"/>
  <c r="E57" i="2"/>
  <c r="F57" i="2"/>
  <c r="G57" i="2"/>
  <c r="F32" i="2"/>
  <c r="G32" i="2"/>
  <c r="D56" i="2"/>
  <c r="E56" i="2"/>
  <c r="F56" i="2"/>
  <c r="G56" i="2"/>
  <c r="D35" i="2"/>
  <c r="E35" i="2"/>
  <c r="G38" i="2"/>
  <c r="D31" i="2"/>
  <c r="D32" i="2" s="1"/>
  <c r="E31" i="2"/>
  <c r="E32" i="2" s="1"/>
  <c r="F31" i="2"/>
  <c r="G31" i="2"/>
  <c r="C56" i="2"/>
  <c r="C57" i="2" s="1"/>
  <c r="C35" i="2"/>
  <c r="C36" i="2" s="1"/>
  <c r="C58" i="2" s="1"/>
  <c r="C31" i="2"/>
  <c r="C32" i="2" s="1"/>
  <c r="C13" i="2"/>
  <c r="C7" i="2"/>
  <c r="C10" i="2"/>
  <c r="C6" i="2"/>
  <c r="C5" i="2"/>
  <c r="D58" i="2" l="1"/>
  <c r="F58" i="2"/>
  <c r="G58" i="2"/>
  <c r="E58" i="2"/>
  <c r="L16" i="6" l="1"/>
  <c r="L15" i="6"/>
  <c r="R169" i="7"/>
  <c r="Q169" i="7"/>
  <c r="P169" i="7"/>
  <c r="O169" i="7"/>
  <c r="N169" i="7"/>
  <c r="R168" i="7"/>
  <c r="Q168" i="7"/>
  <c r="P168" i="7"/>
  <c r="O168" i="7"/>
  <c r="N168" i="7"/>
  <c r="R167" i="7"/>
  <c r="Q167" i="7"/>
  <c r="P167" i="7"/>
  <c r="O167" i="7"/>
  <c r="N167" i="7"/>
  <c r="R165" i="7"/>
  <c r="R170" i="7" s="1"/>
  <c r="Q165" i="7"/>
  <c r="Q170" i="7" s="1"/>
  <c r="P165" i="7"/>
  <c r="P170" i="7" s="1"/>
  <c r="O165" i="7"/>
  <c r="O170" i="7" s="1"/>
  <c r="N165" i="7"/>
  <c r="N99" i="7" s="1"/>
  <c r="O99" i="7" s="1"/>
  <c r="P99" i="7" s="1"/>
  <c r="R146" i="7"/>
  <c r="Q146" i="7"/>
  <c r="P146" i="7"/>
  <c r="O146" i="7"/>
  <c r="N146" i="7"/>
  <c r="N116" i="7" s="1"/>
  <c r="O116" i="7" s="1"/>
  <c r="P116" i="7" s="1"/>
  <c r="Q116" i="7" s="1"/>
  <c r="R116" i="7" s="1"/>
  <c r="R144" i="7"/>
  <c r="Q144" i="7"/>
  <c r="P144" i="7"/>
  <c r="O144" i="7"/>
  <c r="N144" i="7"/>
  <c r="N100" i="7" s="1"/>
  <c r="R143" i="7"/>
  <c r="Q143" i="7"/>
  <c r="P143" i="7"/>
  <c r="O143" i="7"/>
  <c r="N143" i="7"/>
  <c r="O140" i="7"/>
  <c r="P140" i="7" s="1"/>
  <c r="Q140" i="7" s="1"/>
  <c r="R140" i="7" s="1"/>
  <c r="N126" i="7"/>
  <c r="O126" i="7" s="1"/>
  <c r="N124" i="7"/>
  <c r="N187" i="7" s="1"/>
  <c r="N120" i="7"/>
  <c r="O120" i="7" s="1"/>
  <c r="P120" i="7" s="1"/>
  <c r="Q120" i="7" s="1"/>
  <c r="R120" i="7" s="1"/>
  <c r="N119" i="7"/>
  <c r="O119" i="7" s="1"/>
  <c r="N115" i="7"/>
  <c r="O115" i="7" s="1"/>
  <c r="P115" i="7" s="1"/>
  <c r="Q115" i="7" s="1"/>
  <c r="R115" i="7" s="1"/>
  <c r="N114" i="7"/>
  <c r="N113" i="7"/>
  <c r="O113" i="7" s="1"/>
  <c r="N109" i="7"/>
  <c r="O109" i="7" s="1"/>
  <c r="P109" i="7" s="1"/>
  <c r="Q109" i="7" s="1"/>
  <c r="R109" i="7" s="1"/>
  <c r="N108" i="7"/>
  <c r="O108" i="7" s="1"/>
  <c r="N102" i="7"/>
  <c r="N101" i="7"/>
  <c r="O101" i="7" s="1"/>
  <c r="N95" i="7"/>
  <c r="O95" i="7" s="1"/>
  <c r="N94" i="7"/>
  <c r="O94" i="7" s="1"/>
  <c r="P94" i="7" s="1"/>
  <c r="Q94" i="7" s="1"/>
  <c r="N89" i="7"/>
  <c r="O89" i="7" s="1"/>
  <c r="O53" i="7"/>
  <c r="P53" i="7"/>
  <c r="Q53" i="7"/>
  <c r="Q177" i="7" s="1"/>
  <c r="Q179" i="7" s="1"/>
  <c r="R53" i="7"/>
  <c r="R177" i="7" s="1"/>
  <c r="R179" i="7" s="1"/>
  <c r="N53" i="7"/>
  <c r="N177" i="7" s="1"/>
  <c r="N179" i="7" s="1"/>
  <c r="O47" i="7"/>
  <c r="P47" i="7"/>
  <c r="Q47" i="7"/>
  <c r="R47" i="7"/>
  <c r="N47" i="7"/>
  <c r="O19" i="7"/>
  <c r="P19" i="7"/>
  <c r="Q19" i="7"/>
  <c r="R19" i="7"/>
  <c r="N19" i="7"/>
  <c r="N76" i="7"/>
  <c r="N48" i="7"/>
  <c r="O48" i="7" s="1"/>
  <c r="P48" i="7" s="1"/>
  <c r="Q48" i="7" s="1"/>
  <c r="R48" i="7" s="1"/>
  <c r="O36" i="7"/>
  <c r="P34" i="7"/>
  <c r="O21" i="7"/>
  <c r="E19" i="3" s="1"/>
  <c r="N21" i="7"/>
  <c r="D19" i="3" s="1"/>
  <c r="O177" i="7" l="1"/>
  <c r="O179" i="7" s="1"/>
  <c r="O100" i="7"/>
  <c r="P100" i="7" s="1"/>
  <c r="Q100" i="7" s="1"/>
  <c r="R100" i="7" s="1"/>
  <c r="P177" i="7"/>
  <c r="P179" i="7" s="1"/>
  <c r="N173" i="7"/>
  <c r="F18" i="3"/>
  <c r="N75" i="7"/>
  <c r="N180" i="7" s="1"/>
  <c r="Q99" i="7"/>
  <c r="R99" i="7" s="1"/>
  <c r="N145" i="7"/>
  <c r="N121" i="7"/>
  <c r="O121" i="7" s="1"/>
  <c r="P121" i="7" s="1"/>
  <c r="Q121" i="7" s="1"/>
  <c r="R121" i="7" s="1"/>
  <c r="N182" i="7"/>
  <c r="P101" i="7"/>
  <c r="Q101" i="7" s="1"/>
  <c r="R101" i="7" s="1"/>
  <c r="P126" i="7"/>
  <c r="P89" i="7"/>
  <c r="P172" i="7"/>
  <c r="P108" i="7"/>
  <c r="O181" i="7"/>
  <c r="O182" i="7"/>
  <c r="P113" i="7"/>
  <c r="P119" i="7"/>
  <c r="P95" i="7"/>
  <c r="R94" i="7"/>
  <c r="O124" i="7"/>
  <c r="N170" i="7"/>
  <c r="N181" i="7"/>
  <c r="N150" i="7"/>
  <c r="O150" i="7"/>
  <c r="N172" i="7"/>
  <c r="O172" i="7"/>
  <c r="O102" i="7"/>
  <c r="N123" i="7"/>
  <c r="O123" i="7" s="1"/>
  <c r="P123" i="7" s="1"/>
  <c r="Q123" i="7" s="1"/>
  <c r="R123" i="7" s="1"/>
  <c r="O114" i="7"/>
  <c r="P114" i="7" s="1"/>
  <c r="Q114" i="7" s="1"/>
  <c r="R114" i="7" s="1"/>
  <c r="P21" i="7"/>
  <c r="F19" i="3" s="1"/>
  <c r="O35" i="7"/>
  <c r="Q34" i="7"/>
  <c r="P36" i="7"/>
  <c r="G18" i="3" l="1"/>
  <c r="R145" i="7"/>
  <c r="Q108" i="7"/>
  <c r="P181" i="7"/>
  <c r="Q89" i="7"/>
  <c r="Q126" i="7"/>
  <c r="Q95" i="7"/>
  <c r="Q150" i="7"/>
  <c r="O187" i="7"/>
  <c r="P124" i="7"/>
  <c r="P182" i="7"/>
  <c r="Q113" i="7"/>
  <c r="P150" i="7"/>
  <c r="Q119" i="7"/>
  <c r="O173" i="7"/>
  <c r="P102" i="7"/>
  <c r="P173" i="7" s="1"/>
  <c r="P145" i="7"/>
  <c r="O145" i="7"/>
  <c r="Q145" i="7"/>
  <c r="P35" i="7"/>
  <c r="Q21" i="7"/>
  <c r="G19" i="3" s="1"/>
  <c r="R21" i="7"/>
  <c r="H19" i="3" s="1"/>
  <c r="R34" i="7"/>
  <c r="Q36" i="7"/>
  <c r="H18" i="3" l="1"/>
  <c r="Q102" i="7"/>
  <c r="Q173" i="7" s="1"/>
  <c r="R119" i="7"/>
  <c r="R95" i="7"/>
  <c r="R150" i="7" s="1"/>
  <c r="R126" i="7"/>
  <c r="R89" i="7"/>
  <c r="R172" i="7" s="1"/>
  <c r="Q172" i="7"/>
  <c r="R113" i="7"/>
  <c r="R182" i="7" s="1"/>
  <c r="Q182" i="7"/>
  <c r="Q181" i="7"/>
  <c r="R108" i="7"/>
  <c r="R181" i="7" s="1"/>
  <c r="Q124" i="7"/>
  <c r="P187" i="7"/>
  <c r="Q35" i="7"/>
  <c r="R36" i="7"/>
  <c r="Q187" i="7" l="1"/>
  <c r="R124" i="7"/>
  <c r="R187" i="7" s="1"/>
  <c r="R102" i="7"/>
  <c r="R173" i="7" s="1"/>
  <c r="R35" i="7"/>
  <c r="CV117" i="11" l="1"/>
  <c r="L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G6" i="9"/>
  <c r="G4" i="9"/>
  <c r="AE63" i="13"/>
  <c r="AD63" i="13"/>
  <c r="AC63" i="13"/>
  <c r="AB63" i="13"/>
  <c r="AA63" i="13"/>
  <c r="Z63" i="13"/>
  <c r="Y63" i="13"/>
  <c r="X63" i="13"/>
  <c r="W63" i="13"/>
  <c r="V63" i="13"/>
  <c r="U63" i="13"/>
  <c r="T63" i="13"/>
  <c r="S63" i="13"/>
  <c r="R63" i="13"/>
  <c r="Q63" i="13"/>
  <c r="P63" i="13"/>
  <c r="O63" i="13"/>
  <c r="N63" i="13"/>
  <c r="M63" i="13"/>
  <c r="L63" i="13"/>
  <c r="K63" i="13"/>
  <c r="J63" i="13"/>
  <c r="I63" i="13"/>
  <c r="H63" i="13"/>
  <c r="G63" i="13"/>
  <c r="AD60" i="13"/>
  <c r="AC60" i="13"/>
  <c r="AB60" i="13"/>
  <c r="Y60" i="13"/>
  <c r="X60" i="13"/>
  <c r="W60" i="13"/>
  <c r="T60" i="13"/>
  <c r="S60" i="13"/>
  <c r="R60" i="13"/>
  <c r="Q60" i="13"/>
  <c r="O60" i="13"/>
  <c r="M60" i="13"/>
  <c r="J60" i="13"/>
  <c r="H60" i="13"/>
  <c r="G60" i="13"/>
  <c r="AD59" i="13"/>
  <c r="AC59" i="13"/>
  <c r="AB59" i="13"/>
  <c r="Y59" i="13"/>
  <c r="X59" i="13"/>
  <c r="W59" i="13"/>
  <c r="V59" i="13"/>
  <c r="U59" i="13"/>
  <c r="T59" i="13"/>
  <c r="S59" i="13"/>
  <c r="R59" i="13"/>
  <c r="O59" i="13"/>
  <c r="M59" i="13"/>
  <c r="J59" i="13"/>
  <c r="H59" i="13"/>
  <c r="G59" i="13"/>
  <c r="AD57" i="13"/>
  <c r="AC57" i="13"/>
  <c r="AB57" i="13"/>
  <c r="Y57" i="13"/>
  <c r="X57" i="13"/>
  <c r="W57" i="13"/>
  <c r="T57" i="13"/>
  <c r="S57" i="13"/>
  <c r="R57" i="13"/>
  <c r="Q57" i="13"/>
  <c r="M57" i="13"/>
  <c r="L57" i="13"/>
  <c r="J57" i="13"/>
  <c r="I57" i="13"/>
  <c r="H57" i="13"/>
  <c r="G57" i="13"/>
  <c r="AF36" i="13"/>
  <c r="AG36" i="13" s="1"/>
  <c r="AI32" i="13"/>
  <c r="AH32" i="13"/>
  <c r="AG32" i="13"/>
  <c r="AF32" i="13"/>
  <c r="AJ32" i="13" s="1"/>
  <c r="AK32" i="13" s="1"/>
  <c r="AL32" i="13" s="1"/>
  <c r="AM32" i="13" s="1"/>
  <c r="AN32" i="13" s="1"/>
  <c r="AE32" i="13"/>
  <c r="Y32" i="13"/>
  <c r="U32" i="13"/>
  <c r="L32" i="13"/>
  <c r="P32" i="13" s="1"/>
  <c r="K32" i="13"/>
  <c r="AN31" i="13"/>
  <c r="AM31" i="13"/>
  <c r="AL31" i="13"/>
  <c r="AK31" i="13"/>
  <c r="AI31" i="13"/>
  <c r="AH31" i="13"/>
  <c r="AG31" i="13"/>
  <c r="AF31" i="13"/>
  <c r="J31" i="13"/>
  <c r="I31" i="13"/>
  <c r="AE30" i="13"/>
  <c r="Z30" i="13"/>
  <c r="V30" i="13"/>
  <c r="U30" i="13"/>
  <c r="L30" i="13"/>
  <c r="P30" i="13" s="1"/>
  <c r="I30" i="13"/>
  <c r="K30" i="13" s="1"/>
  <c r="AD27" i="13"/>
  <c r="AI27" i="13" s="1"/>
  <c r="AC27" i="13"/>
  <c r="AH27" i="13" s="1"/>
  <c r="AB27" i="13"/>
  <c r="AG27" i="13" s="1"/>
  <c r="AA27" i="13"/>
  <c r="AF27" i="13" s="1"/>
  <c r="X27" i="13"/>
  <c r="W27" i="13"/>
  <c r="V27" i="13"/>
  <c r="V28" i="13" s="1"/>
  <c r="T27" i="13"/>
  <c r="T28" i="13" s="1"/>
  <c r="S27" i="13"/>
  <c r="S28" i="13" s="1"/>
  <c r="R27" i="13"/>
  <c r="R28" i="13" s="1"/>
  <c r="Q27" i="13"/>
  <c r="U27" i="13" s="1"/>
  <c r="O27" i="13"/>
  <c r="O28" i="13" s="1"/>
  <c r="N27" i="13"/>
  <c r="M27" i="13"/>
  <c r="L27" i="13"/>
  <c r="P27" i="13" s="1"/>
  <c r="J27" i="13"/>
  <c r="J28" i="13" s="1"/>
  <c r="I27" i="13"/>
  <c r="I28" i="13" s="1"/>
  <c r="H27" i="13"/>
  <c r="G27" i="13"/>
  <c r="AD26" i="13"/>
  <c r="AI26" i="13" s="1"/>
  <c r="AC26" i="13"/>
  <c r="AH26" i="13" s="1"/>
  <c r="AB26" i="13"/>
  <c r="AG26" i="13" s="1"/>
  <c r="AA26" i="13"/>
  <c r="AF26" i="13" s="1"/>
  <c r="U26" i="13"/>
  <c r="O26" i="13"/>
  <c r="I26" i="13"/>
  <c r="H26" i="13"/>
  <c r="U25" i="13"/>
  <c r="P25" i="13"/>
  <c r="K25" i="13"/>
  <c r="J25" i="13"/>
  <c r="U24" i="13"/>
  <c r="P24" i="13"/>
  <c r="J24" i="13"/>
  <c r="AJ23" i="13"/>
  <c r="AI23" i="13" s="1"/>
  <c r="AE23" i="13"/>
  <c r="U23" i="13"/>
  <c r="P23" i="13"/>
  <c r="J23" i="13"/>
  <c r="AJ22" i="13"/>
  <c r="AI22" i="13" s="1"/>
  <c r="AE22" i="13"/>
  <c r="P22" i="13"/>
  <c r="J22" i="13"/>
  <c r="K22" i="13" s="1"/>
  <c r="P21" i="13"/>
  <c r="Q21" i="13" s="1"/>
  <c r="K21" i="13"/>
  <c r="AE19" i="13"/>
  <c r="AE60" i="13" s="1"/>
  <c r="Z19" i="13"/>
  <c r="Z60" i="13" s="1"/>
  <c r="V19" i="13"/>
  <c r="AA60" i="13" s="1"/>
  <c r="U19" i="13"/>
  <c r="L19" i="13"/>
  <c r="L60" i="13" s="1"/>
  <c r="I19" i="13"/>
  <c r="N60" i="13" s="1"/>
  <c r="AE18" i="13"/>
  <c r="V18" i="13"/>
  <c r="U18" i="13"/>
  <c r="P18" i="13"/>
  <c r="P59" i="13" s="1"/>
  <c r="L18" i="13"/>
  <c r="Q59" i="13" s="1"/>
  <c r="K18" i="13"/>
  <c r="K59" i="13" s="1"/>
  <c r="I18" i="13"/>
  <c r="N59" i="13" s="1"/>
  <c r="AE16" i="13"/>
  <c r="V16" i="13"/>
  <c r="V57" i="13" s="1"/>
  <c r="U16" i="13"/>
  <c r="L16" i="13"/>
  <c r="P16" i="13" s="1"/>
  <c r="P57" i="13" s="1"/>
  <c r="J16" i="13"/>
  <c r="O57" i="13" s="1"/>
  <c r="I16" i="13"/>
  <c r="K16" i="13" s="1"/>
  <c r="AN14" i="13"/>
  <c r="AM14" i="13"/>
  <c r="AL14" i="13"/>
  <c r="AK14" i="13"/>
  <c r="AJ14" i="13"/>
  <c r="AI14" i="13"/>
  <c r="AH14" i="13"/>
  <c r="AG14" i="13"/>
  <c r="AF14" i="13"/>
  <c r="AE14" i="13"/>
  <c r="AD14" i="13"/>
  <c r="AC14" i="13"/>
  <c r="AB14" i="13"/>
  <c r="AA14" i="13"/>
  <c r="Z14" i="13"/>
  <c r="Y14" i="13"/>
  <c r="X14" i="13"/>
  <c r="W14" i="13"/>
  <c r="AN13" i="13"/>
  <c r="AM13" i="13"/>
  <c r="AL13" i="13"/>
  <c r="AK13" i="13"/>
  <c r="AJ13" i="13"/>
  <c r="AI13" i="13"/>
  <c r="AH13" i="13"/>
  <c r="AG13" i="13"/>
  <c r="AF13" i="13"/>
  <c r="AE13" i="13"/>
  <c r="AD13" i="13"/>
  <c r="AC13" i="13"/>
  <c r="AB13" i="13"/>
  <c r="AA13" i="13"/>
  <c r="Z13" i="13"/>
  <c r="Y13" i="13"/>
  <c r="X13" i="13"/>
  <c r="W13" i="13"/>
  <c r="Q11" i="13"/>
  <c r="S10" i="13"/>
  <c r="L9" i="13"/>
  <c r="J9" i="13"/>
  <c r="I9" i="13"/>
  <c r="H9" i="13"/>
  <c r="G9" i="13"/>
  <c r="Z6" i="13"/>
  <c r="L187" i="7"/>
  <c r="M183" i="7"/>
  <c r="M185" i="7" s="1"/>
  <c r="L183" i="7"/>
  <c r="K183" i="7"/>
  <c r="J183" i="7"/>
  <c r="I183" i="7"/>
  <c r="I185" i="7" s="1"/>
  <c r="H183" i="7"/>
  <c r="H185" i="7" s="1"/>
  <c r="G183" i="7"/>
  <c r="F183" i="7"/>
  <c r="E183" i="7"/>
  <c r="D183" i="7"/>
  <c r="C183" i="7"/>
  <c r="L182" i="7"/>
  <c r="K182" i="7"/>
  <c r="J182" i="7"/>
  <c r="G182" i="7"/>
  <c r="F182" i="7"/>
  <c r="E182" i="7"/>
  <c r="D182" i="7"/>
  <c r="C182" i="7"/>
  <c r="G173" i="7"/>
  <c r="F173" i="7"/>
  <c r="E173" i="7"/>
  <c r="D173" i="7"/>
  <c r="C173" i="7"/>
  <c r="C175" i="7" s="1"/>
  <c r="M172" i="7"/>
  <c r="M175" i="7" s="1"/>
  <c r="L172" i="7"/>
  <c r="K172" i="7"/>
  <c r="J172" i="7"/>
  <c r="I172" i="7"/>
  <c r="I175" i="7" s="1"/>
  <c r="H172" i="7"/>
  <c r="H175" i="7" s="1"/>
  <c r="G172" i="7"/>
  <c r="F172" i="7"/>
  <c r="E172" i="7"/>
  <c r="D172" i="7"/>
  <c r="L160" i="7"/>
  <c r="K160" i="7"/>
  <c r="J160" i="7"/>
  <c r="G160" i="7"/>
  <c r="F160" i="7"/>
  <c r="E160" i="7"/>
  <c r="I159" i="7"/>
  <c r="H159" i="7"/>
  <c r="G159" i="7"/>
  <c r="F159" i="7"/>
  <c r="E159" i="7"/>
  <c r="D159" i="7"/>
  <c r="M158" i="7"/>
  <c r="K158" i="7"/>
  <c r="J158" i="7"/>
  <c r="I158" i="7"/>
  <c r="H158" i="7"/>
  <c r="G158" i="7"/>
  <c r="F158" i="7"/>
  <c r="E158" i="7"/>
  <c r="D158" i="7"/>
  <c r="C158" i="7"/>
  <c r="L157" i="7"/>
  <c r="L152" i="7"/>
  <c r="K152" i="7"/>
  <c r="J152" i="7"/>
  <c r="I152" i="7"/>
  <c r="H152" i="7"/>
  <c r="G152" i="7"/>
  <c r="F152" i="7"/>
  <c r="E152" i="7"/>
  <c r="D152" i="7"/>
  <c r="C152" i="7"/>
  <c r="C151" i="7"/>
  <c r="M146" i="7"/>
  <c r="L146" i="7"/>
  <c r="K146" i="7"/>
  <c r="J146" i="7"/>
  <c r="I146" i="7"/>
  <c r="H146" i="7"/>
  <c r="G146" i="7"/>
  <c r="F146" i="7"/>
  <c r="E146" i="7"/>
  <c r="D146" i="7"/>
  <c r="C146" i="7"/>
  <c r="M142" i="7"/>
  <c r="N142" i="7" s="1"/>
  <c r="L142" i="7"/>
  <c r="K142" i="7"/>
  <c r="J142" i="7"/>
  <c r="I142" i="7"/>
  <c r="H142" i="7"/>
  <c r="G142" i="7"/>
  <c r="F142" i="7"/>
  <c r="E142" i="7"/>
  <c r="D142" i="7"/>
  <c r="C142" i="7"/>
  <c r="J140" i="7"/>
  <c r="I140" i="7"/>
  <c r="H140" i="7"/>
  <c r="G140" i="7"/>
  <c r="F140" i="7"/>
  <c r="E140" i="7"/>
  <c r="D140" i="7"/>
  <c r="I139" i="7"/>
  <c r="H139" i="7"/>
  <c r="G139" i="7"/>
  <c r="F139" i="7"/>
  <c r="E139" i="7"/>
  <c r="D139" i="7"/>
  <c r="M138" i="7"/>
  <c r="L138" i="7"/>
  <c r="K138" i="7"/>
  <c r="J138" i="7"/>
  <c r="I138" i="7"/>
  <c r="H138" i="7"/>
  <c r="G138" i="7"/>
  <c r="F138" i="7"/>
  <c r="E138" i="7"/>
  <c r="D138" i="7"/>
  <c r="C138" i="7"/>
  <c r="M125" i="7"/>
  <c r="L125" i="7"/>
  <c r="L127" i="7" s="1"/>
  <c r="K125" i="7"/>
  <c r="K127" i="7" s="1"/>
  <c r="J125" i="7"/>
  <c r="J127" i="7" s="1"/>
  <c r="I125" i="7"/>
  <c r="I127" i="7" s="1"/>
  <c r="H125" i="7"/>
  <c r="H127" i="7" s="1"/>
  <c r="G125" i="7"/>
  <c r="G127" i="7" s="1"/>
  <c r="F125" i="7"/>
  <c r="F127" i="7" s="1"/>
  <c r="E125" i="7"/>
  <c r="E127" i="7" s="1"/>
  <c r="D125" i="7"/>
  <c r="D127" i="7" s="1"/>
  <c r="C125" i="7"/>
  <c r="C127" i="7" s="1"/>
  <c r="H115" i="7"/>
  <c r="H114" i="7"/>
  <c r="H113" i="7"/>
  <c r="I35" i="7" s="1"/>
  <c r="M110" i="7"/>
  <c r="N110" i="7" s="1"/>
  <c r="L110" i="7"/>
  <c r="L111" i="7" s="1"/>
  <c r="K110" i="7"/>
  <c r="K111" i="7" s="1"/>
  <c r="J110" i="7"/>
  <c r="J111" i="7" s="1"/>
  <c r="I110" i="7"/>
  <c r="I111" i="7" s="1"/>
  <c r="H110" i="7"/>
  <c r="H111" i="7" s="1"/>
  <c r="G110" i="7"/>
  <c r="G111" i="7" s="1"/>
  <c r="G117" i="7" s="1"/>
  <c r="F110" i="7"/>
  <c r="F111" i="7" s="1"/>
  <c r="F117" i="7" s="1"/>
  <c r="E110" i="7"/>
  <c r="E111" i="7" s="1"/>
  <c r="E117" i="7" s="1"/>
  <c r="D110" i="7"/>
  <c r="D111" i="7" s="1"/>
  <c r="D117" i="7" s="1"/>
  <c r="C110" i="7"/>
  <c r="C111" i="7" s="1"/>
  <c r="C117" i="7" s="1"/>
  <c r="M107" i="7"/>
  <c r="N107" i="7" s="1"/>
  <c r="L107" i="7"/>
  <c r="K107" i="7"/>
  <c r="J107" i="7"/>
  <c r="I107" i="7"/>
  <c r="H107" i="7"/>
  <c r="G107" i="7"/>
  <c r="F107" i="7"/>
  <c r="E107" i="7"/>
  <c r="D107" i="7"/>
  <c r="C107" i="7"/>
  <c r="M103" i="7"/>
  <c r="N103" i="7" s="1"/>
  <c r="O103" i="7" s="1"/>
  <c r="P103" i="7" s="1"/>
  <c r="Q103" i="7" s="1"/>
  <c r="R103" i="7" s="1"/>
  <c r="L103" i="7"/>
  <c r="K103" i="7"/>
  <c r="J103" i="7"/>
  <c r="L98" i="7"/>
  <c r="K98" i="7"/>
  <c r="J98" i="7"/>
  <c r="I98" i="7"/>
  <c r="L96" i="7"/>
  <c r="M93" i="7"/>
  <c r="N93" i="7" s="1"/>
  <c r="L93" i="7"/>
  <c r="K93" i="7"/>
  <c r="J93" i="7"/>
  <c r="I93" i="7"/>
  <c r="H93" i="7"/>
  <c r="G93" i="7"/>
  <c r="F93" i="7"/>
  <c r="E93" i="7"/>
  <c r="D93" i="7"/>
  <c r="C93" i="7"/>
  <c r="M91" i="7"/>
  <c r="L91" i="7"/>
  <c r="K91" i="7"/>
  <c r="J91" i="7"/>
  <c r="I91" i="7"/>
  <c r="H91" i="7"/>
  <c r="G91" i="7"/>
  <c r="F91" i="7"/>
  <c r="E91" i="7"/>
  <c r="D91" i="7"/>
  <c r="C91" i="7"/>
  <c r="M88" i="7"/>
  <c r="K88" i="7"/>
  <c r="U6" i="13" s="1"/>
  <c r="J88" i="7"/>
  <c r="P6" i="13" s="1"/>
  <c r="I88" i="7"/>
  <c r="K6" i="13" s="1"/>
  <c r="H88" i="7"/>
  <c r="H96" i="7" s="1"/>
  <c r="H104" i="7" s="1"/>
  <c r="G88" i="7"/>
  <c r="G96" i="7" s="1"/>
  <c r="G104" i="7" s="1"/>
  <c r="F88" i="7"/>
  <c r="F96" i="7" s="1"/>
  <c r="F104" i="7" s="1"/>
  <c r="E88" i="7"/>
  <c r="E96" i="7" s="1"/>
  <c r="E104" i="7" s="1"/>
  <c r="D88" i="7"/>
  <c r="C88" i="7"/>
  <c r="C96" i="7" s="1"/>
  <c r="C104" i="7" s="1"/>
  <c r="M80" i="7"/>
  <c r="L80" i="7"/>
  <c r="K80" i="7"/>
  <c r="J80" i="7"/>
  <c r="I80" i="7"/>
  <c r="H80" i="7"/>
  <c r="G80" i="7"/>
  <c r="F80" i="7"/>
  <c r="E80" i="7"/>
  <c r="D80" i="7"/>
  <c r="C80" i="7"/>
  <c r="M76" i="7"/>
  <c r="N77" i="7" s="1"/>
  <c r="L76" i="7"/>
  <c r="K76" i="7"/>
  <c r="J76" i="7"/>
  <c r="I76" i="7"/>
  <c r="H76" i="7"/>
  <c r="G76" i="7"/>
  <c r="F76" i="7"/>
  <c r="E76" i="7"/>
  <c r="D76" i="7"/>
  <c r="C76" i="7"/>
  <c r="M75" i="7"/>
  <c r="L75" i="7"/>
  <c r="K75" i="7"/>
  <c r="J75" i="7"/>
  <c r="I75" i="7"/>
  <c r="H75" i="7"/>
  <c r="G75" i="7"/>
  <c r="F75" i="7"/>
  <c r="E75" i="7"/>
  <c r="D75" i="7"/>
  <c r="C75" i="7"/>
  <c r="M35" i="7"/>
  <c r="L35" i="7"/>
  <c r="K35" i="7"/>
  <c r="J35" i="7"/>
  <c r="G35" i="7"/>
  <c r="F35" i="7"/>
  <c r="E35" i="7"/>
  <c r="D35" i="7"/>
  <c r="M22" i="7"/>
  <c r="L22" i="7"/>
  <c r="K22" i="7"/>
  <c r="J22" i="7"/>
  <c r="I22" i="7"/>
  <c r="H22" i="7"/>
  <c r="G22" i="7"/>
  <c r="F22" i="7"/>
  <c r="E22" i="7"/>
  <c r="D22" i="7"/>
  <c r="C22" i="7"/>
  <c r="M19" i="7"/>
  <c r="M20" i="7" s="1"/>
  <c r="L19" i="7"/>
  <c r="L20" i="7" s="1"/>
  <c r="K19" i="7"/>
  <c r="K20" i="7" s="1"/>
  <c r="J19" i="7"/>
  <c r="J20" i="7" s="1"/>
  <c r="I19" i="7"/>
  <c r="I20" i="7" s="1"/>
  <c r="H19" i="7"/>
  <c r="H20" i="7" s="1"/>
  <c r="G19" i="7"/>
  <c r="G20" i="7" s="1"/>
  <c r="F19" i="7"/>
  <c r="F20" i="7" s="1"/>
  <c r="E19" i="7"/>
  <c r="E20" i="7" s="1"/>
  <c r="D19" i="7"/>
  <c r="D20" i="7" s="1"/>
  <c r="C19" i="7"/>
  <c r="C20" i="7" s="1"/>
  <c r="M18" i="7"/>
  <c r="L18" i="7"/>
  <c r="K18" i="7"/>
  <c r="J18" i="7"/>
  <c r="I18" i="7"/>
  <c r="H18" i="7"/>
  <c r="G18" i="7"/>
  <c r="F18" i="7"/>
  <c r="E18" i="7"/>
  <c r="D18" i="7"/>
  <c r="C18" i="7"/>
  <c r="M16" i="7"/>
  <c r="L16" i="7"/>
  <c r="K16" i="7"/>
  <c r="J16" i="7"/>
  <c r="I16" i="7"/>
  <c r="H16" i="7"/>
  <c r="G16" i="7"/>
  <c r="F16" i="7"/>
  <c r="E16" i="7"/>
  <c r="D16" i="7"/>
  <c r="M15" i="7"/>
  <c r="L15" i="7"/>
  <c r="K15" i="7"/>
  <c r="J15" i="7"/>
  <c r="I15" i="7"/>
  <c r="H15" i="7"/>
  <c r="G15" i="7"/>
  <c r="F15" i="7"/>
  <c r="E15" i="7"/>
  <c r="D15" i="7"/>
  <c r="C15" i="7"/>
  <c r="M11" i="7"/>
  <c r="G55" i="2" s="1"/>
  <c r="L11" i="7"/>
  <c r="K11" i="7"/>
  <c r="J11" i="7"/>
  <c r="I11" i="7"/>
  <c r="H11" i="7"/>
  <c r="H12" i="7" s="1"/>
  <c r="G11" i="7"/>
  <c r="G12" i="7" s="1"/>
  <c r="F11" i="7"/>
  <c r="F12" i="7" s="1"/>
  <c r="E11" i="7"/>
  <c r="E12" i="7" s="1"/>
  <c r="D11" i="7"/>
  <c r="D12" i="7" s="1"/>
  <c r="C11" i="7"/>
  <c r="C12" i="7" s="1"/>
  <c r="M9" i="7"/>
  <c r="L9" i="7"/>
  <c r="K9" i="7"/>
  <c r="J9" i="7"/>
  <c r="I9" i="7"/>
  <c r="H9" i="7"/>
  <c r="G9" i="7"/>
  <c r="F9" i="7"/>
  <c r="E9" i="7"/>
  <c r="D9" i="7"/>
  <c r="C9" i="7"/>
  <c r="M6" i="7"/>
  <c r="L6" i="7"/>
  <c r="K6" i="7"/>
  <c r="J6" i="7"/>
  <c r="I6" i="7"/>
  <c r="H6" i="7"/>
  <c r="G6" i="7"/>
  <c r="F6" i="7"/>
  <c r="E6" i="7"/>
  <c r="D6" i="7"/>
  <c r="E505" i="11"/>
  <c r="D505" i="11"/>
  <c r="C505" i="11"/>
  <c r="B505" i="11"/>
  <c r="F504" i="11"/>
  <c r="BK503" i="11"/>
  <c r="F503" i="11"/>
  <c r="DM501" i="11"/>
  <c r="DK501" i="11"/>
  <c r="DJ501" i="11"/>
  <c r="DI501" i="11"/>
  <c r="DH501" i="11"/>
  <c r="DF501" i="11"/>
  <c r="DE501" i="11"/>
  <c r="DD501" i="11"/>
  <c r="DC501" i="11"/>
  <c r="DA501" i="11"/>
  <c r="CZ501" i="11"/>
  <c r="CY501" i="11"/>
  <c r="CX501" i="11"/>
  <c r="CV501" i="11"/>
  <c r="CU501" i="11"/>
  <c r="CT501" i="11"/>
  <c r="CS501" i="11"/>
  <c r="CQ501" i="11"/>
  <c r="CP501" i="11"/>
  <c r="CO501" i="11"/>
  <c r="CN501" i="11"/>
  <c r="CL501" i="11"/>
  <c r="CK501" i="11"/>
  <c r="CJ501" i="11"/>
  <c r="CI501" i="11"/>
  <c r="CG501" i="11"/>
  <c r="CF501" i="11"/>
  <c r="CE501" i="11"/>
  <c r="CD501" i="11"/>
  <c r="CB501" i="11"/>
  <c r="CA501" i="11"/>
  <c r="BZ501" i="11"/>
  <c r="BY501" i="11"/>
  <c r="BW501" i="11"/>
  <c r="BV501" i="11"/>
  <c r="BU501" i="11"/>
  <c r="BT501" i="11"/>
  <c r="BS501" i="11"/>
  <c r="BR501" i="11"/>
  <c r="BQ501" i="11"/>
  <c r="BP501" i="11"/>
  <c r="BP504" i="11" s="1"/>
  <c r="BO501" i="11"/>
  <c r="BO504" i="11" s="1"/>
  <c r="BN501" i="11"/>
  <c r="BM501" i="11"/>
  <c r="BM504" i="11" s="1"/>
  <c r="BL501" i="11"/>
  <c r="BK501" i="11"/>
  <c r="BK502" i="11" s="1"/>
  <c r="BJ501" i="11"/>
  <c r="BI501" i="11"/>
  <c r="BH501" i="11"/>
  <c r="BG501" i="11"/>
  <c r="BG504" i="11" s="1"/>
  <c r="BF501" i="11"/>
  <c r="BF504" i="11" s="1"/>
  <c r="BC501" i="11"/>
  <c r="BB501" i="11"/>
  <c r="BA501" i="11"/>
  <c r="AZ501" i="11"/>
  <c r="DM500" i="11"/>
  <c r="DK500" i="11"/>
  <c r="DJ500" i="11"/>
  <c r="DI500" i="11"/>
  <c r="DH500" i="11"/>
  <c r="DF500" i="11"/>
  <c r="DE500" i="11"/>
  <c r="DD500" i="11"/>
  <c r="DC500" i="11"/>
  <c r="DA500" i="11"/>
  <c r="CZ500" i="11"/>
  <c r="CY500" i="11"/>
  <c r="CV500" i="11"/>
  <c r="CU500" i="11"/>
  <c r="CT500" i="11"/>
  <c r="CS500" i="11"/>
  <c r="CQ500" i="11"/>
  <c r="CP500" i="11"/>
  <c r="CO500" i="11"/>
  <c r="CN500" i="11"/>
  <c r="CL500" i="11"/>
  <c r="CM500" i="11" s="1"/>
  <c r="CK500" i="11"/>
  <c r="CJ500" i="11"/>
  <c r="CI500" i="11"/>
  <c r="CG500" i="11"/>
  <c r="CF500" i="11"/>
  <c r="CE500" i="11"/>
  <c r="CD500" i="11"/>
  <c r="CB500" i="11"/>
  <c r="CA500" i="11"/>
  <c r="BZ500" i="11"/>
  <c r="BY500" i="11"/>
  <c r="BW500" i="11"/>
  <c r="BV500" i="11"/>
  <c r="BU500" i="11"/>
  <c r="BT500" i="11"/>
  <c r="BS500" i="11"/>
  <c r="BR500" i="11"/>
  <c r="BR503" i="11" s="1"/>
  <c r="BQ500" i="11"/>
  <c r="BQ503" i="11" s="1"/>
  <c r="BP500" i="11"/>
  <c r="BP503" i="11" s="1"/>
  <c r="BO500" i="11"/>
  <c r="BO503" i="11" s="1"/>
  <c r="BN500" i="11"/>
  <c r="BM500" i="11"/>
  <c r="BL500" i="11"/>
  <c r="BL503" i="11" s="1"/>
  <c r="BJ500" i="11"/>
  <c r="BI500" i="11"/>
  <c r="BH500" i="11"/>
  <c r="BG500" i="11"/>
  <c r="BG503" i="11" s="1"/>
  <c r="BF500" i="11"/>
  <c r="BF503" i="11" s="1"/>
  <c r="BC500" i="11"/>
  <c r="BB500" i="11"/>
  <c r="BA500" i="11"/>
  <c r="AZ500" i="11"/>
  <c r="DO499" i="11"/>
  <c r="DN499" i="11"/>
  <c r="DM499" i="11"/>
  <c r="DL499" i="11"/>
  <c r="DG499" i="11"/>
  <c r="DB499" i="11"/>
  <c r="DP498" i="11"/>
  <c r="DP497" i="11"/>
  <c r="DM496" i="11"/>
  <c r="DK496" i="11"/>
  <c r="DJ496" i="11"/>
  <c r="DI496" i="11"/>
  <c r="DH496" i="11"/>
  <c r="DN495" i="11"/>
  <c r="DP493" i="11"/>
  <c r="DO493" i="11"/>
  <c r="DN493" i="11"/>
  <c r="DM493" i="11"/>
  <c r="DM490" i="11"/>
  <c r="DN489" i="11"/>
  <c r="DN488" i="11"/>
  <c r="DO488" i="11" s="1"/>
  <c r="DP488" i="11" s="1"/>
  <c r="DO481" i="11"/>
  <c r="DN481" i="11"/>
  <c r="DM481" i="11"/>
  <c r="DP480" i="11"/>
  <c r="DP479" i="11"/>
  <c r="DM478" i="11"/>
  <c r="DK478" i="11"/>
  <c r="DJ478" i="11"/>
  <c r="DI478" i="11"/>
  <c r="DH478" i="11"/>
  <c r="DN477" i="11"/>
  <c r="DL477" i="11"/>
  <c r="DN476" i="11"/>
  <c r="DL476" i="11"/>
  <c r="CR472" i="11"/>
  <c r="CM472" i="11"/>
  <c r="CH472" i="11"/>
  <c r="CC472" i="11"/>
  <c r="BX472" i="11"/>
  <c r="BW472" i="11"/>
  <c r="BV472" i="11"/>
  <c r="BU472" i="11"/>
  <c r="BT472" i="11"/>
  <c r="BS472" i="11"/>
  <c r="BR472" i="11"/>
  <c r="BQ472" i="11"/>
  <c r="BP472" i="11"/>
  <c r="BO472" i="11"/>
  <c r="BM472" i="11"/>
  <c r="BL472" i="11"/>
  <c r="BK472" i="11"/>
  <c r="BJ472" i="11"/>
  <c r="DN469" i="11"/>
  <c r="BX469" i="11"/>
  <c r="BS469" i="11"/>
  <c r="DO468" i="11"/>
  <c r="DP468" i="11" s="1"/>
  <c r="DO467" i="11"/>
  <c r="DC466" i="11"/>
  <c r="BR453" i="11"/>
  <c r="BQ453" i="11"/>
  <c r="BP453" i="11"/>
  <c r="BO453" i="11"/>
  <c r="BM453" i="11"/>
  <c r="BL453" i="11"/>
  <c r="BK453" i="11"/>
  <c r="BJ453" i="11"/>
  <c r="BH453" i="11"/>
  <c r="BG453" i="11"/>
  <c r="BF453" i="11"/>
  <c r="BE453" i="11"/>
  <c r="BR452" i="11"/>
  <c r="BQ452" i="11"/>
  <c r="BP452" i="11"/>
  <c r="BO452" i="11"/>
  <c r="BM452" i="11"/>
  <c r="BL452" i="11"/>
  <c r="BK452" i="11"/>
  <c r="BG452" i="11"/>
  <c r="BF452" i="11"/>
  <c r="CL451" i="11"/>
  <c r="CK451" i="11"/>
  <c r="BR451" i="11"/>
  <c r="BQ451" i="11"/>
  <c r="BP451" i="11"/>
  <c r="BO451" i="11"/>
  <c r="BM451" i="11"/>
  <c r="BL451" i="11"/>
  <c r="BK451" i="11"/>
  <c r="BJ451" i="11"/>
  <c r="BH451" i="11"/>
  <c r="BG451" i="11"/>
  <c r="BF451" i="11"/>
  <c r="BB451" i="11"/>
  <c r="BA451" i="11"/>
  <c r="AZ451" i="11"/>
  <c r="AX451" i="11"/>
  <c r="AW451" i="11"/>
  <c r="AV451" i="11"/>
  <c r="AU451" i="11"/>
  <c r="DA450" i="11"/>
  <c r="CZ450" i="11"/>
  <c r="CY450" i="11"/>
  <c r="CX450" i="11"/>
  <c r="CX504" i="11" s="1"/>
  <c r="CV450" i="11"/>
  <c r="CU450" i="11"/>
  <c r="CT450" i="11"/>
  <c r="CS450" i="11"/>
  <c r="BD450" i="11"/>
  <c r="AY450" i="11"/>
  <c r="DA449" i="11"/>
  <c r="CZ449" i="11"/>
  <c r="CY449" i="11"/>
  <c r="CX449" i="11"/>
  <c r="CV449" i="11"/>
  <c r="CU449" i="11"/>
  <c r="CT449" i="11"/>
  <c r="CS449" i="11"/>
  <c r="BE449" i="11"/>
  <c r="BJ452" i="11" s="1"/>
  <c r="BC449" i="11"/>
  <c r="BD449" i="11" s="1"/>
  <c r="AY449" i="11"/>
  <c r="DA447" i="11"/>
  <c r="CZ447" i="11"/>
  <c r="CY447" i="11"/>
  <c r="CX447" i="11"/>
  <c r="CV447" i="11"/>
  <c r="CU447" i="11"/>
  <c r="CT447" i="11"/>
  <c r="CS447" i="11"/>
  <c r="CJ447" i="11"/>
  <c r="CI447" i="11"/>
  <c r="CG447" i="11"/>
  <c r="CF447" i="11"/>
  <c r="CE447" i="11"/>
  <c r="CD447" i="11"/>
  <c r="CB447" i="11"/>
  <c r="CA447" i="11"/>
  <c r="BZ447" i="11"/>
  <c r="BY447" i="11"/>
  <c r="DA446" i="11"/>
  <c r="CZ446" i="11"/>
  <c r="CY446" i="11"/>
  <c r="CX446" i="11"/>
  <c r="CV446" i="11"/>
  <c r="CU446" i="11"/>
  <c r="CT446" i="11"/>
  <c r="CS446" i="11"/>
  <c r="CI446" i="11"/>
  <c r="CG446" i="11"/>
  <c r="CF446" i="11"/>
  <c r="CD446" i="11"/>
  <c r="CB446" i="11"/>
  <c r="CA446" i="11"/>
  <c r="BZ446" i="11"/>
  <c r="BY446" i="11"/>
  <c r="DF445" i="11"/>
  <c r="DE445" i="11"/>
  <c r="DD445" i="11"/>
  <c r="DC445" i="11"/>
  <c r="DA445" i="11"/>
  <c r="CZ445" i="11"/>
  <c r="CY445" i="11"/>
  <c r="CX445" i="11"/>
  <c r="CV445" i="11"/>
  <c r="CU445" i="11"/>
  <c r="CZ448" i="11" s="1"/>
  <c r="CT445" i="11"/>
  <c r="CS445" i="11"/>
  <c r="CQ445" i="11"/>
  <c r="CP445" i="11"/>
  <c r="CO445" i="11"/>
  <c r="CN445" i="11"/>
  <c r="CJ445" i="11"/>
  <c r="CI445" i="11"/>
  <c r="CG445" i="11"/>
  <c r="CF445" i="11"/>
  <c r="CD445" i="11"/>
  <c r="CB445" i="11"/>
  <c r="CA445" i="11"/>
  <c r="BZ445" i="11"/>
  <c r="BY445" i="11"/>
  <c r="BW445" i="11"/>
  <c r="BV445" i="11"/>
  <c r="BU445" i="11"/>
  <c r="BT445" i="11"/>
  <c r="DK444" i="11"/>
  <c r="DJ444" i="11"/>
  <c r="DI444" i="11"/>
  <c r="DH444" i="11"/>
  <c r="DG444" i="11"/>
  <c r="DB444" i="11"/>
  <c r="CW444" i="11"/>
  <c r="CR444" i="11"/>
  <c r="CM444" i="11"/>
  <c r="CH444" i="11"/>
  <c r="CC444" i="11"/>
  <c r="BX444" i="11"/>
  <c r="BR444" i="11"/>
  <c r="BQ444" i="11"/>
  <c r="BP444" i="11"/>
  <c r="BO444" i="11"/>
  <c r="BT447" i="11" s="1"/>
  <c r="BM444" i="11"/>
  <c r="BL444" i="11"/>
  <c r="BK444" i="11"/>
  <c r="BG444" i="11"/>
  <c r="BF444" i="11"/>
  <c r="BE444" i="11"/>
  <c r="BC444" i="11"/>
  <c r="BB444" i="11"/>
  <c r="BA444" i="11"/>
  <c r="AZ444" i="11"/>
  <c r="AX444" i="11"/>
  <c r="AW444" i="11"/>
  <c r="AV444" i="11"/>
  <c r="AU444" i="11"/>
  <c r="DK443" i="11"/>
  <c r="DJ443" i="11"/>
  <c r="DI443" i="11"/>
  <c r="DH443" i="11"/>
  <c r="DG443" i="11"/>
  <c r="DB443" i="11"/>
  <c r="CW443" i="11"/>
  <c r="CR443" i="11"/>
  <c r="CL443" i="11"/>
  <c r="CL445" i="11" s="1"/>
  <c r="CL448" i="11" s="1"/>
  <c r="CK443" i="11"/>
  <c r="CE443" i="11"/>
  <c r="CJ446" i="11" s="1"/>
  <c r="CC443" i="11"/>
  <c r="BX443" i="11"/>
  <c r="BR443" i="11"/>
  <c r="BQ443" i="11"/>
  <c r="BP443" i="11"/>
  <c r="BO443" i="11"/>
  <c r="BM443" i="11"/>
  <c r="BL443" i="11"/>
  <c r="BK443" i="11"/>
  <c r="BJ443" i="11"/>
  <c r="BH443" i="11"/>
  <c r="BG443" i="11"/>
  <c r="BF443" i="11"/>
  <c r="BB443" i="11"/>
  <c r="BB445" i="11" s="1"/>
  <c r="BA443" i="11"/>
  <c r="AZ443" i="11"/>
  <c r="AX443" i="11"/>
  <c r="AW443" i="11"/>
  <c r="AV443" i="11"/>
  <c r="AU443" i="11"/>
  <c r="BR440" i="11"/>
  <c r="BQ440" i="11"/>
  <c r="BP440" i="11"/>
  <c r="BO440" i="11"/>
  <c r="BM440" i="11"/>
  <c r="BL440" i="11"/>
  <c r="BK440" i="11"/>
  <c r="BJ440" i="11"/>
  <c r="BH440" i="11"/>
  <c r="BG440" i="11"/>
  <c r="BF440" i="11"/>
  <c r="BE440" i="11"/>
  <c r="BR439" i="11"/>
  <c r="BQ439" i="11"/>
  <c r="BP439" i="11"/>
  <c r="BO439" i="11"/>
  <c r="BM439" i="11"/>
  <c r="BL439" i="11"/>
  <c r="BK439" i="11"/>
  <c r="BG439" i="11"/>
  <c r="BF439" i="11"/>
  <c r="BE439" i="11"/>
  <c r="BC439" i="11"/>
  <c r="BB439" i="11"/>
  <c r="BA439" i="11"/>
  <c r="AZ439" i="11"/>
  <c r="AX439" i="11"/>
  <c r="AW439" i="11"/>
  <c r="AV439" i="11"/>
  <c r="AU439" i="11"/>
  <c r="DF438" i="11"/>
  <c r="DE438" i="11"/>
  <c r="DJ438" i="11" s="1"/>
  <c r="DD438" i="11"/>
  <c r="DI438" i="11" s="1"/>
  <c r="DC438" i="11"/>
  <c r="DH438" i="11" s="1"/>
  <c r="BW438" i="11"/>
  <c r="CB438" i="11" s="1"/>
  <c r="BV438" i="11"/>
  <c r="BU438" i="11"/>
  <c r="BT438" i="11"/>
  <c r="BJ438" i="11"/>
  <c r="BJ439" i="11" s="1"/>
  <c r="BI438" i="11"/>
  <c r="BN438" i="11" s="1"/>
  <c r="BH438" i="11"/>
  <c r="BH439" i="11" s="1"/>
  <c r="AY438" i="11"/>
  <c r="DF437" i="11"/>
  <c r="DF449" i="11" s="1"/>
  <c r="DE437" i="11"/>
  <c r="DD437" i="11"/>
  <c r="DC437" i="11"/>
  <c r="DH437" i="11" s="1"/>
  <c r="BW437" i="11"/>
  <c r="BW449" i="11" s="1"/>
  <c r="BV437" i="11"/>
  <c r="BV449" i="11" s="1"/>
  <c r="BV452" i="11" s="1"/>
  <c r="BU437" i="11"/>
  <c r="BU449" i="11" s="1"/>
  <c r="BT437" i="11"/>
  <c r="BS437" i="11"/>
  <c r="BN437" i="11"/>
  <c r="BI437" i="11"/>
  <c r="BD437" i="11"/>
  <c r="AY437" i="11"/>
  <c r="BR435" i="11"/>
  <c r="BQ435" i="11"/>
  <c r="BP435" i="11"/>
  <c r="BO435" i="11"/>
  <c r="BM435" i="11"/>
  <c r="BL435" i="11"/>
  <c r="BK435" i="11"/>
  <c r="BJ435" i="11"/>
  <c r="BH435" i="11"/>
  <c r="BG435" i="11"/>
  <c r="BF435" i="11"/>
  <c r="BE435" i="11"/>
  <c r="BC435" i="11"/>
  <c r="BB435" i="11"/>
  <c r="BA435" i="11"/>
  <c r="AZ435" i="11"/>
  <c r="BR434" i="11"/>
  <c r="BQ434" i="11"/>
  <c r="BP434" i="11"/>
  <c r="BO434" i="11"/>
  <c r="BM434" i="11"/>
  <c r="BL434" i="11"/>
  <c r="BK434" i="11"/>
  <c r="BJ434" i="11"/>
  <c r="BH434" i="11"/>
  <c r="BG434" i="11"/>
  <c r="BF434" i="11"/>
  <c r="BE434" i="11"/>
  <c r="BC434" i="11"/>
  <c r="BB434" i="11"/>
  <c r="BA434" i="11"/>
  <c r="AZ434" i="11"/>
  <c r="BR433" i="11"/>
  <c r="BQ433" i="11"/>
  <c r="BP433" i="11"/>
  <c r="BO433" i="11"/>
  <c r="BM433" i="11"/>
  <c r="BL433" i="11"/>
  <c r="BK433" i="11"/>
  <c r="BJ433" i="11"/>
  <c r="BH433" i="11"/>
  <c r="BG433" i="11"/>
  <c r="BF433" i="11"/>
  <c r="BE433" i="11"/>
  <c r="BC433" i="11"/>
  <c r="BB433" i="11"/>
  <c r="BA433" i="11"/>
  <c r="AZ433" i="11"/>
  <c r="AX433" i="11"/>
  <c r="AW433" i="11"/>
  <c r="AV433" i="11"/>
  <c r="AU433" i="11"/>
  <c r="BD432" i="11"/>
  <c r="AY432" i="11"/>
  <c r="BD431" i="11"/>
  <c r="AY431" i="11"/>
  <c r="CR426" i="11"/>
  <c r="CM426" i="11"/>
  <c r="CH426" i="11"/>
  <c r="CC426" i="11"/>
  <c r="BX426" i="11"/>
  <c r="BR426" i="11"/>
  <c r="BQ426" i="11"/>
  <c r="BP426" i="11"/>
  <c r="BO426" i="11"/>
  <c r="BM426" i="11"/>
  <c r="BL426" i="11"/>
  <c r="BK426" i="11"/>
  <c r="BJ426" i="11"/>
  <c r="BH426" i="11"/>
  <c r="BG426" i="11"/>
  <c r="BF426" i="11"/>
  <c r="BE426" i="11"/>
  <c r="BC426" i="11"/>
  <c r="BB426" i="11"/>
  <c r="BA426" i="11"/>
  <c r="AZ426" i="11"/>
  <c r="AX426" i="11"/>
  <c r="AW426" i="11"/>
  <c r="AV426" i="11"/>
  <c r="AU426" i="11"/>
  <c r="CR425" i="11"/>
  <c r="CM425" i="11"/>
  <c r="CH425" i="11"/>
  <c r="CC425" i="11"/>
  <c r="CH428" i="11" s="1"/>
  <c r="BX425" i="11"/>
  <c r="BR425" i="11"/>
  <c r="BQ425" i="11"/>
  <c r="BP425" i="11"/>
  <c r="BO425" i="11"/>
  <c r="BM425" i="11"/>
  <c r="BL425" i="11"/>
  <c r="BK425" i="11"/>
  <c r="BJ425" i="11"/>
  <c r="BH425" i="11"/>
  <c r="BG425" i="11"/>
  <c r="BF425" i="11"/>
  <c r="BE425" i="11"/>
  <c r="BC425" i="11"/>
  <c r="BB425" i="11"/>
  <c r="BA425" i="11"/>
  <c r="AZ425" i="11"/>
  <c r="AX425" i="11"/>
  <c r="AW425" i="11"/>
  <c r="AV425" i="11"/>
  <c r="AU425" i="11"/>
  <c r="BR423" i="11"/>
  <c r="BQ423" i="11"/>
  <c r="BO423" i="11"/>
  <c r="BM423" i="11"/>
  <c r="BL423" i="11"/>
  <c r="BK423" i="11"/>
  <c r="BJ423" i="11"/>
  <c r="BH423" i="11"/>
  <c r="BG423" i="11"/>
  <c r="BF423" i="11"/>
  <c r="BE423" i="11"/>
  <c r="BR422" i="11"/>
  <c r="BQ422" i="11"/>
  <c r="BP422" i="11"/>
  <c r="BO422" i="11"/>
  <c r="BM422" i="11"/>
  <c r="BL422" i="11"/>
  <c r="BK422" i="11"/>
  <c r="BJ422" i="11"/>
  <c r="BH422" i="11"/>
  <c r="BG422" i="11"/>
  <c r="BF422" i="11"/>
  <c r="BE422" i="11"/>
  <c r="BC422" i="11"/>
  <c r="BB422" i="11"/>
  <c r="BA422" i="11"/>
  <c r="AZ422" i="11"/>
  <c r="AX422" i="11"/>
  <c r="AW422" i="11"/>
  <c r="AV422" i="11"/>
  <c r="AU422" i="11"/>
  <c r="AR422" i="11"/>
  <c r="AQ422" i="11"/>
  <c r="AP422" i="11"/>
  <c r="AN422" i="11"/>
  <c r="AM422" i="11"/>
  <c r="AL422" i="11"/>
  <c r="AK422" i="11"/>
  <c r="AI422" i="11"/>
  <c r="AH422" i="11"/>
  <c r="AG422" i="11"/>
  <c r="AF422" i="11"/>
  <c r="AD422" i="11"/>
  <c r="AC422" i="11"/>
  <c r="AB422" i="11"/>
  <c r="AA422" i="11"/>
  <c r="Y422" i="11"/>
  <c r="X422" i="11"/>
  <c r="W422" i="11"/>
  <c r="V422" i="11"/>
  <c r="T422" i="11"/>
  <c r="S422" i="11"/>
  <c r="R422" i="11"/>
  <c r="Q422" i="11"/>
  <c r="O422" i="11"/>
  <c r="BR421" i="11"/>
  <c r="BQ421" i="11"/>
  <c r="BP421" i="11"/>
  <c r="BO421" i="11"/>
  <c r="BM421" i="11"/>
  <c r="BL421" i="11"/>
  <c r="BK421" i="11"/>
  <c r="BJ421" i="11"/>
  <c r="BH421" i="11"/>
  <c r="BG421" i="11"/>
  <c r="BF421" i="11"/>
  <c r="BE421" i="11"/>
  <c r="BC421" i="11"/>
  <c r="BB421" i="11"/>
  <c r="BA421" i="11"/>
  <c r="AZ421" i="11"/>
  <c r="AX421" i="11"/>
  <c r="AW421" i="11"/>
  <c r="AV421" i="11"/>
  <c r="AU421" i="11"/>
  <c r="AS421" i="11"/>
  <c r="AB421" i="11"/>
  <c r="AA421" i="11"/>
  <c r="O421" i="11"/>
  <c r="O424" i="11" s="1"/>
  <c r="N421" i="11"/>
  <c r="M421" i="11"/>
  <c r="L421" i="11"/>
  <c r="CR420" i="11"/>
  <c r="CM420" i="11"/>
  <c r="CH420" i="11"/>
  <c r="CC420" i="11"/>
  <c r="BX420" i="11"/>
  <c r="BS420" i="11"/>
  <c r="BN420" i="11"/>
  <c r="BI420" i="11"/>
  <c r="BD420" i="11"/>
  <c r="AY420" i="11"/>
  <c r="AG420" i="11"/>
  <c r="AF420" i="11"/>
  <c r="T420" i="11"/>
  <c r="S420" i="11"/>
  <c r="R420" i="11"/>
  <c r="Q420" i="11"/>
  <c r="P420" i="11"/>
  <c r="CR419" i="11"/>
  <c r="CM419" i="11"/>
  <c r="CH419" i="11"/>
  <c r="CC419" i="11"/>
  <c r="BX419" i="11"/>
  <c r="BS419" i="11"/>
  <c r="BN419" i="11"/>
  <c r="BI419" i="11"/>
  <c r="BD419" i="11"/>
  <c r="AY419" i="11"/>
  <c r="AT419" i="11"/>
  <c r="AO419" i="11"/>
  <c r="AJ419" i="11"/>
  <c r="AE419" i="11"/>
  <c r="Z419" i="11"/>
  <c r="U419" i="11"/>
  <c r="P419" i="11"/>
  <c r="CX417" i="11"/>
  <c r="CS417" i="11"/>
  <c r="CO417" i="11"/>
  <c r="CN417" i="11"/>
  <c r="CL417" i="11"/>
  <c r="CK417" i="11"/>
  <c r="CJ417" i="11"/>
  <c r="CI417" i="11"/>
  <c r="CG417" i="11"/>
  <c r="CF417" i="11"/>
  <c r="CE417" i="11"/>
  <c r="CD417" i="11"/>
  <c r="CB417" i="11"/>
  <c r="CA417" i="11"/>
  <c r="BZ417" i="11"/>
  <c r="BY417" i="11"/>
  <c r="BW417" i="11"/>
  <c r="BV417" i="11"/>
  <c r="BU417" i="11"/>
  <c r="BT417" i="11"/>
  <c r="BR417" i="11"/>
  <c r="BQ417" i="11"/>
  <c r="BP417" i="11"/>
  <c r="BO417" i="11"/>
  <c r="BM417" i="11"/>
  <c r="BL417" i="11"/>
  <c r="BK417" i="11"/>
  <c r="BJ417" i="11"/>
  <c r="BH417" i="11"/>
  <c r="BG417" i="11"/>
  <c r="BF417" i="11"/>
  <c r="BE417" i="11"/>
  <c r="BC417" i="11"/>
  <c r="BB417" i="11"/>
  <c r="BA417" i="11"/>
  <c r="AZ417" i="11"/>
  <c r="AX417" i="11"/>
  <c r="AW417" i="11"/>
  <c r="AV417" i="11"/>
  <c r="AU417" i="11"/>
  <c r="AS417" i="11"/>
  <c r="AR417" i="11"/>
  <c r="AQ417" i="11"/>
  <c r="AP417" i="11"/>
  <c r="AN417" i="11"/>
  <c r="AM417" i="11"/>
  <c r="AL417" i="11"/>
  <c r="AK417" i="11"/>
  <c r="AI417" i="11"/>
  <c r="AH417" i="11"/>
  <c r="AG417" i="11"/>
  <c r="AF417" i="11"/>
  <c r="AD417" i="11"/>
  <c r="AC417" i="11"/>
  <c r="AB417" i="11"/>
  <c r="AA417" i="11"/>
  <c r="Y417" i="11"/>
  <c r="X417" i="11"/>
  <c r="W417" i="11"/>
  <c r="V417" i="11"/>
  <c r="T417" i="11"/>
  <c r="S417" i="11"/>
  <c r="R417" i="11"/>
  <c r="Q417" i="11"/>
  <c r="O417" i="11"/>
  <c r="N417" i="11"/>
  <c r="M417" i="11"/>
  <c r="L417" i="11"/>
  <c r="CX416" i="11"/>
  <c r="CS416" i="11"/>
  <c r="CO416" i="11"/>
  <c r="CN416" i="11"/>
  <c r="CL416" i="11"/>
  <c r="CK416" i="11"/>
  <c r="CJ416" i="11"/>
  <c r="CI416" i="11"/>
  <c r="CG416" i="11"/>
  <c r="CF416" i="11"/>
  <c r="CE416" i="11"/>
  <c r="CD416" i="11"/>
  <c r="CB416" i="11"/>
  <c r="CA416" i="11"/>
  <c r="BZ416" i="11"/>
  <c r="BY416" i="11"/>
  <c r="BW416" i="11"/>
  <c r="BV416" i="11"/>
  <c r="BU416" i="11"/>
  <c r="BT416" i="11"/>
  <c r="BR416" i="11"/>
  <c r="BQ416" i="11"/>
  <c r="BP416" i="11"/>
  <c r="BO416" i="11"/>
  <c r="BM416" i="11"/>
  <c r="BL416" i="11"/>
  <c r="BK416" i="11"/>
  <c r="BJ416" i="11"/>
  <c r="BH416" i="11"/>
  <c r="BG416" i="11"/>
  <c r="BF416" i="11"/>
  <c r="BE416" i="11"/>
  <c r="BC416" i="11"/>
  <c r="BB416" i="11"/>
  <c r="BA416" i="11"/>
  <c r="AZ416" i="11"/>
  <c r="AX416" i="11"/>
  <c r="AW416" i="11"/>
  <c r="AV416" i="11"/>
  <c r="AU416" i="11"/>
  <c r="AS416" i="11"/>
  <c r="AR416" i="11"/>
  <c r="AQ416" i="11"/>
  <c r="AP416" i="11"/>
  <c r="AN416" i="11"/>
  <c r="AM416" i="11"/>
  <c r="AL416" i="11"/>
  <c r="AK416" i="11"/>
  <c r="AI416" i="11"/>
  <c r="AH416" i="11"/>
  <c r="AG416" i="11"/>
  <c r="AF416" i="11"/>
  <c r="AD416" i="11"/>
  <c r="AC416" i="11"/>
  <c r="AB416" i="11"/>
  <c r="AA416" i="11"/>
  <c r="Y416" i="11"/>
  <c r="X416" i="11"/>
  <c r="W416" i="11"/>
  <c r="V416" i="11"/>
  <c r="T416" i="11"/>
  <c r="S416" i="11"/>
  <c r="R416" i="11"/>
  <c r="Q416" i="11"/>
  <c r="O416" i="11"/>
  <c r="N416" i="11"/>
  <c r="M416" i="11"/>
  <c r="L416" i="11"/>
  <c r="DF415" i="11"/>
  <c r="CY415" i="11"/>
  <c r="CX415" i="11"/>
  <c r="CV415" i="11"/>
  <c r="CS415" i="11"/>
  <c r="CO415" i="11"/>
  <c r="CN415" i="11"/>
  <c r="CL415" i="11"/>
  <c r="CK415" i="11"/>
  <c r="CJ415" i="11"/>
  <c r="CI415" i="11"/>
  <c r="CG415" i="11"/>
  <c r="CF415" i="11"/>
  <c r="CF418" i="11" s="1"/>
  <c r="CE415" i="11"/>
  <c r="CD415" i="11"/>
  <c r="CB415" i="11"/>
  <c r="CA415" i="11"/>
  <c r="BZ415" i="11"/>
  <c r="BY415" i="11"/>
  <c r="BW415" i="11"/>
  <c r="BV415" i="11"/>
  <c r="BU415" i="11"/>
  <c r="BT415" i="11"/>
  <c r="BR415" i="11"/>
  <c r="BQ415" i="11"/>
  <c r="BP415" i="11"/>
  <c r="BO415" i="11"/>
  <c r="BM415" i="11"/>
  <c r="BL415" i="11"/>
  <c r="BK415" i="11"/>
  <c r="BJ415" i="11"/>
  <c r="BH415" i="11"/>
  <c r="BG415" i="11"/>
  <c r="BF415" i="11"/>
  <c r="BE415" i="11"/>
  <c r="BC415" i="11"/>
  <c r="BB415" i="11"/>
  <c r="BA415" i="11"/>
  <c r="AZ415" i="11"/>
  <c r="AX415" i="11"/>
  <c r="AW415" i="11"/>
  <c r="AV415" i="11"/>
  <c r="AU415" i="11"/>
  <c r="AS415" i="11"/>
  <c r="AR415" i="11"/>
  <c r="AQ415" i="11"/>
  <c r="AP415" i="11"/>
  <c r="AN415" i="11"/>
  <c r="AM415" i="11"/>
  <c r="AL415" i="11"/>
  <c r="AK415" i="11"/>
  <c r="AI415" i="11"/>
  <c r="AH415" i="11"/>
  <c r="AG415" i="11"/>
  <c r="AF415" i="11"/>
  <c r="AD415" i="11"/>
  <c r="AC415" i="11"/>
  <c r="AB415" i="11"/>
  <c r="AA415" i="11"/>
  <c r="Y415" i="11"/>
  <c r="X415" i="11"/>
  <c r="W415" i="11"/>
  <c r="V415" i="11"/>
  <c r="T415" i="11"/>
  <c r="S415" i="11"/>
  <c r="R415" i="11"/>
  <c r="Q415" i="11"/>
  <c r="O415" i="11"/>
  <c r="O418" i="11" s="1"/>
  <c r="N415" i="11"/>
  <c r="M415" i="11"/>
  <c r="L415" i="11"/>
  <c r="L418" i="11" s="1"/>
  <c r="DK414" i="11"/>
  <c r="DE414" i="11"/>
  <c r="DD414" i="11"/>
  <c r="DI414" i="11" s="1"/>
  <c r="DC414" i="11"/>
  <c r="DA414" i="11"/>
  <c r="DA417" i="11" s="1"/>
  <c r="CZ414" i="11"/>
  <c r="CU414" i="11"/>
  <c r="CT414" i="11"/>
  <c r="CQ414" i="11"/>
  <c r="CP414" i="11"/>
  <c r="CM414" i="11"/>
  <c r="CH414" i="11"/>
  <c r="CC414" i="11"/>
  <c r="BX414" i="11"/>
  <c r="BS414" i="11"/>
  <c r="BN414" i="11"/>
  <c r="BI414" i="11"/>
  <c r="BD414" i="11"/>
  <c r="AY414" i="11"/>
  <c r="AT414" i="11"/>
  <c r="AO414" i="11"/>
  <c r="AJ414" i="11"/>
  <c r="AE414" i="11"/>
  <c r="Z414" i="11"/>
  <c r="U414" i="11"/>
  <c r="P414" i="11"/>
  <c r="DK413" i="11"/>
  <c r="DE413" i="11"/>
  <c r="DD413" i="11"/>
  <c r="DD416" i="11" s="1"/>
  <c r="DC413" i="11"/>
  <c r="DC415" i="11" s="1"/>
  <c r="DA413" i="11"/>
  <c r="CZ413" i="11"/>
  <c r="CU413" i="11"/>
  <c r="CT413" i="11"/>
  <c r="CQ413" i="11"/>
  <c r="CQ416" i="11" s="1"/>
  <c r="CP413" i="11"/>
  <c r="CM413" i="11"/>
  <c r="CM416" i="11" s="1"/>
  <c r="CH413" i="11"/>
  <c r="CC413" i="11"/>
  <c r="BX413" i="11"/>
  <c r="BS413" i="11"/>
  <c r="BN413" i="11"/>
  <c r="BI413" i="11"/>
  <c r="BD413" i="11"/>
  <c r="AY413" i="11"/>
  <c r="AT413" i="11"/>
  <c r="AO413" i="11"/>
  <c r="AJ413" i="11"/>
  <c r="AE413" i="11"/>
  <c r="Z413" i="11"/>
  <c r="U413" i="11"/>
  <c r="P413" i="11"/>
  <c r="DE409" i="11"/>
  <c r="DD409" i="11"/>
  <c r="DC409" i="11"/>
  <c r="DA409" i="11"/>
  <c r="CZ409" i="11"/>
  <c r="DE403" i="11"/>
  <c r="DD403" i="11"/>
  <c r="DC403" i="11"/>
  <c r="DA403" i="11"/>
  <c r="CZ403" i="11"/>
  <c r="BT399" i="11"/>
  <c r="BR399" i="11"/>
  <c r="BQ399" i="11"/>
  <c r="BL399" i="11"/>
  <c r="BT398" i="11"/>
  <c r="BR398" i="11"/>
  <c r="BQ398" i="11"/>
  <c r="BP398" i="11"/>
  <c r="BL398" i="11"/>
  <c r="BK398" i="11"/>
  <c r="BT397" i="11"/>
  <c r="BR397" i="11"/>
  <c r="BQ397" i="11"/>
  <c r="BP397" i="11"/>
  <c r="BO397" i="11"/>
  <c r="BM397" i="11"/>
  <c r="BL397" i="11"/>
  <c r="BG397" i="11"/>
  <c r="BF397" i="11"/>
  <c r="BS396" i="11"/>
  <c r="BK396" i="11"/>
  <c r="BP399" i="11" s="1"/>
  <c r="BS395" i="11"/>
  <c r="BE394" i="11"/>
  <c r="BC394" i="11"/>
  <c r="BB394" i="11"/>
  <c r="BA394" i="11"/>
  <c r="AZ394" i="11"/>
  <c r="AX394" i="11"/>
  <c r="AW394" i="11"/>
  <c r="AV394" i="11"/>
  <c r="CE393" i="11"/>
  <c r="BN393" i="11"/>
  <c r="BI393" i="11"/>
  <c r="BD393" i="11"/>
  <c r="AU393" i="11"/>
  <c r="AY393" i="11" s="1"/>
  <c r="CE392" i="11"/>
  <c r="BN392" i="11"/>
  <c r="BI392" i="11"/>
  <c r="BD392" i="11"/>
  <c r="AU392" i="11"/>
  <c r="AY392" i="11" s="1"/>
  <c r="DE390" i="11"/>
  <c r="DA390" i="11"/>
  <c r="CZ390" i="11"/>
  <c r="CY390" i="11"/>
  <c r="CV390" i="11"/>
  <c r="CU390" i="11"/>
  <c r="DE389" i="11"/>
  <c r="DA389" i="11"/>
  <c r="CZ389" i="11"/>
  <c r="CV389" i="11"/>
  <c r="CU389" i="11"/>
  <c r="DE388" i="11"/>
  <c r="DA388" i="11"/>
  <c r="CZ388" i="11"/>
  <c r="CY388" i="11"/>
  <c r="CX388" i="11"/>
  <c r="CV388" i="11"/>
  <c r="CU388" i="11"/>
  <c r="CQ388" i="11"/>
  <c r="CP388" i="11"/>
  <c r="AX388" i="11"/>
  <c r="AW388" i="11"/>
  <c r="AV388" i="11"/>
  <c r="AU388" i="11"/>
  <c r="DJ387" i="11"/>
  <c r="DF387" i="11"/>
  <c r="DK387" i="11" s="1"/>
  <c r="DD387" i="11"/>
  <c r="DD390" i="11" s="1"/>
  <c r="DC387" i="11"/>
  <c r="DC390" i="11" s="1"/>
  <c r="DB387" i="11"/>
  <c r="CS387" i="11"/>
  <c r="CO387" i="11"/>
  <c r="CT390" i="11" s="1"/>
  <c r="CN387" i="11"/>
  <c r="CL387" i="11"/>
  <c r="CK387" i="11"/>
  <c r="CJ387" i="11"/>
  <c r="CI387" i="11"/>
  <c r="CG387" i="11"/>
  <c r="CF387" i="11"/>
  <c r="CE387" i="11"/>
  <c r="CD387" i="11"/>
  <c r="CB387" i="11"/>
  <c r="CA387" i="11"/>
  <c r="BZ387" i="11"/>
  <c r="BY387" i="11"/>
  <c r="BW387" i="11"/>
  <c r="BV387" i="11"/>
  <c r="BU387" i="11"/>
  <c r="BQ387" i="11"/>
  <c r="BJ387" i="11"/>
  <c r="BH387" i="11"/>
  <c r="BE387" i="11"/>
  <c r="BC387" i="11"/>
  <c r="BB387" i="11"/>
  <c r="BA387" i="11"/>
  <c r="AZ387" i="11"/>
  <c r="AY387" i="11"/>
  <c r="DJ386" i="11"/>
  <c r="DF386" i="11"/>
  <c r="DK386" i="11" s="1"/>
  <c r="DD386" i="11"/>
  <c r="DI386" i="11" s="1"/>
  <c r="DC386" i="11"/>
  <c r="DB386" i="11"/>
  <c r="CT386" i="11"/>
  <c r="CS386" i="11"/>
  <c r="CN386" i="11"/>
  <c r="CL386" i="11"/>
  <c r="CQ389" i="11" s="1"/>
  <c r="CK386" i="11"/>
  <c r="CJ386" i="11"/>
  <c r="CO389" i="11" s="1"/>
  <c r="CI386" i="11"/>
  <c r="CG386" i="11"/>
  <c r="CF386" i="11"/>
  <c r="CE386" i="11"/>
  <c r="CD386" i="11"/>
  <c r="CB386" i="11"/>
  <c r="CA386" i="11"/>
  <c r="BZ386" i="11"/>
  <c r="BY386" i="11"/>
  <c r="BW386" i="11"/>
  <c r="BV386" i="11"/>
  <c r="BU386" i="11"/>
  <c r="BQ386" i="11"/>
  <c r="BJ386" i="11"/>
  <c r="BH386" i="11"/>
  <c r="BE386" i="11"/>
  <c r="BC386" i="11"/>
  <c r="BB386" i="11"/>
  <c r="BA386" i="11"/>
  <c r="AZ386" i="11"/>
  <c r="AY386" i="11"/>
  <c r="AT385" i="11"/>
  <c r="BR384" i="11"/>
  <c r="BQ384" i="11"/>
  <c r="BP384" i="11"/>
  <c r="BO384" i="11"/>
  <c r="BM384" i="11"/>
  <c r="BL384" i="11"/>
  <c r="BK384" i="11"/>
  <c r="BJ384" i="11"/>
  <c r="BH384" i="11"/>
  <c r="BG384" i="11"/>
  <c r="BF384" i="11"/>
  <c r="BE384" i="11"/>
  <c r="AT384" i="11"/>
  <c r="BR383" i="11"/>
  <c r="BQ383" i="11"/>
  <c r="BP383" i="11"/>
  <c r="BO383" i="11"/>
  <c r="BM383" i="11"/>
  <c r="BL383" i="11"/>
  <c r="BK383" i="11"/>
  <c r="BJ383" i="11"/>
  <c r="BH383" i="11"/>
  <c r="BG383" i="11"/>
  <c r="BF383" i="11"/>
  <c r="BE383" i="11"/>
  <c r="AT383" i="11"/>
  <c r="BR382" i="11"/>
  <c r="BQ382" i="11"/>
  <c r="BP382" i="11"/>
  <c r="BO382" i="11"/>
  <c r="BM382" i="11"/>
  <c r="BL382" i="11"/>
  <c r="BK382" i="11"/>
  <c r="BJ382" i="11"/>
  <c r="BH382" i="11"/>
  <c r="BG382" i="11"/>
  <c r="BF382" i="11"/>
  <c r="BF385" i="11" s="1"/>
  <c r="BE382" i="11"/>
  <c r="BE385" i="11" s="1"/>
  <c r="BC382" i="11"/>
  <c r="BB382" i="11"/>
  <c r="BS381" i="11"/>
  <c r="BN381" i="11"/>
  <c r="BI381" i="11"/>
  <c r="BD381" i="11"/>
  <c r="BS380" i="11"/>
  <c r="BN380" i="11"/>
  <c r="BI380" i="11"/>
  <c r="BD380" i="11"/>
  <c r="BM378" i="11"/>
  <c r="BL378" i="11"/>
  <c r="BK378" i="11"/>
  <c r="BJ378" i="11"/>
  <c r="BH378" i="11"/>
  <c r="BG378" i="11"/>
  <c r="BF378" i="11"/>
  <c r="BE378" i="11"/>
  <c r="BO376" i="11"/>
  <c r="BM376" i="11"/>
  <c r="BL376" i="11"/>
  <c r="BK376" i="11"/>
  <c r="BJ376" i="11"/>
  <c r="BO379" i="11" s="1"/>
  <c r="BH376" i="11"/>
  <c r="BG376" i="11"/>
  <c r="BF376" i="11"/>
  <c r="BE376" i="11"/>
  <c r="BC376" i="11"/>
  <c r="BB376" i="11"/>
  <c r="BA376" i="11"/>
  <c r="AZ376" i="11"/>
  <c r="AX376" i="11"/>
  <c r="AW376" i="11"/>
  <c r="AV376" i="11"/>
  <c r="AU376" i="11"/>
  <c r="AR376" i="11"/>
  <c r="AQ376" i="11"/>
  <c r="AP376" i="11"/>
  <c r="AN376" i="11"/>
  <c r="AM376" i="11"/>
  <c r="AL376" i="11"/>
  <c r="AK376" i="11"/>
  <c r="AI376" i="11"/>
  <c r="AJ376" i="11" s="1"/>
  <c r="BN375" i="11"/>
  <c r="BI375" i="11"/>
  <c r="BD375" i="11"/>
  <c r="AY375" i="11"/>
  <c r="AT375" i="11"/>
  <c r="AO375" i="11"/>
  <c r="AJ375" i="11"/>
  <c r="BN374" i="11"/>
  <c r="BI374" i="11"/>
  <c r="BD374" i="11"/>
  <c r="AY374" i="11"/>
  <c r="AT374" i="11"/>
  <c r="AO374" i="11"/>
  <c r="AJ374" i="11"/>
  <c r="BC370" i="11"/>
  <c r="BB370" i="11"/>
  <c r="BA370" i="11"/>
  <c r="AZ370" i="11"/>
  <c r="AX370" i="11"/>
  <c r="AW370" i="11"/>
  <c r="AV370" i="11"/>
  <c r="AU370" i="11"/>
  <c r="AS370" i="11"/>
  <c r="AR370" i="11"/>
  <c r="AQ370" i="11"/>
  <c r="AP370" i="11"/>
  <c r="AN370" i="11"/>
  <c r="AM370" i="11"/>
  <c r="AL370" i="11"/>
  <c r="AK370" i="11"/>
  <c r="AI370" i="11"/>
  <c r="AH370" i="11"/>
  <c r="AG370" i="11"/>
  <c r="AF370" i="11"/>
  <c r="AD370" i="11"/>
  <c r="AC370" i="11"/>
  <c r="AB370" i="11"/>
  <c r="AA370" i="11"/>
  <c r="Y370" i="11"/>
  <c r="X370" i="11"/>
  <c r="W370" i="11"/>
  <c r="V370" i="11"/>
  <c r="T370" i="11"/>
  <c r="S370" i="11"/>
  <c r="R370" i="11"/>
  <c r="Q370" i="11"/>
  <c r="BC369" i="11"/>
  <c r="BB369" i="11"/>
  <c r="BA369" i="11"/>
  <c r="AZ369" i="11"/>
  <c r="AX369" i="11"/>
  <c r="AW369" i="11"/>
  <c r="AV369" i="11"/>
  <c r="AU369" i="11"/>
  <c r="AS369" i="11"/>
  <c r="AR369" i="11"/>
  <c r="AQ369" i="11"/>
  <c r="AP369" i="11"/>
  <c r="AN369" i="11"/>
  <c r="AM369" i="11"/>
  <c r="AL369" i="11"/>
  <c r="AK369" i="11"/>
  <c r="AI369" i="11"/>
  <c r="AH369" i="11"/>
  <c r="AG369" i="11"/>
  <c r="AF369" i="11"/>
  <c r="AD369" i="11"/>
  <c r="AC369" i="11"/>
  <c r="AB369" i="11"/>
  <c r="AA369" i="11"/>
  <c r="Y369" i="11"/>
  <c r="X369" i="11"/>
  <c r="W369" i="11"/>
  <c r="V369" i="11"/>
  <c r="T369" i="11"/>
  <c r="S369" i="11"/>
  <c r="R369" i="11"/>
  <c r="Q369" i="11"/>
  <c r="BC368" i="11"/>
  <c r="BB368" i="11"/>
  <c r="BA368" i="11"/>
  <c r="AZ368" i="11"/>
  <c r="AX368" i="11"/>
  <c r="AW368" i="11"/>
  <c r="AV368" i="11"/>
  <c r="AU368" i="11"/>
  <c r="AS368" i="11"/>
  <c r="AR368" i="11"/>
  <c r="AQ368" i="11"/>
  <c r="AP368" i="11"/>
  <c r="AN368" i="11"/>
  <c r="AM368" i="11"/>
  <c r="AL368" i="11"/>
  <c r="AK368" i="11"/>
  <c r="AI368" i="11"/>
  <c r="AH368" i="11"/>
  <c r="AG368" i="11"/>
  <c r="AF368" i="11"/>
  <c r="AD368" i="11"/>
  <c r="AC368" i="11"/>
  <c r="AB368" i="11"/>
  <c r="AA368" i="11"/>
  <c r="Y368" i="11"/>
  <c r="X368" i="11"/>
  <c r="W368" i="11"/>
  <c r="V368" i="11"/>
  <c r="T368" i="11"/>
  <c r="S368" i="11"/>
  <c r="R368" i="11"/>
  <c r="Q368" i="11"/>
  <c r="O368" i="11"/>
  <c r="N368" i="11"/>
  <c r="M368" i="11"/>
  <c r="L368" i="11"/>
  <c r="BD367" i="11"/>
  <c r="AY367" i="11"/>
  <c r="AT367" i="11"/>
  <c r="AO367" i="11"/>
  <c r="AJ367" i="11"/>
  <c r="AJ370" i="11" s="1"/>
  <c r="AE367" i="11"/>
  <c r="Z367" i="11"/>
  <c r="U367" i="11"/>
  <c r="P367" i="11"/>
  <c r="BD366" i="11"/>
  <c r="AY366" i="11"/>
  <c r="AT366" i="11"/>
  <c r="AO366" i="11"/>
  <c r="AJ366" i="11"/>
  <c r="AE366" i="11"/>
  <c r="Z366" i="11"/>
  <c r="U366" i="11"/>
  <c r="P366" i="11"/>
  <c r="AX365" i="11"/>
  <c r="AW365" i="11"/>
  <c r="AV365" i="11"/>
  <c r="AU365" i="11"/>
  <c r="AS365" i="11"/>
  <c r="AR365" i="11"/>
  <c r="AQ365" i="11"/>
  <c r="AP365" i="11"/>
  <c r="AN365" i="11"/>
  <c r="AM365" i="11"/>
  <c r="AL365" i="11"/>
  <c r="AK365" i="11"/>
  <c r="AI365" i="11"/>
  <c r="AH365" i="11"/>
  <c r="AG365" i="11"/>
  <c r="AF365" i="11"/>
  <c r="AD365" i="11"/>
  <c r="AC365" i="11"/>
  <c r="AB365" i="11"/>
  <c r="AA365" i="11"/>
  <c r="Y365" i="11"/>
  <c r="X365" i="11"/>
  <c r="W365" i="11"/>
  <c r="V365" i="11"/>
  <c r="T365" i="11"/>
  <c r="S365" i="11"/>
  <c r="R365" i="11"/>
  <c r="Q365" i="11"/>
  <c r="O365" i="11"/>
  <c r="N365" i="11"/>
  <c r="M365" i="11"/>
  <c r="L365" i="11"/>
  <c r="DF364" i="11"/>
  <c r="DK364" i="11" s="1"/>
  <c r="DE364" i="11"/>
  <c r="DJ364" i="11" s="1"/>
  <c r="DD364" i="11"/>
  <c r="DI364" i="11" s="1"/>
  <c r="DC364" i="11"/>
  <c r="DH364" i="11" s="1"/>
  <c r="BW364" i="11"/>
  <c r="CB364" i="11" s="1"/>
  <c r="CG364" i="11" s="1"/>
  <c r="CL364" i="11" s="1"/>
  <c r="CQ364" i="11" s="1"/>
  <c r="BV364" i="11"/>
  <c r="CA364" i="11" s="1"/>
  <c r="CF364" i="11" s="1"/>
  <c r="CK364" i="11" s="1"/>
  <c r="CP364" i="11" s="1"/>
  <c r="BU364" i="11"/>
  <c r="BZ364" i="11" s="1"/>
  <c r="CE364" i="11" s="1"/>
  <c r="CJ364" i="11" s="1"/>
  <c r="CO364" i="11" s="1"/>
  <c r="BT364" i="11"/>
  <c r="BY364" i="11" s="1"/>
  <c r="CD364" i="11" s="1"/>
  <c r="CI364" i="11" s="1"/>
  <c r="CN364" i="11" s="1"/>
  <c r="BD364" i="11"/>
  <c r="AY364" i="11"/>
  <c r="AT364" i="11"/>
  <c r="AO364" i="11"/>
  <c r="AJ364" i="11"/>
  <c r="AE364" i="11"/>
  <c r="Z364" i="11"/>
  <c r="U364" i="11"/>
  <c r="P364" i="11"/>
  <c r="BR362" i="11"/>
  <c r="BQ362" i="11"/>
  <c r="BP362" i="11"/>
  <c r="BO362" i="11"/>
  <c r="BM362" i="11"/>
  <c r="BL362" i="11"/>
  <c r="BK362" i="11"/>
  <c r="BJ362" i="11"/>
  <c r="BH362" i="11"/>
  <c r="BG362" i="11"/>
  <c r="BF362" i="11"/>
  <c r="BE362" i="11"/>
  <c r="BC362" i="11"/>
  <c r="BB362" i="11"/>
  <c r="BA362" i="11"/>
  <c r="AZ362" i="11"/>
  <c r="AX362" i="11"/>
  <c r="AW362" i="11"/>
  <c r="AV362" i="11"/>
  <c r="AU362" i="11"/>
  <c r="BR361" i="11"/>
  <c r="BQ361" i="11"/>
  <c r="BP361" i="11"/>
  <c r="BO361" i="11"/>
  <c r="BM361" i="11"/>
  <c r="BL361" i="11"/>
  <c r="BK361" i="11"/>
  <c r="BJ361" i="11"/>
  <c r="BH361" i="11"/>
  <c r="BG361" i="11"/>
  <c r="BF361" i="11"/>
  <c r="BE361" i="11"/>
  <c r="BC361" i="11"/>
  <c r="BB361" i="11"/>
  <c r="BA361" i="11"/>
  <c r="AZ361" i="11"/>
  <c r="AX361" i="11"/>
  <c r="AW361" i="11"/>
  <c r="AV361" i="11"/>
  <c r="AU361" i="11"/>
  <c r="BR360" i="11"/>
  <c r="BQ360" i="11"/>
  <c r="BP360" i="11"/>
  <c r="BO360" i="11"/>
  <c r="BM360" i="11"/>
  <c r="BL360" i="11"/>
  <c r="BK360" i="11"/>
  <c r="BJ360" i="11"/>
  <c r="BH360" i="11"/>
  <c r="BG360" i="11"/>
  <c r="BF360" i="11"/>
  <c r="BE360" i="11"/>
  <c r="BC360" i="11"/>
  <c r="BB360" i="11"/>
  <c r="BA360" i="11"/>
  <c r="AZ360" i="11"/>
  <c r="AX360" i="11"/>
  <c r="AW360" i="11"/>
  <c r="AV360" i="11"/>
  <c r="AU360" i="11"/>
  <c r="AS360" i="11"/>
  <c r="AR360" i="11"/>
  <c r="AQ360" i="11"/>
  <c r="AP360" i="11"/>
  <c r="AN360" i="11"/>
  <c r="AM360" i="11"/>
  <c r="AL360" i="11"/>
  <c r="AK360" i="11"/>
  <c r="AI360" i="11"/>
  <c r="AJ360" i="11" s="1"/>
  <c r="BS359" i="11"/>
  <c r="BN359" i="11"/>
  <c r="BI359" i="11"/>
  <c r="BD359" i="11"/>
  <c r="AY359" i="11"/>
  <c r="AT359" i="11"/>
  <c r="AO359" i="11"/>
  <c r="AJ359" i="11"/>
  <c r="BS358" i="11"/>
  <c r="BN358" i="11"/>
  <c r="BI358" i="11"/>
  <c r="BD358" i="11"/>
  <c r="AY358" i="11"/>
  <c r="AT358" i="11"/>
  <c r="AO358" i="11"/>
  <c r="AJ358" i="11"/>
  <c r="AX357" i="11"/>
  <c r="AW357" i="11"/>
  <c r="AV357" i="11"/>
  <c r="AU357" i="11"/>
  <c r="AS357" i="11"/>
  <c r="AR357" i="11"/>
  <c r="AQ357" i="11"/>
  <c r="AP357" i="11"/>
  <c r="AN357" i="11"/>
  <c r="AM357" i="11"/>
  <c r="AL357" i="11"/>
  <c r="AK357" i="11"/>
  <c r="AI357" i="11"/>
  <c r="AH357" i="11"/>
  <c r="AG357" i="11"/>
  <c r="AF357" i="11"/>
  <c r="AD357" i="11"/>
  <c r="AC357" i="11"/>
  <c r="AB357" i="11"/>
  <c r="AA357" i="11"/>
  <c r="Y357" i="11"/>
  <c r="X357" i="11"/>
  <c r="W357" i="11"/>
  <c r="V357" i="11"/>
  <c r="T357" i="11"/>
  <c r="S357" i="11"/>
  <c r="R357" i="11"/>
  <c r="Q357" i="11"/>
  <c r="BC356" i="11"/>
  <c r="BB356" i="11"/>
  <c r="BA356" i="11"/>
  <c r="AZ356" i="11"/>
  <c r="AY356" i="11"/>
  <c r="AT356" i="11"/>
  <c r="AO356" i="11"/>
  <c r="AJ356" i="11"/>
  <c r="AE356" i="11"/>
  <c r="Z356" i="11"/>
  <c r="U356" i="11"/>
  <c r="P356" i="11"/>
  <c r="BR354" i="11"/>
  <c r="BQ354" i="11"/>
  <c r="BP354" i="11"/>
  <c r="BO354" i="11"/>
  <c r="BM354" i="11"/>
  <c r="BL354" i="11"/>
  <c r="BK354" i="11"/>
  <c r="BJ354" i="11"/>
  <c r="BH354" i="11"/>
  <c r="BG354" i="11"/>
  <c r="BF354" i="11"/>
  <c r="BE354" i="11"/>
  <c r="BC354" i="11"/>
  <c r="BB354" i="11"/>
  <c r="BA354" i="11"/>
  <c r="AZ354" i="11"/>
  <c r="AX354" i="11"/>
  <c r="AW354" i="11"/>
  <c r="AV354" i="11"/>
  <c r="AU354" i="11"/>
  <c r="AS354" i="11"/>
  <c r="AR354" i="11"/>
  <c r="AQ354" i="11"/>
  <c r="AP354" i="11"/>
  <c r="AN354" i="11"/>
  <c r="AM354" i="11"/>
  <c r="AL354" i="11"/>
  <c r="AK354" i="11"/>
  <c r="AI354" i="11"/>
  <c r="AH354" i="11"/>
  <c r="AG354" i="11"/>
  <c r="AF354" i="11"/>
  <c r="AD354" i="11"/>
  <c r="AC354" i="11"/>
  <c r="AB354" i="11"/>
  <c r="AA354" i="11"/>
  <c r="Y354" i="11"/>
  <c r="X354" i="11"/>
  <c r="W354" i="11"/>
  <c r="V354" i="11"/>
  <c r="T354" i="11"/>
  <c r="S354" i="11"/>
  <c r="R354" i="11"/>
  <c r="Q354" i="11"/>
  <c r="O354" i="11"/>
  <c r="N354" i="11"/>
  <c r="M354" i="11"/>
  <c r="L354" i="11"/>
  <c r="J354" i="11"/>
  <c r="I354" i="11"/>
  <c r="H354" i="11"/>
  <c r="G354" i="11"/>
  <c r="BR353" i="11"/>
  <c r="BQ353" i="11"/>
  <c r="BP353" i="11"/>
  <c r="BO353" i="11"/>
  <c r="BM353" i="11"/>
  <c r="BL353" i="11"/>
  <c r="BK353" i="11"/>
  <c r="BJ353" i="11"/>
  <c r="BH353" i="11"/>
  <c r="BG353" i="11"/>
  <c r="BF353" i="11"/>
  <c r="BE353" i="11"/>
  <c r="BC353" i="11"/>
  <c r="BB353" i="11"/>
  <c r="BA353" i="11"/>
  <c r="AZ353" i="11"/>
  <c r="AX353" i="11"/>
  <c r="AW353" i="11"/>
  <c r="AV353" i="11"/>
  <c r="AU353" i="11"/>
  <c r="AS353" i="11"/>
  <c r="AR353" i="11"/>
  <c r="AQ353" i="11"/>
  <c r="AP353" i="11"/>
  <c r="AN353" i="11"/>
  <c r="AM353" i="11"/>
  <c r="AL353" i="11"/>
  <c r="AK353" i="11"/>
  <c r="AI353" i="11"/>
  <c r="AH353" i="11"/>
  <c r="AG353" i="11"/>
  <c r="AF353" i="11"/>
  <c r="AD353" i="11"/>
  <c r="AC353" i="11"/>
  <c r="AB353" i="11"/>
  <c r="AA353" i="11"/>
  <c r="Y353" i="11"/>
  <c r="X353" i="11"/>
  <c r="W353" i="11"/>
  <c r="V353" i="11"/>
  <c r="T353" i="11"/>
  <c r="S353" i="11"/>
  <c r="R353" i="11"/>
  <c r="Q353" i="11"/>
  <c r="O353" i="11"/>
  <c r="N353" i="11"/>
  <c r="M353" i="11"/>
  <c r="L353" i="11"/>
  <c r="J353" i="11"/>
  <c r="I353" i="11"/>
  <c r="H353" i="11"/>
  <c r="G353" i="11"/>
  <c r="BR352" i="11"/>
  <c r="BQ352" i="11"/>
  <c r="BP352" i="11"/>
  <c r="BO352" i="11"/>
  <c r="BM352" i="11"/>
  <c r="BL352" i="11"/>
  <c r="BK352" i="11"/>
  <c r="BJ352" i="11"/>
  <c r="BH352" i="11"/>
  <c r="BG352" i="11"/>
  <c r="BF352" i="11"/>
  <c r="BE352" i="11"/>
  <c r="BC352" i="11"/>
  <c r="BB352" i="11"/>
  <c r="BA352" i="11"/>
  <c r="AZ352" i="11"/>
  <c r="AX352" i="11"/>
  <c r="AW352" i="11"/>
  <c r="AV352" i="11"/>
  <c r="AU352" i="11"/>
  <c r="AS352" i="11"/>
  <c r="AR352" i="11"/>
  <c r="AQ352" i="11"/>
  <c r="AP352" i="11"/>
  <c r="AN352" i="11"/>
  <c r="AM352" i="11"/>
  <c r="AL352" i="11"/>
  <c r="AK352" i="11"/>
  <c r="AI352" i="11"/>
  <c r="AH352" i="11"/>
  <c r="AG352" i="11"/>
  <c r="AF352" i="11"/>
  <c r="AD352" i="11"/>
  <c r="AC352" i="11"/>
  <c r="AB352" i="11"/>
  <c r="AA352" i="11"/>
  <c r="Y352" i="11"/>
  <c r="X352" i="11"/>
  <c r="W352" i="11"/>
  <c r="V352" i="11"/>
  <c r="T352" i="11"/>
  <c r="S352" i="11"/>
  <c r="R352" i="11"/>
  <c r="Q352" i="11"/>
  <c r="O352" i="11"/>
  <c r="N352" i="11"/>
  <c r="M352" i="11"/>
  <c r="L352" i="11"/>
  <c r="J352" i="11"/>
  <c r="I352" i="11"/>
  <c r="H352" i="11"/>
  <c r="G352" i="11"/>
  <c r="F352" i="11"/>
  <c r="E352" i="11"/>
  <c r="D352" i="11"/>
  <c r="C352" i="11"/>
  <c r="B352" i="11"/>
  <c r="BS351" i="11"/>
  <c r="BN351" i="11"/>
  <c r="BI351" i="11"/>
  <c r="BD351" i="11"/>
  <c r="AY351" i="11"/>
  <c r="AT351" i="11"/>
  <c r="AO351" i="11"/>
  <c r="AJ351" i="11"/>
  <c r="AE351" i="11"/>
  <c r="Z351" i="11"/>
  <c r="U351" i="11"/>
  <c r="P351" i="11"/>
  <c r="K351" i="11"/>
  <c r="K354" i="11" s="1"/>
  <c r="BS350" i="11"/>
  <c r="BN350" i="11"/>
  <c r="BI350" i="11"/>
  <c r="BD350" i="11"/>
  <c r="AY350" i="11"/>
  <c r="AT350" i="11"/>
  <c r="AO350" i="11"/>
  <c r="AJ350" i="11"/>
  <c r="AE350" i="11"/>
  <c r="Z350" i="11"/>
  <c r="U350" i="11"/>
  <c r="P350" i="11"/>
  <c r="K350" i="11"/>
  <c r="K353" i="11" s="1"/>
  <c r="BM348" i="11"/>
  <c r="BL348" i="11"/>
  <c r="BK348" i="11"/>
  <c r="BJ348" i="11"/>
  <c r="BH348" i="11"/>
  <c r="BG348" i="11"/>
  <c r="BF348" i="11"/>
  <c r="BE348" i="11"/>
  <c r="BC348" i="11"/>
  <c r="BB348" i="11"/>
  <c r="BA348" i="11"/>
  <c r="AZ348" i="11"/>
  <c r="AX348" i="11"/>
  <c r="AW348" i="11"/>
  <c r="AV348" i="11"/>
  <c r="AU348" i="11"/>
  <c r="AS348" i="11"/>
  <c r="AR348" i="11"/>
  <c r="AQ348" i="11"/>
  <c r="AP348" i="11"/>
  <c r="AN348" i="11"/>
  <c r="AM348" i="11"/>
  <c r="AL348" i="11"/>
  <c r="AK348" i="11"/>
  <c r="AI348" i="11"/>
  <c r="AH348" i="11"/>
  <c r="AG348" i="11"/>
  <c r="AF348" i="11"/>
  <c r="AD348" i="11"/>
  <c r="AC348" i="11"/>
  <c r="AB348" i="11"/>
  <c r="AA348" i="11"/>
  <c r="Y348" i="11"/>
  <c r="X348" i="11"/>
  <c r="W348" i="11"/>
  <c r="V348" i="11"/>
  <c r="T348" i="11"/>
  <c r="S348" i="11"/>
  <c r="R348" i="11"/>
  <c r="Q348" i="11"/>
  <c r="O348" i="11"/>
  <c r="N348" i="11"/>
  <c r="M348" i="11"/>
  <c r="L348" i="11"/>
  <c r="J348" i="11"/>
  <c r="BM347" i="11"/>
  <c r="BL347" i="11"/>
  <c r="BK347" i="11"/>
  <c r="BJ347" i="11"/>
  <c r="BH347" i="11"/>
  <c r="BG347" i="11"/>
  <c r="BF347" i="11"/>
  <c r="BE347" i="11"/>
  <c r="BC347" i="11"/>
  <c r="BB347" i="11"/>
  <c r="BA347" i="11"/>
  <c r="AZ347" i="11"/>
  <c r="AX347" i="11"/>
  <c r="AW347" i="11"/>
  <c r="AV347" i="11"/>
  <c r="AU347" i="11"/>
  <c r="AS347" i="11"/>
  <c r="AR347" i="11"/>
  <c r="AQ347" i="11"/>
  <c r="AP347" i="11"/>
  <c r="AN347" i="11"/>
  <c r="AM347" i="11"/>
  <c r="AL347" i="11"/>
  <c r="AK347" i="11"/>
  <c r="AI347" i="11"/>
  <c r="AH347" i="11"/>
  <c r="AG347" i="11"/>
  <c r="AF347" i="11"/>
  <c r="AD347" i="11"/>
  <c r="AC347" i="11"/>
  <c r="AB347" i="11"/>
  <c r="AA347" i="11"/>
  <c r="Y347" i="11"/>
  <c r="X347" i="11"/>
  <c r="W347" i="11"/>
  <c r="V347" i="11"/>
  <c r="T347" i="11"/>
  <c r="S347" i="11"/>
  <c r="R347" i="11"/>
  <c r="Q347" i="11"/>
  <c r="O347" i="11"/>
  <c r="N347" i="11"/>
  <c r="M347" i="11"/>
  <c r="L347" i="11"/>
  <c r="J347" i="11"/>
  <c r="I347" i="11"/>
  <c r="H347" i="11"/>
  <c r="G347" i="11"/>
  <c r="BO346" i="11"/>
  <c r="BM346" i="11"/>
  <c r="BL346" i="11"/>
  <c r="BK346" i="11"/>
  <c r="BJ346" i="11"/>
  <c r="BH346" i="11"/>
  <c r="BG346" i="11"/>
  <c r="BF346" i="11"/>
  <c r="BE346" i="11"/>
  <c r="BC346" i="11"/>
  <c r="BB346" i="11"/>
  <c r="BA346" i="11"/>
  <c r="AZ346" i="11"/>
  <c r="AX346" i="11"/>
  <c r="AW346" i="11"/>
  <c r="AV346" i="11"/>
  <c r="AU346" i="11"/>
  <c r="AS346" i="11"/>
  <c r="AR346" i="11"/>
  <c r="AQ346" i="11"/>
  <c r="AP346" i="11"/>
  <c r="AN346" i="11"/>
  <c r="AM346" i="11"/>
  <c r="AL346" i="11"/>
  <c r="AK346" i="11"/>
  <c r="AI346" i="11"/>
  <c r="AH346" i="11"/>
  <c r="AG346" i="11"/>
  <c r="AF346" i="11"/>
  <c r="AD346" i="11"/>
  <c r="AC346" i="11"/>
  <c r="AB346" i="11"/>
  <c r="AA346" i="11"/>
  <c r="Y346" i="11"/>
  <c r="X346" i="11"/>
  <c r="W346" i="11"/>
  <c r="V346" i="11"/>
  <c r="T346" i="11"/>
  <c r="S346" i="11"/>
  <c r="R346" i="11"/>
  <c r="Q346" i="11"/>
  <c r="O346" i="11"/>
  <c r="N346" i="11"/>
  <c r="M346" i="11"/>
  <c r="L346" i="11"/>
  <c r="J346" i="11"/>
  <c r="I346" i="11"/>
  <c r="H346" i="11"/>
  <c r="G346" i="11"/>
  <c r="F346" i="11"/>
  <c r="E346" i="11"/>
  <c r="D346" i="11"/>
  <c r="C346" i="11"/>
  <c r="B346" i="11"/>
  <c r="BN345" i="11"/>
  <c r="BI345" i="11"/>
  <c r="BD345" i="11"/>
  <c r="AY345" i="11"/>
  <c r="AT345" i="11"/>
  <c r="AO345" i="11"/>
  <c r="AJ345" i="11"/>
  <c r="AE345" i="11"/>
  <c r="Z345" i="11"/>
  <c r="U345" i="11"/>
  <c r="P345" i="11"/>
  <c r="K345" i="11"/>
  <c r="K348" i="11" s="1"/>
  <c r="BN344" i="11"/>
  <c r="BI344" i="11"/>
  <c r="BD344" i="11"/>
  <c r="AY344" i="11"/>
  <c r="AT344" i="11"/>
  <c r="AO344" i="11"/>
  <c r="AJ344" i="11"/>
  <c r="AE344" i="11"/>
  <c r="Z344" i="11"/>
  <c r="U344" i="11"/>
  <c r="P344" i="11"/>
  <c r="K344" i="11"/>
  <c r="K347" i="11" s="1"/>
  <c r="BC339" i="11"/>
  <c r="BB339" i="11"/>
  <c r="BA339" i="11"/>
  <c r="AZ339" i="11"/>
  <c r="AX339" i="11"/>
  <c r="AW339" i="11"/>
  <c r="AV339" i="11"/>
  <c r="AS339" i="11"/>
  <c r="AR339" i="11"/>
  <c r="AQ339" i="11"/>
  <c r="AN339" i="11"/>
  <c r="AM339" i="11"/>
  <c r="AL339" i="11"/>
  <c r="AK339" i="11"/>
  <c r="AI339" i="11"/>
  <c r="AH339" i="11"/>
  <c r="AG339" i="11"/>
  <c r="AF339" i="11"/>
  <c r="O339" i="11"/>
  <c r="N339" i="11"/>
  <c r="M339" i="11"/>
  <c r="L339" i="11"/>
  <c r="BC338" i="11"/>
  <c r="BB338" i="11"/>
  <c r="BA338" i="11"/>
  <c r="AZ338" i="11"/>
  <c r="AX338" i="11"/>
  <c r="AW338" i="11"/>
  <c r="AV338" i="11"/>
  <c r="AU338" i="11"/>
  <c r="AS338" i="11"/>
  <c r="AR338" i="11"/>
  <c r="AQ338" i="11"/>
  <c r="AN338" i="11"/>
  <c r="AM338" i="11"/>
  <c r="AL338" i="11"/>
  <c r="AK338" i="11"/>
  <c r="AI338" i="11"/>
  <c r="AH338" i="11"/>
  <c r="AG338" i="11"/>
  <c r="AF338" i="11"/>
  <c r="AD338" i="11"/>
  <c r="AC338" i="11"/>
  <c r="AB338" i="11"/>
  <c r="AA338" i="11"/>
  <c r="O338" i="11"/>
  <c r="O341" i="11" s="1"/>
  <c r="N338" i="11"/>
  <c r="N341" i="11" s="1"/>
  <c r="M338" i="11"/>
  <c r="M341" i="11" s="1"/>
  <c r="L338" i="11"/>
  <c r="L341" i="11" s="1"/>
  <c r="BD337" i="11"/>
  <c r="AY337" i="11"/>
  <c r="AT337" i="11"/>
  <c r="AO337" i="11"/>
  <c r="AJ337" i="11"/>
  <c r="T337" i="11"/>
  <c r="S337" i="11"/>
  <c r="R337" i="11"/>
  <c r="Q337" i="11"/>
  <c r="P337" i="11"/>
  <c r="BD336" i="11"/>
  <c r="AY336" i="11"/>
  <c r="AO336" i="11"/>
  <c r="AJ336" i="11"/>
  <c r="AE336" i="11"/>
  <c r="AE338" i="11" s="1"/>
  <c r="Z336" i="11"/>
  <c r="Z338" i="11" s="1"/>
  <c r="T336" i="11"/>
  <c r="S336" i="11"/>
  <c r="R336" i="11"/>
  <c r="Q336" i="11"/>
  <c r="P336" i="11"/>
  <c r="BM334" i="11"/>
  <c r="BL334" i="11"/>
  <c r="BK334" i="11"/>
  <c r="BJ334" i="11"/>
  <c r="BH334" i="11"/>
  <c r="BG334" i="11"/>
  <c r="BF334" i="11"/>
  <c r="BE334" i="11"/>
  <c r="BC334" i="11"/>
  <c r="BB334" i="11"/>
  <c r="BA334" i="11"/>
  <c r="AZ334" i="11"/>
  <c r="AX334" i="11"/>
  <c r="AW334" i="11"/>
  <c r="AV334" i="11"/>
  <c r="AU334" i="11"/>
  <c r="AS334" i="11"/>
  <c r="AR334" i="11"/>
  <c r="AQ334" i="11"/>
  <c r="AP334" i="11"/>
  <c r="AN334" i="11"/>
  <c r="AM334" i="11"/>
  <c r="AK334" i="11"/>
  <c r="AI334" i="11"/>
  <c r="AH334" i="11"/>
  <c r="AF334" i="11"/>
  <c r="AD334" i="11"/>
  <c r="AC334" i="11"/>
  <c r="AB334" i="11"/>
  <c r="AA334" i="11"/>
  <c r="Y334" i="11"/>
  <c r="X334" i="11"/>
  <c r="W334" i="11"/>
  <c r="V334" i="11"/>
  <c r="T334" i="11"/>
  <c r="S334" i="11"/>
  <c r="R334" i="11"/>
  <c r="Q334" i="11"/>
  <c r="O334" i="11"/>
  <c r="N334" i="11"/>
  <c r="M334" i="11"/>
  <c r="L334" i="11"/>
  <c r="J334" i="11"/>
  <c r="I334" i="11"/>
  <c r="H334" i="11"/>
  <c r="G334" i="11"/>
  <c r="BM333" i="11"/>
  <c r="BL333" i="11"/>
  <c r="BK333" i="11"/>
  <c r="BJ333" i="11"/>
  <c r="BH333" i="11"/>
  <c r="BG333" i="11"/>
  <c r="BF333" i="11"/>
  <c r="BE333" i="11"/>
  <c r="BC333" i="11"/>
  <c r="BB333" i="11"/>
  <c r="BA333" i="11"/>
  <c r="AZ333" i="11"/>
  <c r="AX333" i="11"/>
  <c r="AW333" i="11"/>
  <c r="AV333" i="11"/>
  <c r="AU333" i="11"/>
  <c r="AS333" i="11"/>
  <c r="AR333" i="11"/>
  <c r="AQ333" i="11"/>
  <c r="AP333" i="11"/>
  <c r="AN333" i="11"/>
  <c r="AM333" i="11"/>
  <c r="AL333" i="11"/>
  <c r="AK333" i="11"/>
  <c r="AI333" i="11"/>
  <c r="AH333" i="11"/>
  <c r="AG333" i="11"/>
  <c r="AF333" i="11"/>
  <c r="AD333" i="11"/>
  <c r="AC333" i="11"/>
  <c r="AB333" i="11"/>
  <c r="AA333" i="11"/>
  <c r="Y333" i="11"/>
  <c r="X333" i="11"/>
  <c r="W333" i="11"/>
  <c r="V333" i="11"/>
  <c r="T333" i="11"/>
  <c r="S333" i="11"/>
  <c r="R333" i="11"/>
  <c r="Q333" i="11"/>
  <c r="O333" i="11"/>
  <c r="N333" i="11"/>
  <c r="M333" i="11"/>
  <c r="L333" i="11"/>
  <c r="J333" i="11"/>
  <c r="I333" i="11"/>
  <c r="H333" i="11"/>
  <c r="G333" i="11"/>
  <c r="BO332" i="11"/>
  <c r="BM332" i="11"/>
  <c r="BL332" i="11"/>
  <c r="BK332" i="11"/>
  <c r="BJ332" i="11"/>
  <c r="BH332" i="11"/>
  <c r="BG332" i="11"/>
  <c r="BF332" i="11"/>
  <c r="BE332" i="11"/>
  <c r="BC332" i="11"/>
  <c r="BB332" i="11"/>
  <c r="BA332" i="11"/>
  <c r="AZ332" i="11"/>
  <c r="AX332" i="11"/>
  <c r="AW332" i="11"/>
  <c r="AV332" i="11"/>
  <c r="AU332" i="11"/>
  <c r="AS332" i="11"/>
  <c r="AR332" i="11"/>
  <c r="AQ332" i="11"/>
  <c r="AP332" i="11"/>
  <c r="AN332" i="11"/>
  <c r="AM332" i="11"/>
  <c r="AL332" i="11"/>
  <c r="AL335" i="11" s="1"/>
  <c r="AK332" i="11"/>
  <c r="AI332" i="11"/>
  <c r="AH332" i="11"/>
  <c r="AF332" i="11"/>
  <c r="AD332" i="11"/>
  <c r="AC332" i="11"/>
  <c r="AB332" i="11"/>
  <c r="AG335" i="11" s="1"/>
  <c r="AA332" i="11"/>
  <c r="Y332" i="11"/>
  <c r="X332" i="11"/>
  <c r="W332" i="11"/>
  <c r="V332" i="11"/>
  <c r="T332" i="11"/>
  <c r="S332" i="11"/>
  <c r="R332" i="11"/>
  <c r="Q332" i="11"/>
  <c r="O332" i="11"/>
  <c r="N332" i="11"/>
  <c r="M332" i="11"/>
  <c r="L332" i="11"/>
  <c r="J332" i="11"/>
  <c r="I332" i="11"/>
  <c r="H332" i="11"/>
  <c r="G332" i="11"/>
  <c r="F332" i="11"/>
  <c r="E332" i="11"/>
  <c r="D332" i="11"/>
  <c r="C332" i="11"/>
  <c r="B332" i="11"/>
  <c r="BN331" i="11"/>
  <c r="BI331" i="11"/>
  <c r="BD331" i="11"/>
  <c r="AY331" i="11"/>
  <c r="AT331" i="11"/>
  <c r="AO331" i="11"/>
  <c r="AE331" i="11"/>
  <c r="Z331" i="11"/>
  <c r="U331" i="11"/>
  <c r="P331" i="11"/>
  <c r="K331" i="11"/>
  <c r="K334" i="11" s="1"/>
  <c r="BN330" i="11"/>
  <c r="BI330" i="11"/>
  <c r="BD330" i="11"/>
  <c r="AY330" i="11"/>
  <c r="AT330" i="11"/>
  <c r="AO330" i="11"/>
  <c r="AJ330" i="11"/>
  <c r="AE330" i="11"/>
  <c r="Z330" i="11"/>
  <c r="U330" i="11"/>
  <c r="P330" i="11"/>
  <c r="K330" i="11"/>
  <c r="K333" i="11" s="1"/>
  <c r="BH328" i="11"/>
  <c r="BG328" i="11"/>
  <c r="BF328" i="11"/>
  <c r="BE328" i="11"/>
  <c r="BB328" i="11"/>
  <c r="BA328" i="11"/>
  <c r="AZ328" i="11"/>
  <c r="AX328" i="11"/>
  <c r="AW328" i="11"/>
  <c r="AV328" i="11"/>
  <c r="AU328" i="11"/>
  <c r="AS328" i="11"/>
  <c r="AR328" i="11"/>
  <c r="AQ328" i="11"/>
  <c r="AP328" i="11"/>
  <c r="AN328" i="11"/>
  <c r="AM328" i="11"/>
  <c r="AL328" i="11"/>
  <c r="AK328" i="11"/>
  <c r="AI328" i="11"/>
  <c r="AH328" i="11"/>
  <c r="AG328" i="11"/>
  <c r="AF328" i="11"/>
  <c r="AD328" i="11"/>
  <c r="AC328" i="11"/>
  <c r="AB328" i="11"/>
  <c r="AA328" i="11"/>
  <c r="Y328" i="11"/>
  <c r="X328" i="11"/>
  <c r="W328" i="11"/>
  <c r="V328" i="11"/>
  <c r="T328" i="11"/>
  <c r="S328" i="11"/>
  <c r="R328" i="11"/>
  <c r="Q328" i="11"/>
  <c r="O328" i="11"/>
  <c r="N328" i="11"/>
  <c r="M328" i="11"/>
  <c r="L328" i="11"/>
  <c r="J328" i="11"/>
  <c r="I328" i="11"/>
  <c r="H328" i="11"/>
  <c r="G328" i="11"/>
  <c r="J327" i="11"/>
  <c r="I327" i="11"/>
  <c r="H327" i="11"/>
  <c r="G327" i="11"/>
  <c r="BH326" i="11"/>
  <c r="BG326" i="11"/>
  <c r="BF326" i="11"/>
  <c r="BE326" i="11"/>
  <c r="BC326" i="11"/>
  <c r="BB326" i="11"/>
  <c r="BA326" i="11"/>
  <c r="AW326" i="11"/>
  <c r="AV326" i="11"/>
  <c r="AU326" i="11"/>
  <c r="AS326" i="11"/>
  <c r="AR326" i="11"/>
  <c r="AQ326" i="11"/>
  <c r="AP326" i="11"/>
  <c r="AN326" i="11"/>
  <c r="AM326" i="11"/>
  <c r="AL326" i="11"/>
  <c r="AK326" i="11"/>
  <c r="AI326" i="11"/>
  <c r="AH326" i="11"/>
  <c r="AG326" i="11"/>
  <c r="AD326" i="11"/>
  <c r="AC326" i="11"/>
  <c r="AB326" i="11"/>
  <c r="AA326" i="11"/>
  <c r="Y326" i="11"/>
  <c r="X326" i="11"/>
  <c r="W326" i="11"/>
  <c r="V326" i="11"/>
  <c r="T326" i="11"/>
  <c r="S326" i="11"/>
  <c r="R326" i="11"/>
  <c r="W329" i="11" s="1"/>
  <c r="Q326" i="11"/>
  <c r="O326" i="11"/>
  <c r="N326" i="11"/>
  <c r="M326" i="11"/>
  <c r="L326" i="11"/>
  <c r="J326" i="11"/>
  <c r="I326" i="11"/>
  <c r="H326" i="11"/>
  <c r="G326" i="11"/>
  <c r="F326" i="11"/>
  <c r="E326" i="11"/>
  <c r="D326" i="11"/>
  <c r="C326" i="11"/>
  <c r="B326" i="11"/>
  <c r="BI325" i="11"/>
  <c r="BD325" i="11"/>
  <c r="AY325" i="11"/>
  <c r="AT325" i="11"/>
  <c r="AO325" i="11"/>
  <c r="AJ325" i="11"/>
  <c r="AE325" i="11"/>
  <c r="Z325" i="11"/>
  <c r="U325" i="11"/>
  <c r="P325" i="11"/>
  <c r="K325" i="11"/>
  <c r="BI324" i="11"/>
  <c r="AZ324" i="11"/>
  <c r="AZ326" i="11" s="1"/>
  <c r="AX324" i="11"/>
  <c r="AY324" i="11" s="1"/>
  <c r="AT324" i="11"/>
  <c r="AO324" i="11"/>
  <c r="AF324" i="11"/>
  <c r="AF326" i="11" s="1"/>
  <c r="AE324" i="11"/>
  <c r="Z324" i="11"/>
  <c r="U324" i="11"/>
  <c r="P324" i="11"/>
  <c r="K324" i="11"/>
  <c r="K327" i="11" s="1"/>
  <c r="CB322" i="11"/>
  <c r="CA322" i="11"/>
  <c r="BZ322" i="11"/>
  <c r="BY322" i="11"/>
  <c r="BW322" i="11"/>
  <c r="BV322" i="11"/>
  <c r="BU322" i="11"/>
  <c r="BT322" i="11"/>
  <c r="BR322" i="11"/>
  <c r="BQ322" i="11"/>
  <c r="BP322" i="11"/>
  <c r="BO322" i="11"/>
  <c r="BM322" i="11"/>
  <c r="BL322" i="11"/>
  <c r="BK322" i="11"/>
  <c r="BJ322" i="11"/>
  <c r="BH322" i="11"/>
  <c r="BG322" i="11"/>
  <c r="BF322" i="11"/>
  <c r="BE322" i="11"/>
  <c r="BC322" i="11"/>
  <c r="BB322" i="11"/>
  <c r="BA322" i="11"/>
  <c r="AZ322" i="11"/>
  <c r="AX322" i="11"/>
  <c r="AW322" i="11"/>
  <c r="AV322" i="11"/>
  <c r="AU322" i="11"/>
  <c r="AS322" i="11"/>
  <c r="AR322" i="11"/>
  <c r="AQ322" i="11"/>
  <c r="AP322" i="11"/>
  <c r="AN322" i="11"/>
  <c r="AM322" i="11"/>
  <c r="AL322" i="11"/>
  <c r="AK322" i="11"/>
  <c r="AI322" i="11"/>
  <c r="AH322" i="11"/>
  <c r="AG322" i="11"/>
  <c r="AF322" i="11"/>
  <c r="AD322" i="11"/>
  <c r="AC322" i="11"/>
  <c r="AB322" i="11"/>
  <c r="AA322" i="11"/>
  <c r="Y322" i="11"/>
  <c r="X322" i="11"/>
  <c r="W322" i="11"/>
  <c r="V322" i="11"/>
  <c r="T322" i="11"/>
  <c r="S322" i="11"/>
  <c r="R322" i="11"/>
  <c r="Q322" i="11"/>
  <c r="O322" i="11"/>
  <c r="N322" i="11"/>
  <c r="M322" i="11"/>
  <c r="L322" i="11"/>
  <c r="J322" i="11"/>
  <c r="I322" i="11"/>
  <c r="H322" i="11"/>
  <c r="G322" i="11"/>
  <c r="CB321" i="11"/>
  <c r="CA321" i="11"/>
  <c r="BZ321" i="11"/>
  <c r="BY321" i="11"/>
  <c r="BW321" i="11"/>
  <c r="BV321" i="11"/>
  <c r="BU321" i="11"/>
  <c r="BT321" i="11"/>
  <c r="BR321" i="11"/>
  <c r="BQ321" i="11"/>
  <c r="BP321" i="11"/>
  <c r="BO321" i="11"/>
  <c r="BM321" i="11"/>
  <c r="BL321" i="11"/>
  <c r="BK321" i="11"/>
  <c r="BJ321" i="11"/>
  <c r="BH321" i="11"/>
  <c r="BG321" i="11"/>
  <c r="BF321" i="11"/>
  <c r="BE321" i="11"/>
  <c r="BC321" i="11"/>
  <c r="BB321" i="11"/>
  <c r="BA321" i="11"/>
  <c r="AZ321" i="11"/>
  <c r="AK321" i="11"/>
  <c r="AI321" i="11"/>
  <c r="AH321" i="11"/>
  <c r="AG321" i="11"/>
  <c r="AF321" i="11"/>
  <c r="AD321" i="11"/>
  <c r="AC321" i="11"/>
  <c r="AB321" i="11"/>
  <c r="AA321" i="11"/>
  <c r="Y321" i="11"/>
  <c r="X321" i="11"/>
  <c r="W321" i="11"/>
  <c r="V321" i="11"/>
  <c r="T321" i="11"/>
  <c r="S321" i="11"/>
  <c r="R321" i="11"/>
  <c r="Q321" i="11"/>
  <c r="O321" i="11"/>
  <c r="N321" i="11"/>
  <c r="M321" i="11"/>
  <c r="L321" i="11"/>
  <c r="J321" i="11"/>
  <c r="I321" i="11"/>
  <c r="H321" i="11"/>
  <c r="G321" i="11"/>
  <c r="CB320" i="11"/>
  <c r="CA320" i="11"/>
  <c r="BZ320" i="11"/>
  <c r="BY320" i="11"/>
  <c r="BW320" i="11"/>
  <c r="BV320" i="11"/>
  <c r="BU320" i="11"/>
  <c r="BT320" i="11"/>
  <c r="BR320" i="11"/>
  <c r="BQ320" i="11"/>
  <c r="BP320" i="11"/>
  <c r="BO320" i="11"/>
  <c r="BM320" i="11"/>
  <c r="BL320" i="11"/>
  <c r="BK320" i="11"/>
  <c r="BJ320" i="11"/>
  <c r="BH320" i="11"/>
  <c r="BG320" i="11"/>
  <c r="BF320" i="11"/>
  <c r="BE320" i="11"/>
  <c r="BC320" i="11"/>
  <c r="BB320" i="11"/>
  <c r="BA320" i="11"/>
  <c r="AZ320" i="11"/>
  <c r="AX320" i="11"/>
  <c r="AW320" i="11"/>
  <c r="AV320" i="11"/>
  <c r="AU320" i="11"/>
  <c r="AS320" i="11"/>
  <c r="AR320" i="11"/>
  <c r="AQ320" i="11"/>
  <c r="AP320" i="11"/>
  <c r="AN320" i="11"/>
  <c r="AM320" i="11"/>
  <c r="AL320" i="11"/>
  <c r="AK320" i="11"/>
  <c r="AI320" i="11"/>
  <c r="AH320" i="11"/>
  <c r="AG320" i="11"/>
  <c r="AF320" i="11"/>
  <c r="AD320" i="11"/>
  <c r="AC320" i="11"/>
  <c r="AB320" i="11"/>
  <c r="AA320" i="11"/>
  <c r="Y320" i="11"/>
  <c r="X320" i="11"/>
  <c r="W320" i="11"/>
  <c r="V320" i="11"/>
  <c r="T320" i="11"/>
  <c r="S320" i="11"/>
  <c r="R320" i="11"/>
  <c r="Q320" i="11"/>
  <c r="O320" i="11"/>
  <c r="N320" i="11"/>
  <c r="M320" i="11"/>
  <c r="L320" i="11"/>
  <c r="J320" i="11"/>
  <c r="I320" i="11"/>
  <c r="H320" i="11"/>
  <c r="G320" i="11"/>
  <c r="F320" i="11"/>
  <c r="E320" i="11"/>
  <c r="D320" i="11"/>
  <c r="C320" i="11"/>
  <c r="B320" i="11"/>
  <c r="CC319" i="11"/>
  <c r="BX319" i="11"/>
  <c r="BS319" i="11"/>
  <c r="BN319" i="11"/>
  <c r="BI319" i="11"/>
  <c r="BD319" i="11"/>
  <c r="AY319" i="11"/>
  <c r="AT319" i="11"/>
  <c r="AO319" i="11"/>
  <c r="AJ319" i="11"/>
  <c r="AE319" i="11"/>
  <c r="Z319" i="11"/>
  <c r="U319" i="11"/>
  <c r="P319" i="11"/>
  <c r="K319" i="11"/>
  <c r="K322" i="11" s="1"/>
  <c r="CC318" i="11"/>
  <c r="BX318" i="11"/>
  <c r="BS318" i="11"/>
  <c r="BN318" i="11"/>
  <c r="BI318" i="11"/>
  <c r="BD318" i="11"/>
  <c r="AY318" i="11"/>
  <c r="AT318" i="11"/>
  <c r="AO318" i="11"/>
  <c r="AJ318" i="11"/>
  <c r="AE318" i="11"/>
  <c r="Z318" i="11"/>
  <c r="U318" i="11"/>
  <c r="P318" i="11"/>
  <c r="K318" i="11"/>
  <c r="K321" i="11" s="1"/>
  <c r="BM316" i="11"/>
  <c r="BL316" i="11"/>
  <c r="BK316" i="11"/>
  <c r="BJ316" i="11"/>
  <c r="BH316" i="11"/>
  <c r="BG316" i="11"/>
  <c r="BF316" i="11"/>
  <c r="BE316" i="11"/>
  <c r="BC316" i="11"/>
  <c r="BB316" i="11"/>
  <c r="BA316" i="11"/>
  <c r="AZ316" i="11"/>
  <c r="AX316" i="11"/>
  <c r="AW316" i="11"/>
  <c r="AV316" i="11"/>
  <c r="AU316" i="11"/>
  <c r="AS316" i="11"/>
  <c r="AR316" i="11"/>
  <c r="AQ316" i="11"/>
  <c r="AP316" i="11"/>
  <c r="AN316" i="11"/>
  <c r="AM316" i="11"/>
  <c r="AL316" i="11"/>
  <c r="AK316" i="11"/>
  <c r="AI316" i="11"/>
  <c r="AH316" i="11"/>
  <c r="AG316" i="11"/>
  <c r="AF316" i="11"/>
  <c r="AD316" i="11"/>
  <c r="AC316" i="11"/>
  <c r="AB316" i="11"/>
  <c r="AA316" i="11"/>
  <c r="Y316" i="11"/>
  <c r="X316" i="11"/>
  <c r="W316" i="11"/>
  <c r="V316" i="11"/>
  <c r="T316" i="11"/>
  <c r="S316" i="11"/>
  <c r="R316" i="11"/>
  <c r="Q316" i="11"/>
  <c r="O316" i="11"/>
  <c r="N316" i="11"/>
  <c r="M316" i="11"/>
  <c r="L316" i="11"/>
  <c r="M315" i="11"/>
  <c r="L315" i="11"/>
  <c r="BO314" i="11"/>
  <c r="BM314" i="11"/>
  <c r="BL314" i="11"/>
  <c r="BK314" i="11"/>
  <c r="BJ314" i="11"/>
  <c r="BH314" i="11"/>
  <c r="BG314" i="11"/>
  <c r="BF314" i="11"/>
  <c r="BE314" i="11"/>
  <c r="BC314" i="11"/>
  <c r="BB314" i="11"/>
  <c r="BA314" i="11"/>
  <c r="AZ314" i="11"/>
  <c r="AX314" i="11"/>
  <c r="AW314" i="11"/>
  <c r="AV314" i="11"/>
  <c r="AU314" i="11"/>
  <c r="AS314" i="11"/>
  <c r="AR314" i="11"/>
  <c r="AQ314" i="11"/>
  <c r="AP314" i="11"/>
  <c r="AN314" i="11"/>
  <c r="AM314" i="11"/>
  <c r="AL314" i="11"/>
  <c r="AK314" i="11"/>
  <c r="AI314" i="11"/>
  <c r="AH314" i="11"/>
  <c r="AG314" i="11"/>
  <c r="AF314" i="11"/>
  <c r="AD314" i="11"/>
  <c r="AC314" i="11"/>
  <c r="AB314" i="11"/>
  <c r="AA314" i="11"/>
  <c r="Y314" i="11"/>
  <c r="X314" i="11"/>
  <c r="W314" i="11"/>
  <c r="V314" i="11"/>
  <c r="T314" i="11"/>
  <c r="S314" i="11"/>
  <c r="R314" i="11"/>
  <c r="Q314" i="11"/>
  <c r="O314" i="11"/>
  <c r="N314" i="11"/>
  <c r="N317" i="11" s="1"/>
  <c r="M314" i="11"/>
  <c r="M317" i="11" s="1"/>
  <c r="L314" i="11"/>
  <c r="BN313" i="11"/>
  <c r="BI313" i="11"/>
  <c r="BD313" i="11"/>
  <c r="AY313" i="11"/>
  <c r="AT313" i="11"/>
  <c r="AO313" i="11"/>
  <c r="AJ313" i="11"/>
  <c r="AE313" i="11"/>
  <c r="Z313" i="11"/>
  <c r="U313" i="11"/>
  <c r="P313" i="11"/>
  <c r="BN312" i="11"/>
  <c r="BI312" i="11"/>
  <c r="BD312" i="11"/>
  <c r="AY312" i="11"/>
  <c r="AT312" i="11"/>
  <c r="AO312" i="11"/>
  <c r="AJ312" i="11"/>
  <c r="AE312" i="11"/>
  <c r="Z312" i="11"/>
  <c r="U312" i="11"/>
  <c r="P312" i="11"/>
  <c r="BC307" i="11"/>
  <c r="BB307" i="11"/>
  <c r="BA307" i="11"/>
  <c r="AZ307" i="11"/>
  <c r="AX307" i="11"/>
  <c r="AW307" i="11"/>
  <c r="AV307" i="11"/>
  <c r="AU307" i="11"/>
  <c r="AS307" i="11"/>
  <c r="AR307" i="11"/>
  <c r="AQ307" i="11"/>
  <c r="AP307" i="11"/>
  <c r="AN307" i="11"/>
  <c r="AM307" i="11"/>
  <c r="AL307" i="11"/>
  <c r="AK307" i="11"/>
  <c r="AI307" i="11"/>
  <c r="AH307" i="11"/>
  <c r="AG307" i="11"/>
  <c r="AF307" i="11"/>
  <c r="AD307" i="11"/>
  <c r="AC307" i="11"/>
  <c r="AB307" i="11"/>
  <c r="AA307" i="11"/>
  <c r="Y307" i="11"/>
  <c r="X307" i="11"/>
  <c r="W307" i="11"/>
  <c r="V307" i="11"/>
  <c r="T307" i="11"/>
  <c r="S307" i="11"/>
  <c r="R307" i="11"/>
  <c r="Q307" i="11"/>
  <c r="O307" i="11"/>
  <c r="N307" i="11"/>
  <c r="M307" i="11"/>
  <c r="L307" i="11"/>
  <c r="J307" i="11"/>
  <c r="I307" i="11"/>
  <c r="H307" i="11"/>
  <c r="G307" i="11"/>
  <c r="BC306" i="11"/>
  <c r="BB306" i="11"/>
  <c r="BA306" i="11"/>
  <c r="AZ306" i="11"/>
  <c r="AX306" i="11"/>
  <c r="AW306" i="11"/>
  <c r="AV306" i="11"/>
  <c r="AU306" i="11"/>
  <c r="AS306" i="11"/>
  <c r="AR306" i="11"/>
  <c r="AQ306" i="11"/>
  <c r="AP306" i="11"/>
  <c r="AN306" i="11"/>
  <c r="AM306" i="11"/>
  <c r="AL306" i="11"/>
  <c r="AK306" i="11"/>
  <c r="AI306" i="11"/>
  <c r="AH306" i="11"/>
  <c r="AG306" i="11"/>
  <c r="AF306" i="11"/>
  <c r="AD306" i="11"/>
  <c r="AC306" i="11"/>
  <c r="AB306" i="11"/>
  <c r="AA306" i="11"/>
  <c r="Y306" i="11"/>
  <c r="X306" i="11"/>
  <c r="W306" i="11"/>
  <c r="V306" i="11"/>
  <c r="T306" i="11"/>
  <c r="S306" i="11"/>
  <c r="R306" i="11"/>
  <c r="Q306" i="11"/>
  <c r="O306" i="11"/>
  <c r="N306" i="11"/>
  <c r="M306" i="11"/>
  <c r="L306" i="11"/>
  <c r="J306" i="11"/>
  <c r="I306" i="11"/>
  <c r="H306" i="11"/>
  <c r="G306" i="11"/>
  <c r="BC305" i="11"/>
  <c r="BB305" i="11"/>
  <c r="BA305" i="11"/>
  <c r="AZ305" i="11"/>
  <c r="AX305" i="11"/>
  <c r="AW305" i="11"/>
  <c r="AV305" i="11"/>
  <c r="AU305" i="11"/>
  <c r="AS305" i="11"/>
  <c r="AR305" i="11"/>
  <c r="AQ305" i="11"/>
  <c r="AP305" i="11"/>
  <c r="AN305" i="11"/>
  <c r="AM305" i="11"/>
  <c r="AL305" i="11"/>
  <c r="AK305" i="11"/>
  <c r="AI305" i="11"/>
  <c r="AH305" i="11"/>
  <c r="AG305" i="11"/>
  <c r="AF305" i="11"/>
  <c r="AD305" i="11"/>
  <c r="AC305" i="11"/>
  <c r="AB305" i="11"/>
  <c r="AA305" i="11"/>
  <c r="Y305" i="11"/>
  <c r="X305" i="11"/>
  <c r="W305" i="11"/>
  <c r="V305" i="11"/>
  <c r="T305" i="11"/>
  <c r="S305" i="11"/>
  <c r="R305" i="11"/>
  <c r="Q305" i="11"/>
  <c r="O305" i="11"/>
  <c r="N305" i="11"/>
  <c r="M305" i="11"/>
  <c r="L305" i="11"/>
  <c r="J305" i="11"/>
  <c r="I305" i="11"/>
  <c r="H305" i="11"/>
  <c r="G305" i="11"/>
  <c r="F305" i="11"/>
  <c r="E305" i="11"/>
  <c r="D305" i="11"/>
  <c r="C305" i="11"/>
  <c r="B305" i="11"/>
  <c r="BD304" i="11"/>
  <c r="AY304" i="11"/>
  <c r="AT304" i="11"/>
  <c r="AO304" i="11"/>
  <c r="AJ304" i="11"/>
  <c r="AE304" i="11"/>
  <c r="Z304" i="11"/>
  <c r="U304" i="11"/>
  <c r="P304" i="11"/>
  <c r="K304" i="11"/>
  <c r="K307" i="11" s="1"/>
  <c r="BD303" i="11"/>
  <c r="AY303" i="11"/>
  <c r="AT303" i="11"/>
  <c r="AO303" i="11"/>
  <c r="AJ303" i="11"/>
  <c r="AE303" i="11"/>
  <c r="Z303" i="11"/>
  <c r="U303" i="11"/>
  <c r="P303" i="11"/>
  <c r="K303" i="11"/>
  <c r="K306" i="11" s="1"/>
  <c r="BC301" i="11"/>
  <c r="BB301" i="11"/>
  <c r="BA301" i="11"/>
  <c r="AZ301" i="11"/>
  <c r="AX301" i="11"/>
  <c r="AW301" i="11"/>
  <c r="AV301" i="11"/>
  <c r="AU301" i="11"/>
  <c r="AS301" i="11"/>
  <c r="AR301" i="11"/>
  <c r="AQ301" i="11"/>
  <c r="AP301" i="11"/>
  <c r="AN301" i="11"/>
  <c r="AM301" i="11"/>
  <c r="AL301" i="11"/>
  <c r="AK301" i="11"/>
  <c r="AI301" i="11"/>
  <c r="AH301" i="11"/>
  <c r="AG301" i="11"/>
  <c r="AF301" i="11"/>
  <c r="AD301" i="11"/>
  <c r="AC301" i="11"/>
  <c r="AB301" i="11"/>
  <c r="AA301" i="11"/>
  <c r="Y301" i="11"/>
  <c r="X301" i="11"/>
  <c r="W301" i="11"/>
  <c r="V301" i="11"/>
  <c r="T301" i="11"/>
  <c r="S301" i="11"/>
  <c r="R301" i="11"/>
  <c r="Q301" i="11"/>
  <c r="BC300" i="11"/>
  <c r="BB300" i="11"/>
  <c r="BA300" i="11"/>
  <c r="AZ300" i="11"/>
  <c r="AX300" i="11"/>
  <c r="AW300" i="11"/>
  <c r="AV300" i="11"/>
  <c r="AU300" i="11"/>
  <c r="AS300" i="11"/>
  <c r="AR300" i="11"/>
  <c r="AQ300" i="11"/>
  <c r="AP300" i="11"/>
  <c r="AN300" i="11"/>
  <c r="AM300" i="11"/>
  <c r="AL300" i="11"/>
  <c r="AK300" i="11"/>
  <c r="AI300" i="11"/>
  <c r="AH300" i="11"/>
  <c r="AG300" i="11"/>
  <c r="AF300" i="11"/>
  <c r="AD300" i="11"/>
  <c r="AC300" i="11"/>
  <c r="AB300" i="11"/>
  <c r="AA300" i="11"/>
  <c r="Y300" i="11"/>
  <c r="X300" i="11"/>
  <c r="W300" i="11"/>
  <c r="V300" i="11"/>
  <c r="T300" i="11"/>
  <c r="S300" i="11"/>
  <c r="R300" i="11"/>
  <c r="Q300" i="11"/>
  <c r="O300" i="11"/>
  <c r="N300" i="11"/>
  <c r="M300" i="11"/>
  <c r="L300" i="11"/>
  <c r="BD299" i="11"/>
  <c r="AY299" i="11"/>
  <c r="AT299" i="11"/>
  <c r="AO299" i="11"/>
  <c r="AJ299" i="11"/>
  <c r="AE299" i="11"/>
  <c r="Z299" i="11"/>
  <c r="U299" i="11"/>
  <c r="P299" i="11"/>
  <c r="BD298" i="11"/>
  <c r="AY298" i="11"/>
  <c r="AT298" i="11"/>
  <c r="AO298" i="11"/>
  <c r="AJ298" i="11"/>
  <c r="AE298" i="11"/>
  <c r="Z298" i="11"/>
  <c r="U298" i="11"/>
  <c r="P298" i="11"/>
  <c r="BM296" i="11"/>
  <c r="BL296" i="11"/>
  <c r="BK296" i="11"/>
  <c r="BJ296" i="11"/>
  <c r="BH296" i="11"/>
  <c r="BG296" i="11"/>
  <c r="BF296" i="11"/>
  <c r="BE296" i="11"/>
  <c r="BM295" i="11"/>
  <c r="BL295" i="11"/>
  <c r="BK295" i="11"/>
  <c r="BJ295" i="11"/>
  <c r="BH295" i="11"/>
  <c r="BG295" i="11"/>
  <c r="BF295" i="11"/>
  <c r="BE295" i="11"/>
  <c r="BO294" i="11"/>
  <c r="BM294" i="11"/>
  <c r="BL294" i="11"/>
  <c r="BK294" i="11"/>
  <c r="BJ294" i="11"/>
  <c r="BH294" i="11"/>
  <c r="BG294" i="11"/>
  <c r="BF294" i="11"/>
  <c r="BE294" i="11"/>
  <c r="BC294" i="11"/>
  <c r="BB294" i="11"/>
  <c r="BA294" i="11"/>
  <c r="AZ294" i="11"/>
  <c r="AX294" i="11"/>
  <c r="AW294" i="11"/>
  <c r="AV294" i="11"/>
  <c r="AU294" i="11"/>
  <c r="BN293" i="11"/>
  <c r="BI293" i="11"/>
  <c r="BD293" i="11"/>
  <c r="AY293" i="11"/>
  <c r="BN292" i="11"/>
  <c r="BI292" i="11"/>
  <c r="BD292" i="11"/>
  <c r="AY292" i="11"/>
  <c r="AT292" i="11"/>
  <c r="AO292" i="11"/>
  <c r="AJ292" i="11"/>
  <c r="AE292" i="11"/>
  <c r="Z292" i="11"/>
  <c r="U292" i="11"/>
  <c r="BW290" i="11"/>
  <c r="BV290" i="11"/>
  <c r="BU290" i="11"/>
  <c r="BT290" i="11"/>
  <c r="BR290" i="11"/>
  <c r="BQ290" i="11"/>
  <c r="BP290" i="11"/>
  <c r="BO290" i="11"/>
  <c r="BM290" i="11"/>
  <c r="BL290" i="11"/>
  <c r="BK290" i="11"/>
  <c r="BJ290" i="11"/>
  <c r="BH290" i="11"/>
  <c r="BG290" i="11"/>
  <c r="BF290" i="11"/>
  <c r="BE290" i="11"/>
  <c r="BC290" i="11"/>
  <c r="BB290" i="11"/>
  <c r="BA290" i="11"/>
  <c r="AZ290" i="11"/>
  <c r="AX290" i="11"/>
  <c r="AW290" i="11"/>
  <c r="AV290" i="11"/>
  <c r="AU290" i="11"/>
  <c r="AS290" i="11"/>
  <c r="AR290" i="11"/>
  <c r="AQ290" i="11"/>
  <c r="AP290" i="11"/>
  <c r="AN290" i="11"/>
  <c r="AM290" i="11"/>
  <c r="AL290" i="11"/>
  <c r="AK290" i="11"/>
  <c r="AI290" i="11"/>
  <c r="AH290" i="11"/>
  <c r="AG290" i="11"/>
  <c r="AF290" i="11"/>
  <c r="AD290" i="11"/>
  <c r="AC290" i="11"/>
  <c r="AB290" i="11"/>
  <c r="AA290" i="11"/>
  <c r="Y290" i="11"/>
  <c r="X290" i="11"/>
  <c r="W290" i="11"/>
  <c r="V290" i="11"/>
  <c r="T290" i="11"/>
  <c r="S290" i="11"/>
  <c r="R290" i="11"/>
  <c r="Q290" i="11"/>
  <c r="BW289" i="11"/>
  <c r="BV289" i="11"/>
  <c r="BU289" i="11"/>
  <c r="BT289" i="11"/>
  <c r="BR289" i="11"/>
  <c r="BQ289" i="11"/>
  <c r="BP289" i="11"/>
  <c r="BO289" i="11"/>
  <c r="BM289" i="11"/>
  <c r="BL289" i="11"/>
  <c r="BK289" i="11"/>
  <c r="BJ289" i="11"/>
  <c r="BH289" i="11"/>
  <c r="BG289" i="11"/>
  <c r="BF289" i="11"/>
  <c r="BE289" i="11"/>
  <c r="BC289" i="11"/>
  <c r="BB289" i="11"/>
  <c r="BA289" i="11"/>
  <c r="AZ289" i="11"/>
  <c r="AX289" i="11"/>
  <c r="AW289" i="11"/>
  <c r="AV289" i="11"/>
  <c r="AU289" i="11"/>
  <c r="AS289" i="11"/>
  <c r="AR289" i="11"/>
  <c r="AQ289" i="11"/>
  <c r="AP289" i="11"/>
  <c r="AN289" i="11"/>
  <c r="AM289" i="11"/>
  <c r="AL289" i="11"/>
  <c r="AK289" i="11"/>
  <c r="AI289" i="11"/>
  <c r="AH289" i="11"/>
  <c r="AG289" i="11"/>
  <c r="AF289" i="11"/>
  <c r="AD289" i="11"/>
  <c r="AC289" i="11"/>
  <c r="AB289" i="11"/>
  <c r="AA289" i="11"/>
  <c r="Y289" i="11"/>
  <c r="X289" i="11"/>
  <c r="W289" i="11"/>
  <c r="V289" i="11"/>
  <c r="T289" i="11"/>
  <c r="S289" i="11"/>
  <c r="R289" i="11"/>
  <c r="Q289" i="11"/>
  <c r="BW288" i="11"/>
  <c r="BV288" i="11"/>
  <c r="BU288" i="11"/>
  <c r="BT288" i="11"/>
  <c r="BR288" i="11"/>
  <c r="BQ288" i="11"/>
  <c r="BP288" i="11"/>
  <c r="BO288" i="11"/>
  <c r="BM288" i="11"/>
  <c r="BL288" i="11"/>
  <c r="BK288" i="11"/>
  <c r="BJ288" i="11"/>
  <c r="BH288" i="11"/>
  <c r="BG288" i="11"/>
  <c r="BF288" i="11"/>
  <c r="BE288" i="11"/>
  <c r="BC288" i="11"/>
  <c r="BB288" i="11"/>
  <c r="BA288" i="11"/>
  <c r="AZ288" i="11"/>
  <c r="AX288" i="11"/>
  <c r="AW288" i="11"/>
  <c r="AV288" i="11"/>
  <c r="AU288" i="11"/>
  <c r="AS288" i="11"/>
  <c r="AR288" i="11"/>
  <c r="AQ288" i="11"/>
  <c r="AP288" i="11"/>
  <c r="AN288" i="11"/>
  <c r="AM288" i="11"/>
  <c r="AL288" i="11"/>
  <c r="AK288" i="11"/>
  <c r="AI288" i="11"/>
  <c r="AH288" i="11"/>
  <c r="AG288" i="11"/>
  <c r="AF288" i="11"/>
  <c r="AD288" i="11"/>
  <c r="AC288" i="11"/>
  <c r="AB288" i="11"/>
  <c r="AA288" i="11"/>
  <c r="Y288" i="11"/>
  <c r="X288" i="11"/>
  <c r="W288" i="11"/>
  <c r="V288" i="11"/>
  <c r="T288" i="11"/>
  <c r="S288" i="11"/>
  <c r="R288" i="11"/>
  <c r="Q288" i="11"/>
  <c r="O288" i="11"/>
  <c r="N288" i="11"/>
  <c r="M288" i="11"/>
  <c r="L288" i="11"/>
  <c r="BX287" i="11"/>
  <c r="BS287" i="11"/>
  <c r="BN287" i="11"/>
  <c r="BI287" i="11"/>
  <c r="BD287" i="11"/>
  <c r="AY287" i="11"/>
  <c r="AT287" i="11"/>
  <c r="AO287" i="11"/>
  <c r="AJ287" i="11"/>
  <c r="AE287" i="11"/>
  <c r="Z287" i="11"/>
  <c r="U287" i="11"/>
  <c r="P287" i="11"/>
  <c r="BX286" i="11"/>
  <c r="BS286" i="11"/>
  <c r="BN286" i="11"/>
  <c r="BI286" i="11"/>
  <c r="BD286" i="11"/>
  <c r="AY286" i="11"/>
  <c r="AT286" i="11"/>
  <c r="AO286" i="11"/>
  <c r="AJ286" i="11"/>
  <c r="AE286" i="11"/>
  <c r="Z286" i="11"/>
  <c r="U286" i="11"/>
  <c r="P286" i="11"/>
  <c r="N283" i="11"/>
  <c r="M283" i="11"/>
  <c r="L283" i="11"/>
  <c r="BM282" i="11"/>
  <c r="BL282" i="11"/>
  <c r="BK282" i="11"/>
  <c r="BJ282" i="11"/>
  <c r="BH282" i="11"/>
  <c r="BG282" i="11"/>
  <c r="BF282" i="11"/>
  <c r="BE282" i="11"/>
  <c r="BC282" i="11"/>
  <c r="BB282" i="11"/>
  <c r="BA282" i="11"/>
  <c r="AZ282" i="11"/>
  <c r="AX282" i="11"/>
  <c r="AW282" i="11"/>
  <c r="AV282" i="11"/>
  <c r="AU282" i="11"/>
  <c r="AS282" i="11"/>
  <c r="AR282" i="11"/>
  <c r="AQ282" i="11"/>
  <c r="AP282" i="11"/>
  <c r="AN282" i="11"/>
  <c r="AM282" i="11"/>
  <c r="AL282" i="11"/>
  <c r="AK282" i="11"/>
  <c r="AI282" i="11"/>
  <c r="AH282" i="11"/>
  <c r="AG282" i="11"/>
  <c r="AF282" i="11"/>
  <c r="AD282" i="11"/>
  <c r="AC282" i="11"/>
  <c r="AB282" i="11"/>
  <c r="AA282" i="11"/>
  <c r="Y282" i="11"/>
  <c r="X282" i="11"/>
  <c r="W282" i="11"/>
  <c r="V282" i="11"/>
  <c r="T282" i="11"/>
  <c r="S282" i="11"/>
  <c r="R282" i="11"/>
  <c r="Q282" i="11"/>
  <c r="O282" i="11"/>
  <c r="N282" i="11"/>
  <c r="M282" i="11"/>
  <c r="L282" i="11"/>
  <c r="BM281" i="11"/>
  <c r="BL281" i="11"/>
  <c r="BK281" i="11"/>
  <c r="BJ281" i="11"/>
  <c r="BH281" i="11"/>
  <c r="BG281" i="11"/>
  <c r="BF281" i="11"/>
  <c r="BE281" i="11"/>
  <c r="BC281" i="11"/>
  <c r="BB281" i="11"/>
  <c r="BA281" i="11"/>
  <c r="AZ281" i="11"/>
  <c r="AX281" i="11"/>
  <c r="AW281" i="11"/>
  <c r="AV281" i="11"/>
  <c r="AU281" i="11"/>
  <c r="AS281" i="11"/>
  <c r="AR281" i="11"/>
  <c r="AQ281" i="11"/>
  <c r="AP281" i="11"/>
  <c r="AN281" i="11"/>
  <c r="AM281" i="11"/>
  <c r="AL281" i="11"/>
  <c r="AK281" i="11"/>
  <c r="AI281" i="11"/>
  <c r="AH281" i="11"/>
  <c r="AG281" i="11"/>
  <c r="AF281" i="11"/>
  <c r="AD281" i="11"/>
  <c r="AC281" i="11"/>
  <c r="AB281" i="11"/>
  <c r="AA281" i="11"/>
  <c r="Y281" i="11"/>
  <c r="X281" i="11"/>
  <c r="W281" i="11"/>
  <c r="V281" i="11"/>
  <c r="T281" i="11"/>
  <c r="S281" i="11"/>
  <c r="R281" i="11"/>
  <c r="Q281" i="11"/>
  <c r="O281" i="11"/>
  <c r="N281" i="11"/>
  <c r="M281" i="11"/>
  <c r="L281" i="11"/>
  <c r="BO280" i="11"/>
  <c r="BM280" i="11"/>
  <c r="BL280" i="11"/>
  <c r="BK280" i="11"/>
  <c r="BJ280" i="11"/>
  <c r="BH280" i="11"/>
  <c r="BG280" i="11"/>
  <c r="BF280" i="11"/>
  <c r="BE280" i="11"/>
  <c r="BC280" i="11"/>
  <c r="BB280" i="11"/>
  <c r="BA280" i="11"/>
  <c r="AZ280" i="11"/>
  <c r="AX280" i="11"/>
  <c r="AW280" i="11"/>
  <c r="AV280" i="11"/>
  <c r="AU280" i="11"/>
  <c r="AS280" i="11"/>
  <c r="AR280" i="11"/>
  <c r="AQ280" i="11"/>
  <c r="AP280" i="11"/>
  <c r="AN280" i="11"/>
  <c r="AM280" i="11"/>
  <c r="AL280" i="11"/>
  <c r="AK280" i="11"/>
  <c r="AI280" i="11"/>
  <c r="AH280" i="11"/>
  <c r="AG280" i="11"/>
  <c r="AF280" i="11"/>
  <c r="AD280" i="11"/>
  <c r="AC280" i="11"/>
  <c r="AB280" i="11"/>
  <c r="AA280" i="11"/>
  <c r="AF283" i="11" s="1"/>
  <c r="Y280" i="11"/>
  <c r="X280" i="11"/>
  <c r="W280" i="11"/>
  <c r="V280" i="11"/>
  <c r="T280" i="11"/>
  <c r="S280" i="11"/>
  <c r="S283" i="11" s="1"/>
  <c r="R280" i="11"/>
  <c r="R283" i="11" s="1"/>
  <c r="Q280" i="11"/>
  <c r="Q283" i="11" s="1"/>
  <c r="O280" i="11"/>
  <c r="P280" i="11" s="1"/>
  <c r="BN279" i="11"/>
  <c r="BI279" i="11"/>
  <c r="BD279" i="11"/>
  <c r="AY279" i="11"/>
  <c r="BD282" i="11" s="1"/>
  <c r="AT279" i="11"/>
  <c r="AO279" i="11"/>
  <c r="AJ279" i="11"/>
  <c r="AE279" i="11"/>
  <c r="Z279" i="11"/>
  <c r="U279" i="11"/>
  <c r="P279" i="11"/>
  <c r="BN278" i="11"/>
  <c r="BI278" i="11"/>
  <c r="BD278" i="11"/>
  <c r="AY278" i="11"/>
  <c r="AT278" i="11"/>
  <c r="AO278" i="11"/>
  <c r="AJ278" i="11"/>
  <c r="AE278" i="11"/>
  <c r="Z278" i="11"/>
  <c r="AE281" i="11" s="1"/>
  <c r="U278" i="11"/>
  <c r="P278" i="11"/>
  <c r="BM276" i="11"/>
  <c r="BL276" i="11"/>
  <c r="BK276" i="11"/>
  <c r="BH276" i="11"/>
  <c r="BG276" i="11"/>
  <c r="BF276" i="11"/>
  <c r="BC276" i="11"/>
  <c r="BB276" i="11"/>
  <c r="BA276" i="11"/>
  <c r="AZ276" i="11"/>
  <c r="AX276" i="11"/>
  <c r="AW276" i="11"/>
  <c r="AV276" i="11"/>
  <c r="AU276" i="11"/>
  <c r="AS276" i="11"/>
  <c r="AR276" i="11"/>
  <c r="AQ276" i="11"/>
  <c r="AP276" i="11"/>
  <c r="AN276" i="11"/>
  <c r="AM276" i="11"/>
  <c r="AL276" i="11"/>
  <c r="AK276" i="11"/>
  <c r="AI276" i="11"/>
  <c r="AH276" i="11"/>
  <c r="AG276" i="11"/>
  <c r="AF276" i="11"/>
  <c r="BM275" i="11"/>
  <c r="BL275" i="11"/>
  <c r="BK275" i="11"/>
  <c r="BJ275" i="11"/>
  <c r="BH275" i="11"/>
  <c r="BG275" i="11"/>
  <c r="BF275" i="11"/>
  <c r="BE275" i="11"/>
  <c r="BC275" i="11"/>
  <c r="BB275" i="11"/>
  <c r="BA275" i="11"/>
  <c r="AZ275" i="11"/>
  <c r="AX275" i="11"/>
  <c r="AW275" i="11"/>
  <c r="AV275" i="11"/>
  <c r="AU275" i="11"/>
  <c r="AS275" i="11"/>
  <c r="AR275" i="11"/>
  <c r="AQ275" i="11"/>
  <c r="AP275" i="11"/>
  <c r="AN275" i="11"/>
  <c r="AM275" i="11"/>
  <c r="AL275" i="11"/>
  <c r="AK275" i="11"/>
  <c r="AI275" i="11"/>
  <c r="AH275" i="11"/>
  <c r="AG275" i="11"/>
  <c r="AF275" i="11"/>
  <c r="BO274" i="11"/>
  <c r="BM274" i="11"/>
  <c r="BL274" i="11"/>
  <c r="BK274" i="11"/>
  <c r="BJ274" i="11"/>
  <c r="BH274" i="11"/>
  <c r="BG274" i="11"/>
  <c r="BF274" i="11"/>
  <c r="BC274" i="11"/>
  <c r="BB274" i="11"/>
  <c r="BA274" i="11"/>
  <c r="AZ274" i="11"/>
  <c r="AX274" i="11"/>
  <c r="AW274" i="11"/>
  <c r="AV274" i="11"/>
  <c r="AU274" i="11"/>
  <c r="AS274" i="11"/>
  <c r="AR274" i="11"/>
  <c r="AQ274" i="11"/>
  <c r="AP274" i="11"/>
  <c r="AN274" i="11"/>
  <c r="AM274" i="11"/>
  <c r="AL274" i="11"/>
  <c r="AK274" i="11"/>
  <c r="AI274" i="11"/>
  <c r="AH274" i="11"/>
  <c r="AG274" i="11"/>
  <c r="AF274" i="11"/>
  <c r="AD274" i="11"/>
  <c r="AC274" i="11"/>
  <c r="AB274" i="11"/>
  <c r="AA274" i="11"/>
  <c r="BN273" i="11"/>
  <c r="BD273" i="11"/>
  <c r="AY273" i="11"/>
  <c r="AT273" i="11"/>
  <c r="AO273" i="11"/>
  <c r="AJ273" i="11"/>
  <c r="AE273" i="11"/>
  <c r="BN272" i="11"/>
  <c r="BI272" i="11"/>
  <c r="BD272" i="11"/>
  <c r="AY272" i="11"/>
  <c r="AT272" i="11"/>
  <c r="AO272" i="11"/>
  <c r="AJ272" i="11"/>
  <c r="AE272" i="11"/>
  <c r="BW270" i="11"/>
  <c r="BV270" i="11"/>
  <c r="BU270" i="11"/>
  <c r="BT270" i="11"/>
  <c r="BR270" i="11"/>
  <c r="BQ270" i="11"/>
  <c r="BP270" i="11"/>
  <c r="BO270" i="11"/>
  <c r="BM270" i="11"/>
  <c r="BL270" i="11"/>
  <c r="BK270" i="11"/>
  <c r="BJ270" i="11"/>
  <c r="BH270" i="11"/>
  <c r="BG270" i="11"/>
  <c r="BF270" i="11"/>
  <c r="BE270" i="11"/>
  <c r="BC270" i="11"/>
  <c r="BB270" i="11"/>
  <c r="BA270" i="11"/>
  <c r="AZ270" i="11"/>
  <c r="AX270" i="11"/>
  <c r="AW270" i="11"/>
  <c r="AV270" i="11"/>
  <c r="AU270" i="11"/>
  <c r="AS270" i="11"/>
  <c r="AR270" i="11"/>
  <c r="AQ270" i="11"/>
  <c r="AP270" i="11"/>
  <c r="AN270" i="11"/>
  <c r="AM270" i="11"/>
  <c r="AL270" i="11"/>
  <c r="AK270" i="11"/>
  <c r="AI270" i="11"/>
  <c r="AH270" i="11"/>
  <c r="AG270" i="11"/>
  <c r="AF270" i="11"/>
  <c r="AD270" i="11"/>
  <c r="AC270" i="11"/>
  <c r="AB270" i="11"/>
  <c r="AA270" i="11"/>
  <c r="Y270" i="11"/>
  <c r="X270" i="11"/>
  <c r="W270" i="11"/>
  <c r="V270" i="11"/>
  <c r="T270" i="11"/>
  <c r="S270" i="11"/>
  <c r="R270" i="11"/>
  <c r="Q270" i="11"/>
  <c r="O270" i="11"/>
  <c r="N270" i="11"/>
  <c r="M270" i="11"/>
  <c r="L270" i="11"/>
  <c r="J270" i="11"/>
  <c r="I270" i="11"/>
  <c r="H270" i="11"/>
  <c r="G270" i="11"/>
  <c r="BW269" i="11"/>
  <c r="BV269" i="11"/>
  <c r="BU269" i="11"/>
  <c r="BR269" i="11"/>
  <c r="BQ269" i="11"/>
  <c r="BP269" i="11"/>
  <c r="BO269" i="11"/>
  <c r="BM269" i="11"/>
  <c r="BL269" i="11"/>
  <c r="BK269" i="11"/>
  <c r="BJ269" i="11"/>
  <c r="BH269" i="11"/>
  <c r="BG269" i="11"/>
  <c r="BF269" i="11"/>
  <c r="BE269" i="11"/>
  <c r="BC269" i="11"/>
  <c r="BB269" i="11"/>
  <c r="BA269" i="11"/>
  <c r="AZ269" i="11"/>
  <c r="AX269" i="11"/>
  <c r="AW269" i="11"/>
  <c r="AV269" i="11"/>
  <c r="AU269" i="11"/>
  <c r="AS269" i="11"/>
  <c r="AR269" i="11"/>
  <c r="AQ269" i="11"/>
  <c r="AP269" i="11"/>
  <c r="AN269" i="11"/>
  <c r="AM269" i="11"/>
  <c r="AL269" i="11"/>
  <c r="AK269" i="11"/>
  <c r="AI269" i="11"/>
  <c r="AH269" i="11"/>
  <c r="AG269" i="11"/>
  <c r="AF269" i="11"/>
  <c r="AD269" i="11"/>
  <c r="AC269" i="11"/>
  <c r="AB269" i="11"/>
  <c r="AA269" i="11"/>
  <c r="Y269" i="11"/>
  <c r="X269" i="11"/>
  <c r="W269" i="11"/>
  <c r="V269" i="11"/>
  <c r="T269" i="11"/>
  <c r="S269" i="11"/>
  <c r="R269" i="11"/>
  <c r="Q269" i="11"/>
  <c r="O269" i="11"/>
  <c r="N269" i="11"/>
  <c r="M269" i="11"/>
  <c r="L269" i="11"/>
  <c r="J269" i="11"/>
  <c r="I269" i="11"/>
  <c r="H269" i="11"/>
  <c r="G269" i="11"/>
  <c r="BW268" i="11"/>
  <c r="BV268" i="11"/>
  <c r="BU268" i="11"/>
  <c r="BR268" i="11"/>
  <c r="BQ268" i="11"/>
  <c r="BP268" i="11"/>
  <c r="BO268" i="11"/>
  <c r="BM268" i="11"/>
  <c r="BL268" i="11"/>
  <c r="BK268" i="11"/>
  <c r="BJ268" i="11"/>
  <c r="BH268" i="11"/>
  <c r="BG268" i="11"/>
  <c r="BF268" i="11"/>
  <c r="BE268" i="11"/>
  <c r="BC268" i="11"/>
  <c r="BB268" i="11"/>
  <c r="BA268" i="11"/>
  <c r="AZ268" i="11"/>
  <c r="AX268" i="11"/>
  <c r="AW268" i="11"/>
  <c r="AV268" i="11"/>
  <c r="AU268" i="11"/>
  <c r="AS268" i="11"/>
  <c r="AR268" i="11"/>
  <c r="AQ268" i="11"/>
  <c r="AP268" i="11"/>
  <c r="AN268" i="11"/>
  <c r="AM268" i="11"/>
  <c r="AL268" i="11"/>
  <c r="AK268" i="11"/>
  <c r="AI268" i="11"/>
  <c r="AH268" i="11"/>
  <c r="AG268" i="11"/>
  <c r="AF268" i="11"/>
  <c r="AD268" i="11"/>
  <c r="AC268" i="11"/>
  <c r="AB268" i="11"/>
  <c r="AA268" i="11"/>
  <c r="Y268" i="11"/>
  <c r="X268" i="11"/>
  <c r="W268" i="11"/>
  <c r="V268" i="11"/>
  <c r="T268" i="11"/>
  <c r="S268" i="11"/>
  <c r="R268" i="11"/>
  <c r="Q268" i="11"/>
  <c r="O268" i="11"/>
  <c r="N268" i="11"/>
  <c r="M268" i="11"/>
  <c r="L268" i="11"/>
  <c r="J268" i="11"/>
  <c r="I268" i="11"/>
  <c r="H268" i="11"/>
  <c r="G268" i="11"/>
  <c r="F268" i="11"/>
  <c r="E268" i="11"/>
  <c r="D268" i="11"/>
  <c r="C268" i="11"/>
  <c r="B268" i="11"/>
  <c r="G271" i="11" s="1"/>
  <c r="BX267" i="11"/>
  <c r="BS267" i="11"/>
  <c r="BN267" i="11"/>
  <c r="BI267" i="11"/>
  <c r="BD267" i="11"/>
  <c r="AY267" i="11"/>
  <c r="AT267" i="11"/>
  <c r="AO267" i="11"/>
  <c r="AJ267" i="11"/>
  <c r="AE267" i="11"/>
  <c r="Z267" i="11"/>
  <c r="U267" i="11"/>
  <c r="P267" i="11"/>
  <c r="K267" i="11"/>
  <c r="K270" i="11" s="1"/>
  <c r="BS266" i="11"/>
  <c r="BN266" i="11"/>
  <c r="BI266" i="11"/>
  <c r="BD266" i="11"/>
  <c r="AY266" i="11"/>
  <c r="AT266" i="11"/>
  <c r="AO266" i="11"/>
  <c r="AJ266" i="11"/>
  <c r="AE266" i="11"/>
  <c r="Z266" i="11"/>
  <c r="U266" i="11"/>
  <c r="P266" i="11"/>
  <c r="K266" i="11"/>
  <c r="K269" i="11" s="1"/>
  <c r="BW264" i="11"/>
  <c r="BV264" i="11"/>
  <c r="BU264" i="11"/>
  <c r="BT264" i="11"/>
  <c r="BR264" i="11"/>
  <c r="BQ264" i="11"/>
  <c r="BP264" i="11"/>
  <c r="BO264" i="11"/>
  <c r="BM264" i="11"/>
  <c r="BL264" i="11"/>
  <c r="BK264" i="11"/>
  <c r="BJ264" i="11"/>
  <c r="BH264" i="11"/>
  <c r="BG264" i="11"/>
  <c r="BF264" i="11"/>
  <c r="BE264" i="11"/>
  <c r="BC264" i="11"/>
  <c r="BB264" i="11"/>
  <c r="BA264" i="11"/>
  <c r="AZ264" i="11"/>
  <c r="AX264" i="11"/>
  <c r="AW264" i="11"/>
  <c r="AV264" i="11"/>
  <c r="AU264" i="11"/>
  <c r="AS264" i="11"/>
  <c r="AR264" i="11"/>
  <c r="AQ264" i="11"/>
  <c r="AP264" i="11"/>
  <c r="AN264" i="11"/>
  <c r="AM264" i="11"/>
  <c r="AL264" i="11"/>
  <c r="AK264" i="11"/>
  <c r="AI264" i="11"/>
  <c r="AH264" i="11"/>
  <c r="AG264" i="11"/>
  <c r="AF264" i="11"/>
  <c r="AD264" i="11"/>
  <c r="AC264" i="11"/>
  <c r="AB264" i="11"/>
  <c r="AA264" i="11"/>
  <c r="Y264" i="11"/>
  <c r="X264" i="11"/>
  <c r="W264" i="11"/>
  <c r="V264" i="11"/>
  <c r="T264" i="11"/>
  <c r="S264" i="11"/>
  <c r="R264" i="11"/>
  <c r="Q264" i="11"/>
  <c r="O264" i="11"/>
  <c r="N264" i="11"/>
  <c r="M264" i="11"/>
  <c r="L264" i="11"/>
  <c r="BW263" i="11"/>
  <c r="BV263" i="11"/>
  <c r="BU263" i="11"/>
  <c r="BT263" i="11"/>
  <c r="BR263" i="11"/>
  <c r="BQ263" i="11"/>
  <c r="BP263" i="11"/>
  <c r="BO263" i="11"/>
  <c r="BM263" i="11"/>
  <c r="BL263" i="11"/>
  <c r="BK263" i="11"/>
  <c r="BJ263" i="11"/>
  <c r="BH263" i="11"/>
  <c r="BG263" i="11"/>
  <c r="BF263" i="11"/>
  <c r="BE263" i="11"/>
  <c r="BC263" i="11"/>
  <c r="BB263" i="11"/>
  <c r="BA263" i="11"/>
  <c r="AZ263" i="11"/>
  <c r="AX263" i="11"/>
  <c r="AW263" i="11"/>
  <c r="AV263" i="11"/>
  <c r="AU263" i="11"/>
  <c r="AS263" i="11"/>
  <c r="AR263" i="11"/>
  <c r="AQ263" i="11"/>
  <c r="AP263" i="11"/>
  <c r="AN263" i="11"/>
  <c r="AM263" i="11"/>
  <c r="AL263" i="11"/>
  <c r="AK263" i="11"/>
  <c r="AI263" i="11"/>
  <c r="AH263" i="11"/>
  <c r="AG263" i="11"/>
  <c r="AF263" i="11"/>
  <c r="AD263" i="11"/>
  <c r="AC263" i="11"/>
  <c r="AB263" i="11"/>
  <c r="AA263" i="11"/>
  <c r="Y263" i="11"/>
  <c r="X263" i="11"/>
  <c r="W263" i="11"/>
  <c r="V263" i="11"/>
  <c r="T263" i="11"/>
  <c r="S263" i="11"/>
  <c r="R263" i="11"/>
  <c r="Q263" i="11"/>
  <c r="O263" i="11"/>
  <c r="N263" i="11"/>
  <c r="M263" i="11"/>
  <c r="L263" i="11"/>
  <c r="BW262" i="11"/>
  <c r="BV262" i="11"/>
  <c r="BU262" i="11"/>
  <c r="BT262" i="11"/>
  <c r="BR262" i="11"/>
  <c r="BQ262" i="11"/>
  <c r="BP262" i="11"/>
  <c r="BO262" i="11"/>
  <c r="BM262" i="11"/>
  <c r="BL262" i="11"/>
  <c r="BK262" i="11"/>
  <c r="BJ262" i="11"/>
  <c r="BH262" i="11"/>
  <c r="BG262" i="11"/>
  <c r="BF262" i="11"/>
  <c r="BE262" i="11"/>
  <c r="BC262" i="11"/>
  <c r="BB262" i="11"/>
  <c r="BA262" i="11"/>
  <c r="AZ262" i="11"/>
  <c r="AX262" i="11"/>
  <c r="AW262" i="11"/>
  <c r="AV262" i="11"/>
  <c r="AU262" i="11"/>
  <c r="AS262" i="11"/>
  <c r="AR262" i="11"/>
  <c r="AQ262" i="11"/>
  <c r="AP262" i="11"/>
  <c r="AN262" i="11"/>
  <c r="AM262" i="11"/>
  <c r="AL262" i="11"/>
  <c r="AK262" i="11"/>
  <c r="AI262" i="11"/>
  <c r="AH262" i="11"/>
  <c r="AG262" i="11"/>
  <c r="AF262" i="11"/>
  <c r="AD262" i="11"/>
  <c r="AC262" i="11"/>
  <c r="AB262" i="11"/>
  <c r="AA262" i="11"/>
  <c r="Y262" i="11"/>
  <c r="X262" i="11"/>
  <c r="W262" i="11"/>
  <c r="V262" i="11"/>
  <c r="T262" i="11"/>
  <c r="S262" i="11"/>
  <c r="R262" i="11"/>
  <c r="Q262" i="11"/>
  <c r="O262" i="11"/>
  <c r="O265" i="11" s="1"/>
  <c r="N262" i="11"/>
  <c r="N265" i="11" s="1"/>
  <c r="M262" i="11"/>
  <c r="M265" i="11" s="1"/>
  <c r="L262" i="11"/>
  <c r="L265" i="11" s="1"/>
  <c r="BX261" i="11"/>
  <c r="BS261" i="11"/>
  <c r="BN261" i="11"/>
  <c r="BI261" i="11"/>
  <c r="BD261" i="11"/>
  <c r="AY261" i="11"/>
  <c r="AT261" i="11"/>
  <c r="AO261" i="11"/>
  <c r="AJ261" i="11"/>
  <c r="AE261" i="11"/>
  <c r="Z261" i="11"/>
  <c r="U261" i="11"/>
  <c r="P261" i="11"/>
  <c r="BX260" i="11"/>
  <c r="BS260" i="11"/>
  <c r="BN260" i="11"/>
  <c r="BI260" i="11"/>
  <c r="BD260" i="11"/>
  <c r="AY260" i="11"/>
  <c r="AT260" i="11"/>
  <c r="AO260" i="11"/>
  <c r="AJ260" i="11"/>
  <c r="AE260" i="11"/>
  <c r="Z260" i="11"/>
  <c r="U260" i="11"/>
  <c r="P260" i="11"/>
  <c r="CL257" i="11"/>
  <c r="CK257" i="11"/>
  <c r="CJ257" i="11"/>
  <c r="CI257" i="11"/>
  <c r="CG257" i="11"/>
  <c r="CF257" i="11"/>
  <c r="CE257" i="11"/>
  <c r="CD257" i="11"/>
  <c r="CB257" i="11"/>
  <c r="CA257" i="11"/>
  <c r="BZ257" i="11"/>
  <c r="BY257" i="11"/>
  <c r="BW257" i="11"/>
  <c r="BV257" i="11"/>
  <c r="BU257" i="11"/>
  <c r="BT257" i="11"/>
  <c r="BR257" i="11"/>
  <c r="BQ257" i="11"/>
  <c r="BP257" i="11"/>
  <c r="BO257" i="11"/>
  <c r="BM257" i="11"/>
  <c r="BL257" i="11"/>
  <c r="BK257" i="11"/>
  <c r="BJ257" i="11"/>
  <c r="BH257" i="11"/>
  <c r="BG257" i="11"/>
  <c r="BF257" i="11"/>
  <c r="BE257" i="11"/>
  <c r="CL256" i="11"/>
  <c r="CK256" i="11"/>
  <c r="CJ256" i="11"/>
  <c r="CI256" i="11"/>
  <c r="CG256" i="11"/>
  <c r="CF256" i="11"/>
  <c r="CE256" i="11"/>
  <c r="CD256" i="11"/>
  <c r="CB256" i="11"/>
  <c r="CA256" i="11"/>
  <c r="BZ256" i="11"/>
  <c r="BY256" i="11"/>
  <c r="BW256" i="11"/>
  <c r="BV256" i="11"/>
  <c r="BU256" i="11"/>
  <c r="BT256" i="11"/>
  <c r="BR256" i="11"/>
  <c r="BQ256" i="11"/>
  <c r="BP256" i="11"/>
  <c r="BO256" i="11"/>
  <c r="BM256" i="11"/>
  <c r="BL256" i="11"/>
  <c r="BK256" i="11"/>
  <c r="BJ256" i="11"/>
  <c r="BH256" i="11"/>
  <c r="BG256" i="11"/>
  <c r="BF256" i="11"/>
  <c r="BE256" i="11"/>
  <c r="CL255" i="11"/>
  <c r="CK255" i="11"/>
  <c r="CJ255" i="11"/>
  <c r="CI255" i="11"/>
  <c r="CG255" i="11"/>
  <c r="CF255" i="11"/>
  <c r="CE255" i="11"/>
  <c r="CD255" i="11"/>
  <c r="CB255" i="11"/>
  <c r="CA255" i="11"/>
  <c r="BZ255" i="11"/>
  <c r="BY255" i="11"/>
  <c r="BW255" i="11"/>
  <c r="BV255" i="11"/>
  <c r="BU255" i="11"/>
  <c r="BT255" i="11"/>
  <c r="BR255" i="11"/>
  <c r="BQ255" i="11"/>
  <c r="BP255" i="11"/>
  <c r="BO255" i="11"/>
  <c r="BM255" i="11"/>
  <c r="BL255" i="11"/>
  <c r="BK255" i="11"/>
  <c r="BJ255" i="11"/>
  <c r="BH255" i="11"/>
  <c r="BG255" i="11"/>
  <c r="BG258" i="11" s="1"/>
  <c r="BF255" i="11"/>
  <c r="BE255" i="11"/>
  <c r="BE258" i="11" s="1"/>
  <c r="BC255" i="11"/>
  <c r="CM254" i="11"/>
  <c r="CH254" i="11"/>
  <c r="CC254" i="11"/>
  <c r="BX254" i="11"/>
  <c r="BS254" i="11"/>
  <c r="BN254" i="11"/>
  <c r="BN257" i="11" s="1"/>
  <c r="BI254" i="11"/>
  <c r="BD254" i="11"/>
  <c r="CM253" i="11"/>
  <c r="CH253" i="11"/>
  <c r="CC253" i="11"/>
  <c r="BX253" i="11"/>
  <c r="BS253" i="11"/>
  <c r="BN253" i="11"/>
  <c r="BI253" i="11"/>
  <c r="BD253" i="11"/>
  <c r="CL251" i="11"/>
  <c r="CK251" i="11"/>
  <c r="CJ251" i="11"/>
  <c r="CI251" i="11"/>
  <c r="CF251" i="11"/>
  <c r="CE251" i="11"/>
  <c r="CD251" i="11"/>
  <c r="CB251" i="11"/>
  <c r="CA251" i="11"/>
  <c r="BZ251" i="11"/>
  <c r="BY251" i="11"/>
  <c r="BW251" i="11"/>
  <c r="BV251" i="11"/>
  <c r="BU251" i="11"/>
  <c r="BT251" i="11"/>
  <c r="BR251" i="11"/>
  <c r="BQ251" i="11"/>
  <c r="BP251" i="11"/>
  <c r="BO251" i="11"/>
  <c r="BM251" i="11"/>
  <c r="BL251" i="11"/>
  <c r="BK251" i="11"/>
  <c r="BJ251" i="11"/>
  <c r="BH251" i="11"/>
  <c r="BG251" i="11"/>
  <c r="BF251" i="11"/>
  <c r="BE251" i="11"/>
  <c r="BC251" i="11"/>
  <c r="BB251" i="11"/>
  <c r="BA251" i="11"/>
  <c r="AZ251" i="11"/>
  <c r="AX251" i="11"/>
  <c r="AW251" i="11"/>
  <c r="AV251" i="11"/>
  <c r="AU251" i="11"/>
  <c r="AS251" i="11"/>
  <c r="AR251" i="11"/>
  <c r="AQ251" i="11"/>
  <c r="AP251" i="11"/>
  <c r="AN251" i="11"/>
  <c r="AL251" i="11"/>
  <c r="AK251" i="11"/>
  <c r="AI251" i="11"/>
  <c r="AG251" i="11"/>
  <c r="AF251" i="11"/>
  <c r="AD251" i="11"/>
  <c r="AC251" i="11"/>
  <c r="AB251" i="11"/>
  <c r="AA251" i="11"/>
  <c r="Y251" i="11"/>
  <c r="X251" i="11"/>
  <c r="W251" i="11"/>
  <c r="V251" i="11"/>
  <c r="T251" i="11"/>
  <c r="S251" i="11"/>
  <c r="R251" i="11"/>
  <c r="Q251" i="11"/>
  <c r="O251" i="11"/>
  <c r="N251" i="11"/>
  <c r="M251" i="11"/>
  <c r="L251" i="11"/>
  <c r="J251" i="11"/>
  <c r="I251" i="11"/>
  <c r="H251" i="11"/>
  <c r="G251" i="11"/>
  <c r="CL250" i="11"/>
  <c r="CK250" i="11"/>
  <c r="CJ250" i="11"/>
  <c r="CI250" i="11"/>
  <c r="CF250" i="11"/>
  <c r="CD250" i="11"/>
  <c r="CB250" i="11"/>
  <c r="CA250" i="11"/>
  <c r="BZ250" i="11"/>
  <c r="BY250" i="11"/>
  <c r="BW250" i="11"/>
  <c r="BV250" i="11"/>
  <c r="BU250" i="11"/>
  <c r="BT250" i="11"/>
  <c r="BR250" i="11"/>
  <c r="BQ250" i="11"/>
  <c r="BP250" i="11"/>
  <c r="BO250" i="11"/>
  <c r="BM250" i="11"/>
  <c r="BL250" i="11"/>
  <c r="BK250" i="11"/>
  <c r="BJ250" i="11"/>
  <c r="BH250" i="11"/>
  <c r="BG250" i="11"/>
  <c r="BF250" i="11"/>
  <c r="BE250" i="11"/>
  <c r="BC250" i="11"/>
  <c r="BB250" i="11"/>
  <c r="BA250" i="11"/>
  <c r="AZ250" i="11"/>
  <c r="AX250" i="11"/>
  <c r="AW250" i="11"/>
  <c r="AV250" i="11"/>
  <c r="AU250" i="11"/>
  <c r="AS250" i="11"/>
  <c r="AR250" i="11"/>
  <c r="AQ250" i="11"/>
  <c r="AP250" i="11"/>
  <c r="AN250" i="11"/>
  <c r="AM250" i="11"/>
  <c r="AL250" i="11"/>
  <c r="AK250" i="11"/>
  <c r="AI250" i="11"/>
  <c r="AH250" i="11"/>
  <c r="AG250" i="11"/>
  <c r="AF250" i="11"/>
  <c r="AD250" i="11"/>
  <c r="AC250" i="11"/>
  <c r="AB250" i="11"/>
  <c r="AA250" i="11"/>
  <c r="Y250" i="11"/>
  <c r="X250" i="11"/>
  <c r="W250" i="11"/>
  <c r="V250" i="11"/>
  <c r="T250" i="11"/>
  <c r="S250" i="11"/>
  <c r="R250" i="11"/>
  <c r="Q250" i="11"/>
  <c r="O250" i="11"/>
  <c r="N250" i="11"/>
  <c r="M250" i="11"/>
  <c r="L250" i="11"/>
  <c r="J250" i="11"/>
  <c r="I250" i="11"/>
  <c r="H250" i="11"/>
  <c r="G250" i="11"/>
  <c r="CL249" i="11"/>
  <c r="CK249" i="11"/>
  <c r="CJ249" i="11"/>
  <c r="CI249" i="11"/>
  <c r="CG249" i="11"/>
  <c r="CF249" i="11"/>
  <c r="CE249" i="11"/>
  <c r="CD249" i="11"/>
  <c r="CB249" i="11"/>
  <c r="CA249" i="11"/>
  <c r="BZ249" i="11"/>
  <c r="BY249" i="11"/>
  <c r="BW249" i="11"/>
  <c r="BV249" i="11"/>
  <c r="BU249" i="11"/>
  <c r="BT249" i="11"/>
  <c r="BR249" i="11"/>
  <c r="BQ249" i="11"/>
  <c r="BP249" i="11"/>
  <c r="BO249" i="11"/>
  <c r="BM249" i="11"/>
  <c r="BL249" i="11"/>
  <c r="BK249" i="11"/>
  <c r="BJ249" i="11"/>
  <c r="BH249" i="11"/>
  <c r="BG249" i="11"/>
  <c r="BF249" i="11"/>
  <c r="BE249" i="11"/>
  <c r="BC249" i="11"/>
  <c r="BH252" i="11" s="1"/>
  <c r="BB249" i="11"/>
  <c r="BA249" i="11"/>
  <c r="AZ249" i="11"/>
  <c r="AX249" i="11"/>
  <c r="AW249" i="11"/>
  <c r="AV249" i="11"/>
  <c r="AU249" i="11"/>
  <c r="AS249" i="11"/>
  <c r="AR249" i="11"/>
  <c r="AQ249" i="11"/>
  <c r="AP249" i="11"/>
  <c r="AN249" i="11"/>
  <c r="AM249" i="11"/>
  <c r="AM252" i="11" s="1"/>
  <c r="AL249" i="11"/>
  <c r="AK249" i="11"/>
  <c r="AI249" i="11"/>
  <c r="AG249" i="11"/>
  <c r="AL252" i="11" s="1"/>
  <c r="AF249" i="11"/>
  <c r="AD249" i="11"/>
  <c r="AC249" i="11"/>
  <c r="AH252" i="11" s="1"/>
  <c r="AB249" i="11"/>
  <c r="AA249" i="11"/>
  <c r="Y249" i="11"/>
  <c r="X249" i="11"/>
  <c r="W249" i="11"/>
  <c r="V249" i="11"/>
  <c r="T249" i="11"/>
  <c r="S249" i="11"/>
  <c r="R249" i="11"/>
  <c r="Q249" i="11"/>
  <c r="O249" i="11"/>
  <c r="N249" i="11"/>
  <c r="M249" i="11"/>
  <c r="L249" i="11"/>
  <c r="J249" i="11"/>
  <c r="I249" i="11"/>
  <c r="H249" i="11"/>
  <c r="G249" i="11"/>
  <c r="F249" i="11"/>
  <c r="E249" i="11"/>
  <c r="D249" i="11"/>
  <c r="C249" i="11"/>
  <c r="B249" i="11"/>
  <c r="CM248" i="11"/>
  <c r="CH248" i="11"/>
  <c r="CC248" i="11"/>
  <c r="BX248" i="11"/>
  <c r="BS248" i="11"/>
  <c r="BN248" i="11"/>
  <c r="BI248" i="11"/>
  <c r="BD248" i="11"/>
  <c r="AY248" i="11"/>
  <c r="AT248" i="11"/>
  <c r="AO248" i="11"/>
  <c r="AE248" i="11"/>
  <c r="Z248" i="11"/>
  <c r="U248" i="11"/>
  <c r="P248" i="11"/>
  <c r="K248" i="11"/>
  <c r="CM247" i="11"/>
  <c r="CH247" i="11"/>
  <c r="CC247" i="11"/>
  <c r="BX247" i="11"/>
  <c r="BS247" i="11"/>
  <c r="BN247" i="11"/>
  <c r="BI247" i="11"/>
  <c r="BD247" i="11"/>
  <c r="AY247" i="11"/>
  <c r="AT247" i="11"/>
  <c r="AO247" i="11"/>
  <c r="AJ247" i="11"/>
  <c r="AE247" i="11"/>
  <c r="Z247" i="11"/>
  <c r="U247" i="11"/>
  <c r="U250" i="11" s="1"/>
  <c r="P247" i="11"/>
  <c r="K247" i="11"/>
  <c r="K250" i="11" s="1"/>
  <c r="CX245" i="11"/>
  <c r="CV245" i="11"/>
  <c r="CU245" i="11"/>
  <c r="CT245" i="11"/>
  <c r="CS245" i="11"/>
  <c r="CQ245" i="11"/>
  <c r="CP245" i="11"/>
  <c r="CO245" i="11"/>
  <c r="CN245" i="11"/>
  <c r="CL245" i="11"/>
  <c r="CK245" i="11"/>
  <c r="CJ245" i="11"/>
  <c r="CI245" i="11"/>
  <c r="CG245" i="11"/>
  <c r="CF245" i="11"/>
  <c r="CE245" i="11"/>
  <c r="CD245" i="11"/>
  <c r="CB245" i="11"/>
  <c r="CA245" i="11"/>
  <c r="BZ245" i="11"/>
  <c r="BY245" i="11"/>
  <c r="BW245" i="11"/>
  <c r="BV245" i="11"/>
  <c r="BU245" i="11"/>
  <c r="BT245" i="11"/>
  <c r="BR245" i="11"/>
  <c r="BQ245" i="11"/>
  <c r="BP245" i="11"/>
  <c r="BO245" i="11"/>
  <c r="BM245" i="11"/>
  <c r="BL245" i="11"/>
  <c r="BK245" i="11"/>
  <c r="BJ245" i="11"/>
  <c r="BH245" i="11"/>
  <c r="BG245" i="11"/>
  <c r="BF245" i="11"/>
  <c r="BE245" i="11"/>
  <c r="BC245" i="11"/>
  <c r="BB245" i="11"/>
  <c r="BA245" i="11"/>
  <c r="AZ245" i="11"/>
  <c r="AX245" i="11"/>
  <c r="AW245" i="11"/>
  <c r="AV245" i="11"/>
  <c r="AU245" i="11"/>
  <c r="CX244" i="11"/>
  <c r="CV244" i="11"/>
  <c r="CU244" i="11"/>
  <c r="CT244" i="11"/>
  <c r="CS244" i="11"/>
  <c r="CQ244" i="11"/>
  <c r="CP244" i="11"/>
  <c r="CO244" i="11"/>
  <c r="CN244" i="11"/>
  <c r="CL244" i="11"/>
  <c r="CK244" i="11"/>
  <c r="CJ244" i="11"/>
  <c r="CI244" i="11"/>
  <c r="CG244" i="11"/>
  <c r="CF244" i="11"/>
  <c r="CE244" i="11"/>
  <c r="CD244" i="11"/>
  <c r="CB244" i="11"/>
  <c r="CA244" i="11"/>
  <c r="BZ244" i="11"/>
  <c r="BY244" i="11"/>
  <c r="BW244" i="11"/>
  <c r="BV244" i="11"/>
  <c r="BU244" i="11"/>
  <c r="BT244" i="11"/>
  <c r="BR244" i="11"/>
  <c r="BQ244" i="11"/>
  <c r="BP244" i="11"/>
  <c r="BO244" i="11"/>
  <c r="BM244" i="11"/>
  <c r="BL244" i="11"/>
  <c r="BK244" i="11"/>
  <c r="BJ244" i="11"/>
  <c r="BH244" i="11"/>
  <c r="BG244" i="11"/>
  <c r="BF244" i="11"/>
  <c r="BE244" i="11"/>
  <c r="BC244" i="11"/>
  <c r="BB244" i="11"/>
  <c r="BA244" i="11"/>
  <c r="AZ244" i="11"/>
  <c r="AX244" i="11"/>
  <c r="AW244" i="11"/>
  <c r="AV244" i="11"/>
  <c r="AU244" i="11"/>
  <c r="CX243" i="11"/>
  <c r="CV243" i="11"/>
  <c r="CU243" i="11"/>
  <c r="CT243" i="11"/>
  <c r="CS243" i="11"/>
  <c r="CQ243" i="11"/>
  <c r="CP243" i="11"/>
  <c r="CO243" i="11"/>
  <c r="CN243" i="11"/>
  <c r="CL243" i="11"/>
  <c r="CK243" i="11"/>
  <c r="CJ243" i="11"/>
  <c r="CI243" i="11"/>
  <c r="CG243" i="11"/>
  <c r="CF243" i="11"/>
  <c r="CE243" i="11"/>
  <c r="CD243" i="11"/>
  <c r="CB243" i="11"/>
  <c r="CA243" i="11"/>
  <c r="BZ243" i="11"/>
  <c r="BY243" i="11"/>
  <c r="BW243" i="11"/>
  <c r="BV243" i="11"/>
  <c r="BU243" i="11"/>
  <c r="BT243" i="11"/>
  <c r="BR243" i="11"/>
  <c r="BQ243" i="11"/>
  <c r="BP243" i="11"/>
  <c r="BO243" i="11"/>
  <c r="BM243" i="11"/>
  <c r="BL243" i="11"/>
  <c r="BK243" i="11"/>
  <c r="BJ243" i="11"/>
  <c r="BH243" i="11"/>
  <c r="BG243" i="11"/>
  <c r="BF243" i="11"/>
  <c r="BE243" i="11"/>
  <c r="BC243" i="11"/>
  <c r="BB243" i="11"/>
  <c r="BA243" i="11"/>
  <c r="AZ243" i="11"/>
  <c r="AX243" i="11"/>
  <c r="AW243" i="11"/>
  <c r="AV243" i="11"/>
  <c r="AU243" i="11"/>
  <c r="AS243" i="11"/>
  <c r="AR243" i="11"/>
  <c r="AQ243" i="11"/>
  <c r="AP243" i="11"/>
  <c r="AN243" i="11"/>
  <c r="AM243" i="11"/>
  <c r="AL243" i="11"/>
  <c r="AK243" i="11"/>
  <c r="AI243" i="11"/>
  <c r="AJ243" i="11" s="1"/>
  <c r="CW242" i="11"/>
  <c r="CR242" i="11"/>
  <c r="CM242" i="11"/>
  <c r="CH242" i="11"/>
  <c r="CC242" i="11"/>
  <c r="BX242" i="11"/>
  <c r="BS242" i="11"/>
  <c r="BN242" i="11"/>
  <c r="BI242" i="11"/>
  <c r="BD242" i="11"/>
  <c r="AY242" i="11"/>
  <c r="AT242" i="11"/>
  <c r="AO242" i="11"/>
  <c r="AJ242" i="11"/>
  <c r="CW241" i="11"/>
  <c r="CR241" i="11"/>
  <c r="CM241" i="11"/>
  <c r="CH241" i="11"/>
  <c r="CC241" i="11"/>
  <c r="CH244" i="11" s="1"/>
  <c r="BX241" i="11"/>
  <c r="BS241" i="11"/>
  <c r="BN241" i="11"/>
  <c r="BI241" i="11"/>
  <c r="BD241" i="11"/>
  <c r="AY241" i="11"/>
  <c r="AT241" i="11"/>
  <c r="AO241" i="11"/>
  <c r="AJ241" i="11"/>
  <c r="CX239" i="11"/>
  <c r="CV239" i="11"/>
  <c r="CU239" i="11"/>
  <c r="CT239" i="11"/>
  <c r="CS239" i="11"/>
  <c r="CQ239" i="11"/>
  <c r="CP239" i="11"/>
  <c r="CO239" i="11"/>
  <c r="CN239" i="11"/>
  <c r="CL239" i="11"/>
  <c r="CK239" i="11"/>
  <c r="CJ239" i="11"/>
  <c r="CI239" i="11"/>
  <c r="CG239" i="11"/>
  <c r="CF239" i="11"/>
  <c r="CE239" i="11"/>
  <c r="CD239" i="11"/>
  <c r="CB239" i="11"/>
  <c r="CA239" i="11"/>
  <c r="BZ239" i="11"/>
  <c r="BY239" i="11"/>
  <c r="BW239" i="11"/>
  <c r="BV239" i="11"/>
  <c r="BU239" i="11"/>
  <c r="BT239" i="11"/>
  <c r="BR239" i="11"/>
  <c r="BQ239" i="11"/>
  <c r="BP239" i="11"/>
  <c r="BO239" i="11"/>
  <c r="BM239" i="11"/>
  <c r="BL239" i="11"/>
  <c r="BK239" i="11"/>
  <c r="BJ239" i="11"/>
  <c r="BH239" i="11"/>
  <c r="BG239" i="11"/>
  <c r="BF239" i="11"/>
  <c r="BE239" i="11"/>
  <c r="BC239" i="11"/>
  <c r="BB239" i="11"/>
  <c r="BA239" i="11"/>
  <c r="AZ239" i="11"/>
  <c r="AX239" i="11"/>
  <c r="AW239" i="11"/>
  <c r="AV239" i="11"/>
  <c r="AU239" i="11"/>
  <c r="AS239" i="11"/>
  <c r="AR239" i="11"/>
  <c r="AQ239" i="11"/>
  <c r="AP239" i="11"/>
  <c r="AN239" i="11"/>
  <c r="AM239" i="11"/>
  <c r="AL239" i="11"/>
  <c r="AK239" i="11"/>
  <c r="AI239" i="11"/>
  <c r="AH239" i="11"/>
  <c r="AG239" i="11"/>
  <c r="AF239" i="11"/>
  <c r="AD239" i="11"/>
  <c r="AC239" i="11"/>
  <c r="AB239" i="11"/>
  <c r="AA239" i="11"/>
  <c r="Y239" i="11"/>
  <c r="X239" i="11"/>
  <c r="W239" i="11"/>
  <c r="V239" i="11"/>
  <c r="T239" i="11"/>
  <c r="S239" i="11"/>
  <c r="R239" i="11"/>
  <c r="Q239" i="11"/>
  <c r="O239" i="11"/>
  <c r="N239" i="11"/>
  <c r="M239" i="11"/>
  <c r="L239" i="11"/>
  <c r="CX238" i="11"/>
  <c r="CN238" i="11"/>
  <c r="CL238" i="11"/>
  <c r="CK238" i="11"/>
  <c r="CJ238" i="11"/>
  <c r="CI238" i="11"/>
  <c r="CG238" i="11"/>
  <c r="CF238" i="11"/>
  <c r="CE238" i="11"/>
  <c r="CD238" i="11"/>
  <c r="CB238" i="11"/>
  <c r="CA238" i="11"/>
  <c r="BZ238" i="11"/>
  <c r="BY238" i="11"/>
  <c r="BW238" i="11"/>
  <c r="BV238" i="11"/>
  <c r="BU238" i="11"/>
  <c r="BT238" i="11"/>
  <c r="BR238" i="11"/>
  <c r="BQ238" i="11"/>
  <c r="BP238" i="11"/>
  <c r="BO238" i="11"/>
  <c r="BM238" i="11"/>
  <c r="BL238" i="11"/>
  <c r="BK238" i="11"/>
  <c r="BJ238" i="11"/>
  <c r="BH238" i="11"/>
  <c r="BG238" i="11"/>
  <c r="BF238" i="11"/>
  <c r="BE238" i="11"/>
  <c r="BC238" i="11"/>
  <c r="BB238" i="11"/>
  <c r="BA238" i="11"/>
  <c r="AZ238" i="11"/>
  <c r="AX238" i="11"/>
  <c r="AW238" i="11"/>
  <c r="AV238" i="11"/>
  <c r="AU238" i="11"/>
  <c r="AS238" i="11"/>
  <c r="AR238" i="11"/>
  <c r="AQ238" i="11"/>
  <c r="AP238" i="11"/>
  <c r="AN238" i="11"/>
  <c r="AM238" i="11"/>
  <c r="AL238" i="11"/>
  <c r="AK238" i="11"/>
  <c r="AI238" i="11"/>
  <c r="AH238" i="11"/>
  <c r="AG238" i="11"/>
  <c r="AF238" i="11"/>
  <c r="AD238" i="11"/>
  <c r="AC238" i="11"/>
  <c r="AB238" i="11"/>
  <c r="AA238" i="11"/>
  <c r="Y238" i="11"/>
  <c r="X238" i="11"/>
  <c r="W238" i="11"/>
  <c r="V238" i="11"/>
  <c r="T238" i="11"/>
  <c r="S238" i="11"/>
  <c r="R238" i="11"/>
  <c r="Q238" i="11"/>
  <c r="O238" i="11"/>
  <c r="N238" i="11"/>
  <c r="M238" i="11"/>
  <c r="L238" i="11"/>
  <c r="CX237" i="11"/>
  <c r="CV237" i="11"/>
  <c r="CU237" i="11"/>
  <c r="CT237" i="11"/>
  <c r="CS237" i="11"/>
  <c r="CQ237" i="11"/>
  <c r="CP237" i="11"/>
  <c r="CO237" i="11"/>
  <c r="CN237" i="11"/>
  <c r="CL237" i="11"/>
  <c r="CK237" i="11"/>
  <c r="CJ237" i="11"/>
  <c r="CJ240" i="11" s="1"/>
  <c r="CI237" i="11"/>
  <c r="CG237" i="11"/>
  <c r="CF237" i="11"/>
  <c r="CE237" i="11"/>
  <c r="CD237" i="11"/>
  <c r="CB237" i="11"/>
  <c r="CA237" i="11"/>
  <c r="BZ237" i="11"/>
  <c r="BY237" i="11"/>
  <c r="BW237" i="11"/>
  <c r="BV237" i="11"/>
  <c r="BU237" i="11"/>
  <c r="BT237" i="11"/>
  <c r="BR237" i="11"/>
  <c r="BQ237" i="11"/>
  <c r="BP237" i="11"/>
  <c r="BP240" i="11" s="1"/>
  <c r="BO237" i="11"/>
  <c r="BM237" i="11"/>
  <c r="BL237" i="11"/>
  <c r="BK237" i="11"/>
  <c r="BJ237" i="11"/>
  <c r="BH237" i="11"/>
  <c r="BG237" i="11"/>
  <c r="BF237" i="11"/>
  <c r="BE237" i="11"/>
  <c r="BC237" i="11"/>
  <c r="BB237" i="11"/>
  <c r="BA237" i="11"/>
  <c r="AZ237" i="11"/>
  <c r="AX237" i="11"/>
  <c r="AW237" i="11"/>
  <c r="AV237" i="11"/>
  <c r="AU237" i="11"/>
  <c r="AS237" i="11"/>
  <c r="AR237" i="11"/>
  <c r="AQ237" i="11"/>
  <c r="AP237" i="11"/>
  <c r="AN237" i="11"/>
  <c r="AM237" i="11"/>
  <c r="AL237" i="11"/>
  <c r="AK237" i="11"/>
  <c r="AI237" i="11"/>
  <c r="AH237" i="11"/>
  <c r="AG237" i="11"/>
  <c r="AF237" i="11"/>
  <c r="AD237" i="11"/>
  <c r="AC237" i="11"/>
  <c r="AB237" i="11"/>
  <c r="AA237" i="11"/>
  <c r="Y237" i="11"/>
  <c r="X237" i="11"/>
  <c r="W237" i="11"/>
  <c r="V237" i="11"/>
  <c r="T237" i="11"/>
  <c r="S237" i="11"/>
  <c r="R237" i="11"/>
  <c r="Q237" i="11"/>
  <c r="O237" i="11"/>
  <c r="N237" i="11"/>
  <c r="N240" i="11" s="1"/>
  <c r="M237" i="11"/>
  <c r="M240" i="11" s="1"/>
  <c r="L237" i="11"/>
  <c r="L240" i="11" s="1"/>
  <c r="CW236" i="11"/>
  <c r="CR236" i="11"/>
  <c r="CM236" i="11"/>
  <c r="CH236" i="11"/>
  <c r="CC236" i="11"/>
  <c r="BX236" i="11"/>
  <c r="BS236" i="11"/>
  <c r="BN236" i="11"/>
  <c r="BI236" i="11"/>
  <c r="BD236" i="11"/>
  <c r="AY236" i="11"/>
  <c r="AT236" i="11"/>
  <c r="AO236" i="11"/>
  <c r="AJ236" i="11"/>
  <c r="AE236" i="11"/>
  <c r="Z236" i="11"/>
  <c r="U236" i="11"/>
  <c r="P236" i="11"/>
  <c r="CW235" i="11"/>
  <c r="CR235" i="11"/>
  <c r="CM235" i="11"/>
  <c r="CH235" i="11"/>
  <c r="CC235" i="11"/>
  <c r="BX235" i="11"/>
  <c r="BS235" i="11"/>
  <c r="BN235" i="11"/>
  <c r="BI235" i="11"/>
  <c r="BD235" i="11"/>
  <c r="AY235" i="11"/>
  <c r="AT235" i="11"/>
  <c r="AO235" i="11"/>
  <c r="AJ235" i="11"/>
  <c r="AE235" i="11"/>
  <c r="Z235" i="11"/>
  <c r="U235" i="11"/>
  <c r="P235" i="11"/>
  <c r="CX233" i="11"/>
  <c r="CV233" i="11"/>
  <c r="CU233" i="11"/>
  <c r="CT233" i="11"/>
  <c r="CS233" i="11"/>
  <c r="CQ233" i="11"/>
  <c r="CP233" i="11"/>
  <c r="CO233" i="11"/>
  <c r="CN233" i="11"/>
  <c r="CL233" i="11"/>
  <c r="CK233" i="11"/>
  <c r="CJ233" i="11"/>
  <c r="CI233" i="11"/>
  <c r="CG233" i="11"/>
  <c r="CF233" i="11"/>
  <c r="CE233" i="11"/>
  <c r="CD233" i="11"/>
  <c r="CB233" i="11"/>
  <c r="CA233" i="11"/>
  <c r="BZ233" i="11"/>
  <c r="BY233" i="11"/>
  <c r="BW233" i="11"/>
  <c r="BV233" i="11"/>
  <c r="BU233" i="11"/>
  <c r="BT233" i="11"/>
  <c r="BR233" i="11"/>
  <c r="BQ233" i="11"/>
  <c r="BP233" i="11"/>
  <c r="BO233" i="11"/>
  <c r="BM233" i="11"/>
  <c r="BL233" i="11"/>
  <c r="BK233" i="11"/>
  <c r="BJ233" i="11"/>
  <c r="BH233" i="11"/>
  <c r="BG233" i="11"/>
  <c r="BF233" i="11"/>
  <c r="BE233" i="11"/>
  <c r="BC233" i="11"/>
  <c r="BB233" i="11"/>
  <c r="BA233" i="11"/>
  <c r="AZ233" i="11"/>
  <c r="AX233" i="11"/>
  <c r="AW233" i="11"/>
  <c r="AV233" i="11"/>
  <c r="AU233" i="11"/>
  <c r="AS233" i="11"/>
  <c r="AR233" i="11"/>
  <c r="AQ233" i="11"/>
  <c r="AP233" i="11"/>
  <c r="AN233" i="11"/>
  <c r="AM233" i="11"/>
  <c r="AL233" i="11"/>
  <c r="AK233" i="11"/>
  <c r="AI233" i="11"/>
  <c r="AH233" i="11"/>
  <c r="AG233" i="11"/>
  <c r="AF233" i="11"/>
  <c r="AD233" i="11"/>
  <c r="AC233" i="11"/>
  <c r="AB233" i="11"/>
  <c r="AA233" i="11"/>
  <c r="Y233" i="11"/>
  <c r="X233" i="11"/>
  <c r="W233" i="11"/>
  <c r="V233" i="11"/>
  <c r="T233" i="11"/>
  <c r="S233" i="11"/>
  <c r="R233" i="11"/>
  <c r="Q233" i="11"/>
  <c r="O233" i="11"/>
  <c r="N233" i="11"/>
  <c r="M233" i="11"/>
  <c r="L233" i="11"/>
  <c r="CX231" i="11"/>
  <c r="CV231" i="11"/>
  <c r="CU231" i="11"/>
  <c r="CT231" i="11"/>
  <c r="CS231" i="11"/>
  <c r="CQ231" i="11"/>
  <c r="CP231" i="11"/>
  <c r="CO231" i="11"/>
  <c r="CO234" i="11" s="1"/>
  <c r="CN231" i="11"/>
  <c r="CL231" i="11"/>
  <c r="CK231" i="11"/>
  <c r="CJ231" i="11"/>
  <c r="CG231" i="11"/>
  <c r="CF231" i="11"/>
  <c r="CE231" i="11"/>
  <c r="CD231" i="11"/>
  <c r="CA231" i="11"/>
  <c r="BZ231" i="11"/>
  <c r="BY231" i="11"/>
  <c r="BW231" i="11"/>
  <c r="BV231" i="11"/>
  <c r="BU231" i="11"/>
  <c r="BU234" i="11" s="1"/>
  <c r="BT231" i="11"/>
  <c r="BR231" i="11"/>
  <c r="BQ231" i="11"/>
  <c r="BP231" i="11"/>
  <c r="BO231" i="11"/>
  <c r="BL231" i="11"/>
  <c r="BK231" i="11"/>
  <c r="BH231" i="11"/>
  <c r="BG231" i="11"/>
  <c r="BF231" i="11"/>
  <c r="BC231" i="11"/>
  <c r="BA231" i="11"/>
  <c r="AZ231" i="11"/>
  <c r="AX231" i="11"/>
  <c r="AW231" i="11"/>
  <c r="AV231" i="11"/>
  <c r="AU231" i="11"/>
  <c r="AS231" i="11"/>
  <c r="AR231" i="11"/>
  <c r="AQ231" i="11"/>
  <c r="AP231" i="11"/>
  <c r="AN231" i="11"/>
  <c r="AM231" i="11"/>
  <c r="AL231" i="11"/>
  <c r="AI231" i="11"/>
  <c r="AB231" i="11"/>
  <c r="AA231" i="11"/>
  <c r="Y231" i="11"/>
  <c r="X231" i="11"/>
  <c r="W231" i="11"/>
  <c r="V231" i="11"/>
  <c r="T231" i="11"/>
  <c r="S231" i="11"/>
  <c r="Q231" i="11"/>
  <c r="O231" i="11"/>
  <c r="N231" i="11"/>
  <c r="M231" i="11"/>
  <c r="L231" i="11"/>
  <c r="J231" i="11"/>
  <c r="I231" i="11"/>
  <c r="H231" i="11"/>
  <c r="G231" i="11"/>
  <c r="CW230" i="11"/>
  <c r="CR230" i="11"/>
  <c r="CM230" i="11"/>
  <c r="CH230" i="11"/>
  <c r="CC230" i="11"/>
  <c r="BX230" i="11"/>
  <c r="BS230" i="11"/>
  <c r="BN230" i="11"/>
  <c r="BI230" i="11"/>
  <c r="BD230" i="11"/>
  <c r="AY230" i="11"/>
  <c r="AT230" i="11"/>
  <c r="AO230" i="11"/>
  <c r="AJ230" i="11"/>
  <c r="AE230" i="11"/>
  <c r="Z230" i="11"/>
  <c r="U230" i="11"/>
  <c r="P230" i="11"/>
  <c r="K230" i="11"/>
  <c r="CW229" i="11"/>
  <c r="CR229" i="11"/>
  <c r="CI229" i="11"/>
  <c r="CM229" i="11" s="1"/>
  <c r="CH229" i="11"/>
  <c r="CB229" i="11"/>
  <c r="CB231" i="11" s="1"/>
  <c r="BX229" i="11"/>
  <c r="BS229" i="11"/>
  <c r="BM229" i="11"/>
  <c r="BE229" i="11"/>
  <c r="BJ229" i="11" s="1"/>
  <c r="BJ231" i="11" s="1"/>
  <c r="BB229" i="11"/>
  <c r="AY229" i="11"/>
  <c r="AT229" i="11"/>
  <c r="AG229" i="11"/>
  <c r="AF229" i="11"/>
  <c r="AD229" i="11"/>
  <c r="AC229" i="11"/>
  <c r="Z229" i="11"/>
  <c r="R229" i="11"/>
  <c r="P229" i="11"/>
  <c r="K229" i="11"/>
  <c r="CX227" i="11"/>
  <c r="CV227" i="11"/>
  <c r="CU227" i="11"/>
  <c r="CT227" i="11"/>
  <c r="CS227" i="11"/>
  <c r="CQ227" i="11"/>
  <c r="CP227" i="11"/>
  <c r="CO227" i="11"/>
  <c r="CN227" i="11"/>
  <c r="CL227" i="11"/>
  <c r="CK227" i="11"/>
  <c r="CJ227" i="11"/>
  <c r="CI227" i="11"/>
  <c r="CG227" i="11"/>
  <c r="CF227" i="11"/>
  <c r="CE227" i="11"/>
  <c r="CD227" i="11"/>
  <c r="CB227" i="11"/>
  <c r="CA227" i="11"/>
  <c r="BZ227" i="11"/>
  <c r="BY227" i="11"/>
  <c r="BW227" i="11"/>
  <c r="BV227" i="11"/>
  <c r="BU227" i="11"/>
  <c r="BT227" i="11"/>
  <c r="BR227" i="11"/>
  <c r="BQ227" i="11"/>
  <c r="BP227" i="11"/>
  <c r="BO227" i="11"/>
  <c r="BM227" i="11"/>
  <c r="BL227" i="11"/>
  <c r="BK227" i="11"/>
  <c r="BJ227" i="11"/>
  <c r="BH227" i="11"/>
  <c r="BG227" i="11"/>
  <c r="BF227" i="11"/>
  <c r="BE227" i="11"/>
  <c r="BC227" i="11"/>
  <c r="BB227" i="11"/>
  <c r="BA227" i="11"/>
  <c r="AZ227" i="11"/>
  <c r="AX227" i="11"/>
  <c r="AW227" i="11"/>
  <c r="AV227" i="11"/>
  <c r="AU227" i="11"/>
  <c r="AS227" i="11"/>
  <c r="AR227" i="11"/>
  <c r="AQ227" i="11"/>
  <c r="AP227" i="11"/>
  <c r="AN227" i="11"/>
  <c r="AM227" i="11"/>
  <c r="AL227" i="11"/>
  <c r="AK227" i="11"/>
  <c r="AI227" i="11"/>
  <c r="AH227" i="11"/>
  <c r="AG227" i="11"/>
  <c r="AF227" i="11"/>
  <c r="AD227" i="11"/>
  <c r="AC227" i="11"/>
  <c r="AB227" i="11"/>
  <c r="AA227" i="11"/>
  <c r="Y227" i="11"/>
  <c r="X227" i="11"/>
  <c r="W227" i="11"/>
  <c r="V227" i="11"/>
  <c r="T227" i="11"/>
  <c r="S227" i="11"/>
  <c r="R227" i="11"/>
  <c r="Q227" i="11"/>
  <c r="O227" i="11"/>
  <c r="N227" i="11"/>
  <c r="M227" i="11"/>
  <c r="L227" i="11"/>
  <c r="J227" i="11"/>
  <c r="I227" i="11"/>
  <c r="H227" i="11"/>
  <c r="G227" i="11"/>
  <c r="CX226" i="11"/>
  <c r="CV226" i="11"/>
  <c r="CU226" i="11"/>
  <c r="CT226" i="11"/>
  <c r="CS226" i="11"/>
  <c r="CQ226" i="11"/>
  <c r="CP226" i="11"/>
  <c r="CO226" i="11"/>
  <c r="CN226" i="11"/>
  <c r="CL226" i="11"/>
  <c r="CK226" i="11"/>
  <c r="CJ226" i="11"/>
  <c r="CI226" i="11"/>
  <c r="CG226" i="11"/>
  <c r="CF226" i="11"/>
  <c r="CE226" i="11"/>
  <c r="CD226" i="11"/>
  <c r="CB226" i="11"/>
  <c r="CA226" i="11"/>
  <c r="BZ226" i="11"/>
  <c r="BY226" i="11"/>
  <c r="BW226" i="11"/>
  <c r="BV226" i="11"/>
  <c r="BU226" i="11"/>
  <c r="BT226" i="11"/>
  <c r="BR226" i="11"/>
  <c r="BQ226" i="11"/>
  <c r="BP226" i="11"/>
  <c r="BO226" i="11"/>
  <c r="BM226" i="11"/>
  <c r="BL226" i="11"/>
  <c r="BK226" i="11"/>
  <c r="BJ226" i="11"/>
  <c r="BH226" i="11"/>
  <c r="BG226" i="11"/>
  <c r="BF226" i="11"/>
  <c r="BE226" i="11"/>
  <c r="BC226" i="11"/>
  <c r="BB226" i="11"/>
  <c r="BA226" i="11"/>
  <c r="AZ226" i="11"/>
  <c r="AX226" i="11"/>
  <c r="AW226" i="11"/>
  <c r="AV226" i="11"/>
  <c r="AU226" i="11"/>
  <c r="AS226" i="11"/>
  <c r="AR226" i="11"/>
  <c r="AQ226" i="11"/>
  <c r="AP226" i="11"/>
  <c r="AN226" i="11"/>
  <c r="AM226" i="11"/>
  <c r="AL226" i="11"/>
  <c r="AK226" i="11"/>
  <c r="AI226" i="11"/>
  <c r="AH226" i="11"/>
  <c r="AG226" i="11"/>
  <c r="AF226" i="11"/>
  <c r="AD226" i="11"/>
  <c r="AC226" i="11"/>
  <c r="AB226" i="11"/>
  <c r="AA226" i="11"/>
  <c r="Y226" i="11"/>
  <c r="X226" i="11"/>
  <c r="W226" i="11"/>
  <c r="V226" i="11"/>
  <c r="T226" i="11"/>
  <c r="S226" i="11"/>
  <c r="R226" i="11"/>
  <c r="Q226" i="11"/>
  <c r="O226" i="11"/>
  <c r="N226" i="11"/>
  <c r="M226" i="11"/>
  <c r="L226" i="11"/>
  <c r="J226" i="11"/>
  <c r="I226" i="11"/>
  <c r="H226" i="11"/>
  <c r="G226" i="11"/>
  <c r="CX225" i="11"/>
  <c r="V13" i="13" s="1"/>
  <c r="CV225" i="11"/>
  <c r="T13" i="13" s="1"/>
  <c r="CU225" i="11"/>
  <c r="S13" i="13" s="1"/>
  <c r="CT225" i="11"/>
  <c r="R13" i="13" s="1"/>
  <c r="CS225" i="11"/>
  <c r="Q13" i="13" s="1"/>
  <c r="CQ225" i="11"/>
  <c r="O13" i="13" s="1"/>
  <c r="CP225" i="11"/>
  <c r="N13" i="13" s="1"/>
  <c r="CO225" i="11"/>
  <c r="M13" i="13" s="1"/>
  <c r="CN225" i="11"/>
  <c r="L13" i="13" s="1"/>
  <c r="CL225" i="11"/>
  <c r="J13" i="13" s="1"/>
  <c r="CK225" i="11"/>
  <c r="I13" i="13" s="1"/>
  <c r="CJ225" i="11"/>
  <c r="H13" i="13" s="1"/>
  <c r="CI225" i="11"/>
  <c r="G13" i="13" s="1"/>
  <c r="CG225" i="11"/>
  <c r="CF225" i="11"/>
  <c r="CE225" i="11"/>
  <c r="CD225" i="11"/>
  <c r="CB225" i="11"/>
  <c r="CA225" i="11"/>
  <c r="BZ225" i="11"/>
  <c r="BY225" i="11"/>
  <c r="BW225" i="11"/>
  <c r="BV225" i="11"/>
  <c r="BU225" i="11"/>
  <c r="BT225" i="11"/>
  <c r="BR225" i="11"/>
  <c r="BQ225" i="11"/>
  <c r="BP225" i="11"/>
  <c r="BO225" i="11"/>
  <c r="BM225" i="11"/>
  <c r="BL225" i="11"/>
  <c r="BK225" i="11"/>
  <c r="BJ225" i="11"/>
  <c r="BH225" i="11"/>
  <c r="BG225" i="11"/>
  <c r="BF225" i="11"/>
  <c r="BE225" i="11"/>
  <c r="BC225" i="11"/>
  <c r="BB225" i="11"/>
  <c r="BA225" i="11"/>
  <c r="AZ225" i="11"/>
  <c r="AX225" i="11"/>
  <c r="AW225" i="11"/>
  <c r="AV225" i="11"/>
  <c r="AU225" i="11"/>
  <c r="AS225" i="11"/>
  <c r="AR225" i="11"/>
  <c r="AQ225" i="11"/>
  <c r="AP225" i="11"/>
  <c r="AN225" i="11"/>
  <c r="AM225" i="11"/>
  <c r="AL225" i="11"/>
  <c r="AK225" i="11"/>
  <c r="AI225" i="11"/>
  <c r="AH225" i="11"/>
  <c r="AG225" i="11"/>
  <c r="AF225" i="11"/>
  <c r="AD225" i="11"/>
  <c r="AC225" i="11"/>
  <c r="AB225" i="11"/>
  <c r="AA225" i="11"/>
  <c r="Y225" i="11"/>
  <c r="X225" i="11"/>
  <c r="W225" i="11"/>
  <c r="V225" i="11"/>
  <c r="T225" i="11"/>
  <c r="S225" i="11"/>
  <c r="R225" i="11"/>
  <c r="Q225" i="11"/>
  <c r="O225" i="11"/>
  <c r="N225" i="11"/>
  <c r="M225" i="11"/>
  <c r="L225" i="11"/>
  <c r="J225" i="11"/>
  <c r="I225" i="11"/>
  <c r="H225" i="11"/>
  <c r="G225" i="11"/>
  <c r="F225" i="11"/>
  <c r="E225" i="11"/>
  <c r="D225" i="11"/>
  <c r="C225" i="11"/>
  <c r="B225" i="11"/>
  <c r="CW224" i="11"/>
  <c r="CR224" i="11"/>
  <c r="CM224" i="11"/>
  <c r="CH224" i="11"/>
  <c r="CC224" i="11"/>
  <c r="BX224" i="11"/>
  <c r="BS224" i="11"/>
  <c r="BN224" i="11"/>
  <c r="BI224" i="11"/>
  <c r="BD224" i="11"/>
  <c r="AY224" i="11"/>
  <c r="AT224" i="11"/>
  <c r="AO224" i="11"/>
  <c r="AJ224" i="11"/>
  <c r="AE224" i="11"/>
  <c r="Z224" i="11"/>
  <c r="U224" i="11"/>
  <c r="P224" i="11"/>
  <c r="K224" i="11"/>
  <c r="CW223" i="11"/>
  <c r="CR223" i="11"/>
  <c r="CM223" i="11"/>
  <c r="CH223" i="11"/>
  <c r="CC223" i="11"/>
  <c r="BX223" i="11"/>
  <c r="BS223" i="11"/>
  <c r="BN223" i="11"/>
  <c r="BI223" i="11"/>
  <c r="BD223" i="11"/>
  <c r="AY223" i="11"/>
  <c r="AT223" i="11"/>
  <c r="AY226" i="11" s="1"/>
  <c r="AO223" i="11"/>
  <c r="AJ223" i="11"/>
  <c r="AE223" i="11"/>
  <c r="Z223" i="11"/>
  <c r="U223" i="11"/>
  <c r="P223" i="11"/>
  <c r="K223" i="11"/>
  <c r="K226" i="11" s="1"/>
  <c r="CX221" i="11"/>
  <c r="CV221" i="11"/>
  <c r="CU221" i="11"/>
  <c r="CS221" i="11"/>
  <c r="CQ221" i="11"/>
  <c r="CP221" i="11"/>
  <c r="CN221" i="11"/>
  <c r="CL221" i="11"/>
  <c r="CK221" i="11"/>
  <c r="CJ221" i="11"/>
  <c r="CI221" i="11"/>
  <c r="CG221" i="11"/>
  <c r="CF221" i="11"/>
  <c r="CE221" i="11"/>
  <c r="CD221" i="11"/>
  <c r="CB221" i="11"/>
  <c r="CA221" i="11"/>
  <c r="BZ221" i="11"/>
  <c r="BY221" i="11"/>
  <c r="BW221" i="11"/>
  <c r="BV221" i="11"/>
  <c r="BU221" i="11"/>
  <c r="BT221" i="11"/>
  <c r="BR221" i="11"/>
  <c r="BQ221" i="11"/>
  <c r="BP221" i="11"/>
  <c r="BO221" i="11"/>
  <c r="BM221" i="11"/>
  <c r="BL221" i="11"/>
  <c r="BK221" i="11"/>
  <c r="BJ221" i="11"/>
  <c r="BH221" i="11"/>
  <c r="BG221" i="11"/>
  <c r="BF221" i="11"/>
  <c r="BE221" i="11"/>
  <c r="BC221" i="11"/>
  <c r="BB221" i="11"/>
  <c r="BA221" i="11"/>
  <c r="AZ221" i="11"/>
  <c r="AX221" i="11"/>
  <c r="AW221" i="11"/>
  <c r="AV221" i="11"/>
  <c r="AU221" i="11"/>
  <c r="AS221" i="11"/>
  <c r="AR221" i="11"/>
  <c r="AQ221" i="11"/>
  <c r="AP221" i="11"/>
  <c r="AN221" i="11"/>
  <c r="AM221" i="11"/>
  <c r="AL221" i="11"/>
  <c r="AK221" i="11"/>
  <c r="AI221" i="11"/>
  <c r="AH221" i="11"/>
  <c r="AG221" i="11"/>
  <c r="AF221" i="11"/>
  <c r="AD221" i="11"/>
  <c r="AC221" i="11"/>
  <c r="AB221" i="11"/>
  <c r="AA221" i="11"/>
  <c r="Y221" i="11"/>
  <c r="X221" i="11"/>
  <c r="W221" i="11"/>
  <c r="V221" i="11"/>
  <c r="T221" i="11"/>
  <c r="S221" i="11"/>
  <c r="R221" i="11"/>
  <c r="Q221" i="11"/>
  <c r="O221" i="11"/>
  <c r="N221" i="11"/>
  <c r="M221" i="11"/>
  <c r="L221" i="11"/>
  <c r="J221" i="11"/>
  <c r="I221" i="11"/>
  <c r="H221" i="11"/>
  <c r="G221" i="11"/>
  <c r="CV220" i="11"/>
  <c r="CU220" i="11"/>
  <c r="CT220" i="11"/>
  <c r="CS220" i="11"/>
  <c r="CQ220" i="11"/>
  <c r="CP220" i="11"/>
  <c r="CO220" i="11"/>
  <c r="CN220" i="11"/>
  <c r="CL220" i="11"/>
  <c r="CK220" i="11"/>
  <c r="CJ220" i="11"/>
  <c r="CI220" i="11"/>
  <c r="CG220" i="11"/>
  <c r="CF220" i="11"/>
  <c r="CE220" i="11"/>
  <c r="CD220" i="11"/>
  <c r="CB220" i="11"/>
  <c r="CA220" i="11"/>
  <c r="BZ220" i="11"/>
  <c r="BY220" i="11"/>
  <c r="BW220" i="11"/>
  <c r="BV220" i="11"/>
  <c r="BU220" i="11"/>
  <c r="BT220" i="11"/>
  <c r="BR220" i="11"/>
  <c r="BQ220" i="11"/>
  <c r="BP220" i="11"/>
  <c r="BO220" i="11"/>
  <c r="BM220" i="11"/>
  <c r="BL220" i="11"/>
  <c r="BK220" i="11"/>
  <c r="BJ220" i="11"/>
  <c r="BH220" i="11"/>
  <c r="BG220" i="11"/>
  <c r="BF220" i="11"/>
  <c r="BE220" i="11"/>
  <c r="BC220" i="11"/>
  <c r="BB220" i="11"/>
  <c r="BA220" i="11"/>
  <c r="AZ220" i="11"/>
  <c r="AX220" i="11"/>
  <c r="AW220" i="11"/>
  <c r="AV220" i="11"/>
  <c r="AU220" i="11"/>
  <c r="AS220" i="11"/>
  <c r="AR220" i="11"/>
  <c r="AQ220" i="11"/>
  <c r="AP220" i="11"/>
  <c r="AN220" i="11"/>
  <c r="AM220" i="11"/>
  <c r="AL220" i="11"/>
  <c r="AK220" i="11"/>
  <c r="AI220" i="11"/>
  <c r="AH220" i="11"/>
  <c r="AG220" i="11"/>
  <c r="AF220" i="11"/>
  <c r="AD220" i="11"/>
  <c r="AC220" i="11"/>
  <c r="AB220" i="11"/>
  <c r="AA220" i="11"/>
  <c r="Y220" i="11"/>
  <c r="X220" i="11"/>
  <c r="W220" i="11"/>
  <c r="V220" i="11"/>
  <c r="T220" i="11"/>
  <c r="S220" i="11"/>
  <c r="R220" i="11"/>
  <c r="Q220" i="11"/>
  <c r="O220" i="11"/>
  <c r="N220" i="11"/>
  <c r="M220" i="11"/>
  <c r="L220" i="11"/>
  <c r="J220" i="11"/>
  <c r="I220" i="11"/>
  <c r="H220" i="11"/>
  <c r="G220" i="11"/>
  <c r="CV219" i="11"/>
  <c r="T14" i="13" s="1"/>
  <c r="CU219" i="11"/>
  <c r="S14" i="13" s="1"/>
  <c r="CT219" i="11"/>
  <c r="R14" i="13" s="1"/>
  <c r="CS219" i="11"/>
  <c r="Q14" i="13" s="1"/>
  <c r="CQ219" i="11"/>
  <c r="O14" i="13" s="1"/>
  <c r="CP219" i="11"/>
  <c r="N14" i="13" s="1"/>
  <c r="CN219" i="11"/>
  <c r="L14" i="13" s="1"/>
  <c r="CL219" i="11"/>
  <c r="J14" i="13" s="1"/>
  <c r="CK219" i="11"/>
  <c r="I14" i="13" s="1"/>
  <c r="CJ219" i="11"/>
  <c r="H14" i="13" s="1"/>
  <c r="CI219" i="11"/>
  <c r="G14" i="13" s="1"/>
  <c r="CG219" i="11"/>
  <c r="CF219" i="11"/>
  <c r="CE219" i="11"/>
  <c r="CD219" i="11"/>
  <c r="CB219" i="11"/>
  <c r="CA219" i="11"/>
  <c r="BZ219" i="11"/>
  <c r="BY219" i="11"/>
  <c r="BW219" i="11"/>
  <c r="BV219" i="11"/>
  <c r="BU219" i="11"/>
  <c r="BT219" i="11"/>
  <c r="BR219" i="11"/>
  <c r="BQ219" i="11"/>
  <c r="BP219" i="11"/>
  <c r="BO219" i="11"/>
  <c r="BM219" i="11"/>
  <c r="BL219" i="11"/>
  <c r="BK219" i="11"/>
  <c r="BJ219" i="11"/>
  <c r="BH219" i="11"/>
  <c r="BG219" i="11"/>
  <c r="BF219" i="11"/>
  <c r="BE219" i="11"/>
  <c r="BC219" i="11"/>
  <c r="BB219" i="11"/>
  <c r="BA219" i="11"/>
  <c r="AZ219" i="11"/>
  <c r="AX219" i="11"/>
  <c r="AW219" i="11"/>
  <c r="AV219" i="11"/>
  <c r="AU219" i="11"/>
  <c r="AS219" i="11"/>
  <c r="AR219" i="11"/>
  <c r="AQ219" i="11"/>
  <c r="AP219" i="11"/>
  <c r="AN219" i="11"/>
  <c r="AM219" i="11"/>
  <c r="AL219" i="11"/>
  <c r="AK219" i="11"/>
  <c r="AI219" i="11"/>
  <c r="AH219" i="11"/>
  <c r="AM222" i="11" s="1"/>
  <c r="AG219" i="11"/>
  <c r="AF219" i="11"/>
  <c r="AD219" i="11"/>
  <c r="AC219" i="11"/>
  <c r="AB219" i="11"/>
  <c r="AA219" i="11"/>
  <c r="Y219" i="11"/>
  <c r="X219" i="11"/>
  <c r="W219" i="11"/>
  <c r="V219" i="11"/>
  <c r="T219" i="11"/>
  <c r="S219" i="11"/>
  <c r="R219" i="11"/>
  <c r="Q219" i="11"/>
  <c r="O219" i="11"/>
  <c r="N219" i="11"/>
  <c r="M219" i="11"/>
  <c r="L219" i="11"/>
  <c r="J219" i="11"/>
  <c r="I219" i="11"/>
  <c r="H219" i="11"/>
  <c r="G219" i="11"/>
  <c r="F219" i="11"/>
  <c r="E219" i="11"/>
  <c r="D219" i="11"/>
  <c r="C219" i="11"/>
  <c r="B219" i="11"/>
  <c r="CW218" i="11"/>
  <c r="CO218" i="11"/>
  <c r="CT221" i="11" s="1"/>
  <c r="CM218" i="11"/>
  <c r="CH218" i="11"/>
  <c r="CC218" i="11"/>
  <c r="BX218" i="11"/>
  <c r="BS218" i="11"/>
  <c r="BN218" i="11"/>
  <c r="BI218" i="11"/>
  <c r="BD218" i="11"/>
  <c r="AY218" i="11"/>
  <c r="AT218" i="11"/>
  <c r="AO218" i="11"/>
  <c r="AJ218" i="11"/>
  <c r="AE218" i="11"/>
  <c r="Z218" i="11"/>
  <c r="U218" i="11"/>
  <c r="P218" i="11"/>
  <c r="K218" i="11"/>
  <c r="CW217" i="11"/>
  <c r="CR217" i="11"/>
  <c r="CM217" i="11"/>
  <c r="CH217" i="11"/>
  <c r="CC217" i="11"/>
  <c r="BX217" i="11"/>
  <c r="BS217" i="11"/>
  <c r="BN217" i="11"/>
  <c r="BI217" i="11"/>
  <c r="BD217" i="11"/>
  <c r="AY217" i="11"/>
  <c r="AT217" i="11"/>
  <c r="AO217" i="11"/>
  <c r="AJ217" i="11"/>
  <c r="AE217" i="11"/>
  <c r="Z217" i="11"/>
  <c r="U217" i="11"/>
  <c r="P217" i="11"/>
  <c r="K217" i="11"/>
  <c r="K220" i="11" s="1"/>
  <c r="CX214" i="11"/>
  <c r="CV214" i="11"/>
  <c r="CU214" i="11"/>
  <c r="CS214" i="11"/>
  <c r="CQ214" i="11"/>
  <c r="CP214" i="11"/>
  <c r="CN214" i="11"/>
  <c r="CL214" i="11"/>
  <c r="CK214" i="11"/>
  <c r="CJ214" i="11"/>
  <c r="CG214" i="11"/>
  <c r="CF214" i="11"/>
  <c r="CE214" i="11"/>
  <c r="CB214" i="11"/>
  <c r="CA214" i="11"/>
  <c r="BZ214" i="11"/>
  <c r="BY214" i="11"/>
  <c r="BW214" i="11"/>
  <c r="BV214" i="11"/>
  <c r="BU214" i="11"/>
  <c r="BT214" i="11"/>
  <c r="BR214" i="11"/>
  <c r="BQ214" i="11"/>
  <c r="BP214" i="11"/>
  <c r="BO214" i="11"/>
  <c r="BM214" i="11"/>
  <c r="BL214" i="11"/>
  <c r="BK214" i="11"/>
  <c r="BJ214" i="11"/>
  <c r="BH214" i="11"/>
  <c r="BG214" i="11"/>
  <c r="BF214" i="11"/>
  <c r="BE214" i="11"/>
  <c r="CX213" i="11"/>
  <c r="CV213" i="11"/>
  <c r="CU213" i="11"/>
  <c r="CT213" i="11"/>
  <c r="CS213" i="11"/>
  <c r="CQ213" i="11"/>
  <c r="CP213" i="11"/>
  <c r="CO213" i="11"/>
  <c r="CN213" i="11"/>
  <c r="CL213" i="11"/>
  <c r="CK213" i="11"/>
  <c r="CJ213" i="11"/>
  <c r="CI213" i="11"/>
  <c r="CG213" i="11"/>
  <c r="CF213" i="11"/>
  <c r="CE213" i="11"/>
  <c r="CD213" i="11"/>
  <c r="CB213" i="11"/>
  <c r="CA213" i="11"/>
  <c r="BZ213" i="11"/>
  <c r="BY213" i="11"/>
  <c r="BW213" i="11"/>
  <c r="BV213" i="11"/>
  <c r="BU213" i="11"/>
  <c r="BT213" i="11"/>
  <c r="BR213" i="11"/>
  <c r="BQ213" i="11"/>
  <c r="BP213" i="11"/>
  <c r="BO213" i="11"/>
  <c r="BM213" i="11"/>
  <c r="BL213" i="11"/>
  <c r="BK213" i="11"/>
  <c r="BJ213" i="11"/>
  <c r="BH213" i="11"/>
  <c r="BG213" i="11"/>
  <c r="BF213" i="11"/>
  <c r="BE213" i="11"/>
  <c r="CX212" i="11"/>
  <c r="CV212" i="11"/>
  <c r="CU212" i="11"/>
  <c r="CT212" i="11"/>
  <c r="CS212" i="11"/>
  <c r="CQ212" i="11"/>
  <c r="CP212" i="11"/>
  <c r="CN212" i="11"/>
  <c r="CL212" i="11"/>
  <c r="CK212" i="11"/>
  <c r="CJ212" i="11"/>
  <c r="CI212" i="11"/>
  <c r="CG212" i="11"/>
  <c r="CF212" i="11"/>
  <c r="CE212" i="11"/>
  <c r="CB212" i="11"/>
  <c r="CA212" i="11"/>
  <c r="BZ212" i="11"/>
  <c r="BY212" i="11"/>
  <c r="BW212" i="11"/>
  <c r="BV212" i="11"/>
  <c r="BU212" i="11"/>
  <c r="BT212" i="11"/>
  <c r="BR212" i="11"/>
  <c r="BQ212" i="11"/>
  <c r="BP212" i="11"/>
  <c r="BO212" i="11"/>
  <c r="BM212" i="11"/>
  <c r="BL212" i="11"/>
  <c r="BK212" i="11"/>
  <c r="BJ212" i="11"/>
  <c r="BH212" i="11"/>
  <c r="BG212" i="11"/>
  <c r="BF212" i="11"/>
  <c r="BE212" i="11"/>
  <c r="BC212" i="11"/>
  <c r="BB212" i="11"/>
  <c r="BA212" i="11"/>
  <c r="AZ212" i="11"/>
  <c r="AX212" i="11"/>
  <c r="AW212" i="11"/>
  <c r="AV212" i="11"/>
  <c r="AU212" i="11"/>
  <c r="AR212" i="11"/>
  <c r="AQ212" i="11"/>
  <c r="AP212" i="11"/>
  <c r="AN212" i="11"/>
  <c r="AM212" i="11"/>
  <c r="AL212" i="11"/>
  <c r="AK212" i="11"/>
  <c r="AI212" i="11"/>
  <c r="AJ212" i="11" s="1"/>
  <c r="CW211" i="11"/>
  <c r="CO211" i="11"/>
  <c r="CT214" i="11" s="1"/>
  <c r="CM211" i="11"/>
  <c r="CD211" i="11"/>
  <c r="CH211" i="11" s="1"/>
  <c r="CC211" i="11"/>
  <c r="BX211" i="11"/>
  <c r="BS211" i="11"/>
  <c r="BN211" i="11"/>
  <c r="BI211" i="11"/>
  <c r="BD211" i="11"/>
  <c r="AY211" i="11"/>
  <c r="AT211" i="11"/>
  <c r="AO211" i="11"/>
  <c r="AJ211" i="11"/>
  <c r="CW210" i="11"/>
  <c r="CR210" i="11"/>
  <c r="CM210" i="11"/>
  <c r="CH210" i="11"/>
  <c r="CC210" i="11"/>
  <c r="BX210" i="11"/>
  <c r="BS210" i="11"/>
  <c r="BN210" i="11"/>
  <c r="BI210" i="11"/>
  <c r="BD210" i="11"/>
  <c r="AY210" i="11"/>
  <c r="AT210" i="11"/>
  <c r="AO210" i="11"/>
  <c r="AJ210" i="11"/>
  <c r="CX208" i="11"/>
  <c r="CV208" i="11"/>
  <c r="CU208" i="11"/>
  <c r="CT208" i="11"/>
  <c r="CS208" i="11"/>
  <c r="CQ208" i="11"/>
  <c r="CP208" i="11"/>
  <c r="CO208" i="11"/>
  <c r="CN208" i="11"/>
  <c r="CL208" i="11"/>
  <c r="CK208" i="11"/>
  <c r="CJ208" i="11"/>
  <c r="CI208" i="11"/>
  <c r="CG208" i="11"/>
  <c r="CF208" i="11"/>
  <c r="CE208" i="11"/>
  <c r="CD208" i="11"/>
  <c r="CB208" i="11"/>
  <c r="CA208" i="11"/>
  <c r="BZ208" i="11"/>
  <c r="BY208" i="11"/>
  <c r="BW208" i="11"/>
  <c r="BV208" i="11"/>
  <c r="BU208" i="11"/>
  <c r="BT208" i="11"/>
  <c r="BR208" i="11"/>
  <c r="BQ208" i="11"/>
  <c r="BP208" i="11"/>
  <c r="BO208" i="11"/>
  <c r="BM208" i="11"/>
  <c r="BL208" i="11"/>
  <c r="BK208" i="11"/>
  <c r="BJ208" i="11"/>
  <c r="BH208" i="11"/>
  <c r="BG208" i="11"/>
  <c r="BF208" i="11"/>
  <c r="BE208" i="11"/>
  <c r="BC208" i="11"/>
  <c r="BB208" i="11"/>
  <c r="BA208" i="11"/>
  <c r="AZ208" i="11"/>
  <c r="AX208" i="11"/>
  <c r="AW208" i="11"/>
  <c r="AV208" i="11"/>
  <c r="AU208" i="11"/>
  <c r="CX207" i="11"/>
  <c r="CV207" i="11"/>
  <c r="CU207" i="11"/>
  <c r="CT207" i="11"/>
  <c r="CS207" i="11"/>
  <c r="CQ207" i="11"/>
  <c r="CP207" i="11"/>
  <c r="CO207" i="11"/>
  <c r="CN207" i="11"/>
  <c r="CL207" i="11"/>
  <c r="CK207" i="11"/>
  <c r="CJ207" i="11"/>
  <c r="CI207" i="11"/>
  <c r="CG207" i="11"/>
  <c r="CF207" i="11"/>
  <c r="CE207" i="11"/>
  <c r="CD207" i="11"/>
  <c r="CB207" i="11"/>
  <c r="CA207" i="11"/>
  <c r="BZ207" i="11"/>
  <c r="BY207" i="11"/>
  <c r="BW207" i="11"/>
  <c r="BV207" i="11"/>
  <c r="BU207" i="11"/>
  <c r="BT207" i="11"/>
  <c r="BR207" i="11"/>
  <c r="BQ207" i="11"/>
  <c r="BP207" i="11"/>
  <c r="BO207" i="11"/>
  <c r="BM207" i="11"/>
  <c r="BL207" i="11"/>
  <c r="BK207" i="11"/>
  <c r="BJ207" i="11"/>
  <c r="BH207" i="11"/>
  <c r="BG207" i="11"/>
  <c r="BF207" i="11"/>
  <c r="BE207" i="11"/>
  <c r="BC207" i="11"/>
  <c r="BB207" i="11"/>
  <c r="BA207" i="11"/>
  <c r="AZ207" i="11"/>
  <c r="AX207" i="11"/>
  <c r="AW207" i="11"/>
  <c r="AV207" i="11"/>
  <c r="AU207" i="11"/>
  <c r="CX206" i="11"/>
  <c r="CV206" i="11"/>
  <c r="CU206" i="11"/>
  <c r="CT206" i="11"/>
  <c r="CS206" i="11"/>
  <c r="CQ206" i="11"/>
  <c r="CP206" i="11"/>
  <c r="CO206" i="11"/>
  <c r="CN206" i="11"/>
  <c r="CL206" i="11"/>
  <c r="CK206" i="11"/>
  <c r="CJ206" i="11"/>
  <c r="CI206" i="11"/>
  <c r="CG206" i="11"/>
  <c r="CF206" i="11"/>
  <c r="CE206" i="11"/>
  <c r="CD206" i="11"/>
  <c r="CB206" i="11"/>
  <c r="CA206" i="11"/>
  <c r="BZ206" i="11"/>
  <c r="BY206" i="11"/>
  <c r="BW206" i="11"/>
  <c r="BV206" i="11"/>
  <c r="BU206" i="11"/>
  <c r="BT206" i="11"/>
  <c r="BR206" i="11"/>
  <c r="BQ206" i="11"/>
  <c r="BV209" i="11" s="1"/>
  <c r="BP206" i="11"/>
  <c r="BU209" i="11" s="1"/>
  <c r="BO206" i="11"/>
  <c r="BM206" i="11"/>
  <c r="BL206" i="11"/>
  <c r="BK206" i="11"/>
  <c r="BJ206" i="11"/>
  <c r="BH206" i="11"/>
  <c r="BG206" i="11"/>
  <c r="BF206" i="11"/>
  <c r="BE206" i="11"/>
  <c r="BC206" i="11"/>
  <c r="BB206" i="11"/>
  <c r="BA206" i="11"/>
  <c r="AZ206" i="11"/>
  <c r="AX206" i="11"/>
  <c r="AW206" i="11"/>
  <c r="BB209" i="11" s="1"/>
  <c r="AV206" i="11"/>
  <c r="AU206" i="11"/>
  <c r="AS206" i="11"/>
  <c r="AR206" i="11"/>
  <c r="AQ206" i="11"/>
  <c r="AP206" i="11"/>
  <c r="AN206" i="11"/>
  <c r="AM206" i="11"/>
  <c r="AL206" i="11"/>
  <c r="AK206" i="11"/>
  <c r="AI206" i="11"/>
  <c r="AJ206" i="11" s="1"/>
  <c r="CW205" i="11"/>
  <c r="CR205" i="11"/>
  <c r="CM205" i="11"/>
  <c r="CH205" i="11"/>
  <c r="CC205" i="11"/>
  <c r="BX205" i="11"/>
  <c r="BX206" i="11" s="1"/>
  <c r="BS205" i="11"/>
  <c r="BN205" i="11"/>
  <c r="BI205" i="11"/>
  <c r="BD205" i="11"/>
  <c r="AY205" i="11"/>
  <c r="AT205" i="11"/>
  <c r="AO205" i="11"/>
  <c r="AJ205" i="11"/>
  <c r="CW204" i="11"/>
  <c r="CR204" i="11"/>
  <c r="CM204" i="11"/>
  <c r="CH204" i="11"/>
  <c r="CC204" i="11"/>
  <c r="BX204" i="11"/>
  <c r="BS204" i="11"/>
  <c r="BN204" i="11"/>
  <c r="BI204" i="11"/>
  <c r="BD204" i="11"/>
  <c r="AY204" i="11"/>
  <c r="AT204" i="11"/>
  <c r="AO204" i="11"/>
  <c r="AJ204" i="11"/>
  <c r="BQ199" i="11"/>
  <c r="AF199" i="11"/>
  <c r="DF198" i="11"/>
  <c r="DE198" i="11"/>
  <c r="DD198" i="11"/>
  <c r="DC198" i="11"/>
  <c r="DH198" i="11" s="1"/>
  <c r="DA198" i="11"/>
  <c r="CZ198" i="11"/>
  <c r="CY198" i="11"/>
  <c r="CX198" i="11"/>
  <c r="CV198" i="11"/>
  <c r="CU198" i="11"/>
  <c r="CT198" i="11"/>
  <c r="CS198" i="11"/>
  <c r="CQ198" i="11"/>
  <c r="CP198" i="11"/>
  <c r="CO198" i="11"/>
  <c r="CN198" i="11"/>
  <c r="CN396" i="11" s="1"/>
  <c r="CL198" i="11"/>
  <c r="CK198" i="11"/>
  <c r="CJ198" i="11"/>
  <c r="CI198" i="11"/>
  <c r="CI396" i="11" s="1"/>
  <c r="CG198" i="11"/>
  <c r="CF198" i="11"/>
  <c r="CE198" i="11"/>
  <c r="CD198" i="11"/>
  <c r="CB198" i="11"/>
  <c r="CA198" i="11"/>
  <c r="BZ198" i="11"/>
  <c r="BY198" i="11"/>
  <c r="BW198" i="11"/>
  <c r="BW396" i="11" s="1"/>
  <c r="BV198" i="11"/>
  <c r="BV201" i="11" s="1"/>
  <c r="BU198" i="11"/>
  <c r="BT198" i="11"/>
  <c r="BT387" i="11" s="1"/>
  <c r="BR198" i="11"/>
  <c r="BP198" i="11"/>
  <c r="BO198" i="11"/>
  <c r="BM198" i="11"/>
  <c r="BL198" i="11"/>
  <c r="BK198" i="11"/>
  <c r="BJ198" i="11"/>
  <c r="BH198" i="11"/>
  <c r="BG198" i="11"/>
  <c r="BG387" i="11" s="1"/>
  <c r="BF198" i="11"/>
  <c r="BE198" i="11"/>
  <c r="BC198" i="11"/>
  <c r="BB198" i="11"/>
  <c r="BA198" i="11"/>
  <c r="AZ198" i="11"/>
  <c r="AX198" i="11"/>
  <c r="BC201" i="11" s="1"/>
  <c r="AW198" i="11"/>
  <c r="AV198" i="11"/>
  <c r="AU198" i="11"/>
  <c r="AS198" i="11"/>
  <c r="AR198" i="11"/>
  <c r="AQ198" i="11"/>
  <c r="AP198" i="11"/>
  <c r="AN198" i="11"/>
  <c r="AM198" i="11"/>
  <c r="AL198" i="11"/>
  <c r="AK198" i="11"/>
  <c r="AI198" i="11"/>
  <c r="AH198" i="11"/>
  <c r="AG198" i="11"/>
  <c r="DF197" i="11"/>
  <c r="DE197" i="11"/>
  <c r="DD197" i="11"/>
  <c r="DI197" i="11" s="1"/>
  <c r="DC197" i="11"/>
  <c r="DA197" i="11"/>
  <c r="CZ197" i="11"/>
  <c r="CY197" i="11"/>
  <c r="CX197" i="11"/>
  <c r="CV197" i="11"/>
  <c r="CV395" i="11" s="1"/>
  <c r="CU197" i="11"/>
  <c r="CT197" i="11"/>
  <c r="CS197" i="11"/>
  <c r="CQ197" i="11"/>
  <c r="CQ395" i="11" s="1"/>
  <c r="CP197" i="11"/>
  <c r="CP395" i="11" s="1"/>
  <c r="CO197" i="11"/>
  <c r="CN197" i="11"/>
  <c r="CL197" i="11"/>
  <c r="CK197" i="11"/>
  <c r="CJ197" i="11"/>
  <c r="CI197" i="11"/>
  <c r="CG197" i="11"/>
  <c r="CF197" i="11"/>
  <c r="CE197" i="11"/>
  <c r="CD197" i="11"/>
  <c r="CB197" i="11"/>
  <c r="CA197" i="11"/>
  <c r="BZ197" i="11"/>
  <c r="BY197" i="11"/>
  <c r="BW197" i="11"/>
  <c r="BV197" i="11"/>
  <c r="BV200" i="11" s="1"/>
  <c r="BU197" i="11"/>
  <c r="BT197" i="11"/>
  <c r="BR197" i="11"/>
  <c r="BR386" i="11" s="1"/>
  <c r="BP197" i="11"/>
  <c r="BP386" i="11" s="1"/>
  <c r="BO197" i="11"/>
  <c r="BM197" i="11"/>
  <c r="BL197" i="11"/>
  <c r="BK197" i="11"/>
  <c r="BK386" i="11" s="1"/>
  <c r="BJ197" i="11"/>
  <c r="BH197" i="11"/>
  <c r="BG197" i="11"/>
  <c r="BG386" i="11" s="1"/>
  <c r="BF197" i="11"/>
  <c r="BE197" i="11"/>
  <c r="BC197" i="11"/>
  <c r="BB197" i="11"/>
  <c r="BA197" i="11"/>
  <c r="AZ197" i="11"/>
  <c r="AX197" i="11"/>
  <c r="AW197" i="11"/>
  <c r="AV197" i="11"/>
  <c r="AU197" i="11"/>
  <c r="AS197" i="11"/>
  <c r="AR197" i="11"/>
  <c r="AQ197" i="11"/>
  <c r="AP197" i="11"/>
  <c r="AN197" i="11"/>
  <c r="AM197" i="11"/>
  <c r="AL197" i="11"/>
  <c r="AK197" i="11"/>
  <c r="AI197" i="11"/>
  <c r="AH197" i="11"/>
  <c r="AG197" i="11"/>
  <c r="CC195" i="11"/>
  <c r="CV194" i="11"/>
  <c r="CS194" i="11"/>
  <c r="CQ194" i="11"/>
  <c r="CP194" i="11"/>
  <c r="CO194" i="11"/>
  <c r="CN194" i="11"/>
  <c r="CL194" i="11"/>
  <c r="CK194" i="11"/>
  <c r="CJ194" i="11"/>
  <c r="CI194" i="11"/>
  <c r="CC194" i="11"/>
  <c r="DC193" i="11"/>
  <c r="CX193" i="11"/>
  <c r="CC193" i="11"/>
  <c r="CV192" i="11"/>
  <c r="CS192" i="11"/>
  <c r="CR192" i="11"/>
  <c r="CQ192" i="11"/>
  <c r="CP192" i="11"/>
  <c r="CO192" i="11"/>
  <c r="CN192" i="11"/>
  <c r="CL192" i="11"/>
  <c r="CK192" i="11"/>
  <c r="CJ192" i="11"/>
  <c r="CI192" i="11"/>
  <c r="CG192" i="11"/>
  <c r="CF192" i="11"/>
  <c r="CE192" i="11"/>
  <c r="CJ195" i="11" s="1"/>
  <c r="CD192" i="11"/>
  <c r="DF191" i="11"/>
  <c r="DF192" i="11" s="1"/>
  <c r="DE191" i="11"/>
  <c r="DD191" i="11"/>
  <c r="DI191" i="11" s="1"/>
  <c r="DC191" i="11"/>
  <c r="DA191" i="11"/>
  <c r="DA194" i="11" s="1"/>
  <c r="CZ191" i="11"/>
  <c r="CY191" i="11"/>
  <c r="CX191" i="11"/>
  <c r="CX192" i="11" s="1"/>
  <c r="CU191" i="11"/>
  <c r="CT191" i="11"/>
  <c r="CR191" i="11"/>
  <c r="CM191" i="11"/>
  <c r="CH191" i="11"/>
  <c r="CH192" i="11" s="1"/>
  <c r="DK190" i="11"/>
  <c r="DJ190" i="11"/>
  <c r="DI190" i="11"/>
  <c r="DH190" i="11"/>
  <c r="DG190" i="11"/>
  <c r="DA190" i="11"/>
  <c r="CZ190" i="11"/>
  <c r="CY190" i="11"/>
  <c r="CY193" i="11" s="1"/>
  <c r="CW190" i="11"/>
  <c r="CM190" i="11"/>
  <c r="CH190" i="11"/>
  <c r="CC189" i="11"/>
  <c r="CX188" i="11"/>
  <c r="CV188" i="11"/>
  <c r="CU188" i="11"/>
  <c r="CT188" i="11"/>
  <c r="CS188" i="11"/>
  <c r="CQ188" i="11"/>
  <c r="CP188" i="11"/>
  <c r="CO188" i="11"/>
  <c r="CN188" i="11"/>
  <c r="CL188" i="11"/>
  <c r="CK188" i="11"/>
  <c r="CJ188" i="11"/>
  <c r="CI188" i="11"/>
  <c r="CC188" i="11"/>
  <c r="CC187" i="11"/>
  <c r="CX186" i="11"/>
  <c r="CV186" i="11"/>
  <c r="CU186" i="11"/>
  <c r="CT186" i="11"/>
  <c r="CS186" i="11"/>
  <c r="CQ186" i="11"/>
  <c r="CP186" i="11"/>
  <c r="CO186" i="11"/>
  <c r="CN186" i="11"/>
  <c r="CL186" i="11"/>
  <c r="CK186" i="11"/>
  <c r="CJ186" i="11"/>
  <c r="CI186" i="11"/>
  <c r="CG186" i="11"/>
  <c r="CF186" i="11"/>
  <c r="CE186" i="11"/>
  <c r="CD186" i="11"/>
  <c r="CW185" i="11"/>
  <c r="CR185" i="11"/>
  <c r="CM185" i="11"/>
  <c r="CH185" i="11"/>
  <c r="CW184" i="11"/>
  <c r="CR184" i="11"/>
  <c r="CM184" i="11"/>
  <c r="CH184" i="11"/>
  <c r="CX182" i="11"/>
  <c r="CV182" i="11"/>
  <c r="CU182" i="11"/>
  <c r="CT182" i="11"/>
  <c r="CS182" i="11"/>
  <c r="CQ182" i="11"/>
  <c r="CP182" i="11"/>
  <c r="CO182" i="11"/>
  <c r="CN182" i="11"/>
  <c r="CL182" i="11"/>
  <c r="CK182" i="11"/>
  <c r="CJ182" i="11"/>
  <c r="CI182" i="11"/>
  <c r="CG182" i="11"/>
  <c r="CF182" i="11"/>
  <c r="CE182" i="11"/>
  <c r="CD182" i="11"/>
  <c r="CB182" i="11"/>
  <c r="CA182" i="11"/>
  <c r="BZ182" i="11"/>
  <c r="BY182" i="11"/>
  <c r="BW182" i="11"/>
  <c r="BV182" i="11"/>
  <c r="BU182" i="11"/>
  <c r="BT182" i="11"/>
  <c r="BR182" i="11"/>
  <c r="BQ182" i="11"/>
  <c r="BP182" i="11"/>
  <c r="BO182" i="11"/>
  <c r="BM182" i="11"/>
  <c r="BL182" i="11"/>
  <c r="BK182" i="11"/>
  <c r="BJ182" i="11"/>
  <c r="BH182" i="11"/>
  <c r="BG182" i="11"/>
  <c r="BF182" i="11"/>
  <c r="BE182" i="11"/>
  <c r="BC182" i="11"/>
  <c r="BB182" i="11"/>
  <c r="BA182" i="11"/>
  <c r="AZ182" i="11"/>
  <c r="AX182" i="11"/>
  <c r="AW182" i="11"/>
  <c r="AV182" i="11"/>
  <c r="AU182" i="11"/>
  <c r="AS182" i="11"/>
  <c r="AR182" i="11"/>
  <c r="AQ182" i="11"/>
  <c r="AP182" i="11"/>
  <c r="AN182" i="11"/>
  <c r="AM182" i="11"/>
  <c r="AL182" i="11"/>
  <c r="AK182" i="11"/>
  <c r="AI182" i="11"/>
  <c r="AH182" i="11"/>
  <c r="AG182" i="11"/>
  <c r="AF182" i="11"/>
  <c r="AD182" i="11"/>
  <c r="AC182" i="11"/>
  <c r="AB182" i="11"/>
  <c r="AA182" i="11"/>
  <c r="Y182" i="11"/>
  <c r="X182" i="11"/>
  <c r="W182" i="11"/>
  <c r="V182" i="11"/>
  <c r="CX181" i="11"/>
  <c r="CV181" i="11"/>
  <c r="CU181" i="11"/>
  <c r="CT181" i="11"/>
  <c r="CS181" i="11"/>
  <c r="CQ181" i="11"/>
  <c r="CP181" i="11"/>
  <c r="CO181" i="11"/>
  <c r="CN181" i="11"/>
  <c r="CL181" i="11"/>
  <c r="CK181" i="11"/>
  <c r="CJ181" i="11"/>
  <c r="CI181" i="11"/>
  <c r="CG181" i="11"/>
  <c r="CF181" i="11"/>
  <c r="CE181" i="11"/>
  <c r="CD181" i="11"/>
  <c r="CB181" i="11"/>
  <c r="CA181" i="11"/>
  <c r="BZ181" i="11"/>
  <c r="BY181" i="11"/>
  <c r="BW181" i="11"/>
  <c r="BV181" i="11"/>
  <c r="BU181" i="11"/>
  <c r="BT181" i="11"/>
  <c r="BR181" i="11"/>
  <c r="BQ181" i="11"/>
  <c r="BP181" i="11"/>
  <c r="BO181" i="11"/>
  <c r="BM181" i="11"/>
  <c r="BL181" i="11"/>
  <c r="BK181" i="11"/>
  <c r="BJ181" i="11"/>
  <c r="BH181" i="11"/>
  <c r="BG181" i="11"/>
  <c r="BF181" i="11"/>
  <c r="BE181" i="11"/>
  <c r="BC181" i="11"/>
  <c r="BB181" i="11"/>
  <c r="BA181" i="11"/>
  <c r="AZ181" i="11"/>
  <c r="AX181" i="11"/>
  <c r="AW181" i="11"/>
  <c r="AV181" i="11"/>
  <c r="AU181" i="11"/>
  <c r="AS181" i="11"/>
  <c r="AR181" i="11"/>
  <c r="AQ181" i="11"/>
  <c r="AP181" i="11"/>
  <c r="AN181" i="11"/>
  <c r="AM181" i="11"/>
  <c r="AL181" i="11"/>
  <c r="AK181" i="11"/>
  <c r="AI181" i="11"/>
  <c r="AH181" i="11"/>
  <c r="AG181" i="11"/>
  <c r="AF181" i="11"/>
  <c r="AD181" i="11"/>
  <c r="AC181" i="11"/>
  <c r="AB181" i="11"/>
  <c r="AA181" i="11"/>
  <c r="Y181" i="11"/>
  <c r="X181" i="11"/>
  <c r="W181" i="11"/>
  <c r="V181" i="11"/>
  <c r="CX180" i="11"/>
  <c r="CV180" i="11"/>
  <c r="CU180" i="11"/>
  <c r="CT180" i="11"/>
  <c r="CS180" i="11"/>
  <c r="CQ180" i="11"/>
  <c r="CP180" i="11"/>
  <c r="CO180" i="11"/>
  <c r="CN180" i="11"/>
  <c r="CL180" i="11"/>
  <c r="CK180" i="11"/>
  <c r="CJ180" i="11"/>
  <c r="CI180" i="11"/>
  <c r="CG180" i="11"/>
  <c r="CF180" i="11"/>
  <c r="CE180" i="11"/>
  <c r="CD180" i="11"/>
  <c r="CB180" i="11"/>
  <c r="CA180" i="11"/>
  <c r="BZ180" i="11"/>
  <c r="BY180" i="11"/>
  <c r="BW180" i="11"/>
  <c r="BV180" i="11"/>
  <c r="BU180" i="11"/>
  <c r="BT180" i="11"/>
  <c r="BR180" i="11"/>
  <c r="BQ180" i="11"/>
  <c r="BP180" i="11"/>
  <c r="BO180" i="11"/>
  <c r="BM180" i="11"/>
  <c r="BL180" i="11"/>
  <c r="BK180" i="11"/>
  <c r="BJ180" i="11"/>
  <c r="BH180" i="11"/>
  <c r="BG180" i="11"/>
  <c r="BF180" i="11"/>
  <c r="BE180" i="11"/>
  <c r="BC180" i="11"/>
  <c r="BB180" i="11"/>
  <c r="BA180" i="11"/>
  <c r="AZ180" i="11"/>
  <c r="AX180" i="11"/>
  <c r="AW180" i="11"/>
  <c r="AV180" i="11"/>
  <c r="BA183" i="11" s="1"/>
  <c r="AU180" i="11"/>
  <c r="AS180" i="11"/>
  <c r="AR180" i="11"/>
  <c r="AQ180" i="11"/>
  <c r="AP180" i="11"/>
  <c r="AN180" i="11"/>
  <c r="AM180" i="11"/>
  <c r="AL180" i="11"/>
  <c r="AK180" i="11"/>
  <c r="AI180" i="11"/>
  <c r="AH180" i="11"/>
  <c r="AG180" i="11"/>
  <c r="AF180" i="11"/>
  <c r="AD180" i="11"/>
  <c r="AC180" i="11"/>
  <c r="AB180" i="11"/>
  <c r="AA180" i="11"/>
  <c r="Y180" i="11"/>
  <c r="X180" i="11"/>
  <c r="W180" i="11"/>
  <c r="V180" i="11"/>
  <c r="V183" i="11" s="1"/>
  <c r="T180" i="11"/>
  <c r="S180" i="11"/>
  <c r="R180" i="11"/>
  <c r="CW179" i="11"/>
  <c r="CR179" i="11"/>
  <c r="CM179" i="11"/>
  <c r="CH179" i="11"/>
  <c r="CC179" i="11"/>
  <c r="BX179" i="11"/>
  <c r="BS179" i="11"/>
  <c r="BN179" i="11"/>
  <c r="BI179" i="11"/>
  <c r="BD179" i="11"/>
  <c r="AY179" i="11"/>
  <c r="AT179" i="11"/>
  <c r="AO179" i="11"/>
  <c r="AJ179" i="11"/>
  <c r="AE179" i="11"/>
  <c r="Z179" i="11"/>
  <c r="U179" i="11"/>
  <c r="CW178" i="11"/>
  <c r="CR178" i="11"/>
  <c r="CM178" i="11"/>
  <c r="CH178" i="11"/>
  <c r="CC178" i="11"/>
  <c r="BX178" i="11"/>
  <c r="BS178" i="11"/>
  <c r="BN178" i="11"/>
  <c r="BI178" i="11"/>
  <c r="BD178" i="11"/>
  <c r="AY178" i="11"/>
  <c r="AT178" i="11"/>
  <c r="AO178" i="11"/>
  <c r="AJ178" i="11"/>
  <c r="AE178" i="11"/>
  <c r="Z178" i="11"/>
  <c r="U178" i="11"/>
  <c r="CX176" i="11"/>
  <c r="CV176" i="11"/>
  <c r="CU176" i="11"/>
  <c r="CT176" i="11"/>
  <c r="CS176" i="11"/>
  <c r="CQ176" i="11"/>
  <c r="CP176" i="11"/>
  <c r="CO176" i="11"/>
  <c r="CN176" i="11"/>
  <c r="CL176" i="11"/>
  <c r="CK176" i="11"/>
  <c r="CJ176" i="11"/>
  <c r="CI176" i="11"/>
  <c r="CG176" i="11"/>
  <c r="CF176" i="11"/>
  <c r="CE176" i="11"/>
  <c r="CD176" i="11"/>
  <c r="CB176" i="11"/>
  <c r="CA176" i="11"/>
  <c r="BZ176" i="11"/>
  <c r="BY176" i="11"/>
  <c r="BW176" i="11"/>
  <c r="BV176" i="11"/>
  <c r="BU176" i="11"/>
  <c r="BT176" i="11"/>
  <c r="BR176" i="11"/>
  <c r="BQ176" i="11"/>
  <c r="BP176" i="11"/>
  <c r="BO176" i="11"/>
  <c r="BM176" i="11"/>
  <c r="BL176" i="11"/>
  <c r="BK176" i="11"/>
  <c r="BJ176" i="11"/>
  <c r="BH176" i="11"/>
  <c r="BG176" i="11"/>
  <c r="BF176" i="11"/>
  <c r="BE176" i="11"/>
  <c r="BC176" i="11"/>
  <c r="BB176" i="11"/>
  <c r="BA176" i="11"/>
  <c r="AZ176" i="11"/>
  <c r="AX176" i="11"/>
  <c r="AW176" i="11"/>
  <c r="AV176" i="11"/>
  <c r="AU176" i="11"/>
  <c r="AS176" i="11"/>
  <c r="AR176" i="11"/>
  <c r="AQ176" i="11"/>
  <c r="AP176" i="11"/>
  <c r="AN176" i="11"/>
  <c r="AM176" i="11"/>
  <c r="AL176" i="11"/>
  <c r="AK176" i="11"/>
  <c r="AI176" i="11"/>
  <c r="AH176" i="11"/>
  <c r="AG176" i="11"/>
  <c r="AF176" i="11"/>
  <c r="AD176" i="11"/>
  <c r="AC176" i="11"/>
  <c r="AB176" i="11"/>
  <c r="AA176" i="11"/>
  <c r="Y176" i="11"/>
  <c r="X176" i="11"/>
  <c r="W176" i="11"/>
  <c r="V176" i="11"/>
  <c r="T176" i="11"/>
  <c r="S176" i="11"/>
  <c r="R176" i="11"/>
  <c r="Q176" i="11"/>
  <c r="CX175" i="11"/>
  <c r="CV175" i="11"/>
  <c r="CU175" i="11"/>
  <c r="CT175" i="11"/>
  <c r="CQ175" i="11"/>
  <c r="CP175" i="11"/>
  <c r="CO175" i="11"/>
  <c r="CN175" i="11"/>
  <c r="CL175" i="11"/>
  <c r="CK175" i="11"/>
  <c r="CJ175" i="11"/>
  <c r="CI175" i="11"/>
  <c r="CG175" i="11"/>
  <c r="CF175" i="11"/>
  <c r="CE175" i="11"/>
  <c r="CD175" i="11"/>
  <c r="CB175" i="11"/>
  <c r="CA175" i="11"/>
  <c r="BZ175" i="11"/>
  <c r="BY175" i="11"/>
  <c r="BW175" i="11"/>
  <c r="BV175" i="11"/>
  <c r="BU175" i="11"/>
  <c r="BT175" i="11"/>
  <c r="BR175" i="11"/>
  <c r="BQ175" i="11"/>
  <c r="BP175" i="11"/>
  <c r="BO175" i="11"/>
  <c r="BM175" i="11"/>
  <c r="BL175" i="11"/>
  <c r="BK175" i="11"/>
  <c r="BJ175" i="11"/>
  <c r="BH175" i="11"/>
  <c r="BG175" i="11"/>
  <c r="BF175" i="11"/>
  <c r="BE175" i="11"/>
  <c r="BC175" i="11"/>
  <c r="BB175" i="11"/>
  <c r="BA175" i="11"/>
  <c r="AZ175" i="11"/>
  <c r="AX175" i="11"/>
  <c r="AW175" i="11"/>
  <c r="AV175" i="11"/>
  <c r="AU175" i="11"/>
  <c r="AS175" i="11"/>
  <c r="AR175" i="11"/>
  <c r="AQ175" i="11"/>
  <c r="AP175" i="11"/>
  <c r="AN175" i="11"/>
  <c r="AM175" i="11"/>
  <c r="AL175" i="11"/>
  <c r="AK175" i="11"/>
  <c r="AI175" i="11"/>
  <c r="AH175" i="11"/>
  <c r="AG175" i="11"/>
  <c r="AF175" i="11"/>
  <c r="AD175" i="11"/>
  <c r="AC175" i="11"/>
  <c r="AB175" i="11"/>
  <c r="AA175" i="11"/>
  <c r="Y175" i="11"/>
  <c r="X175" i="11"/>
  <c r="W175" i="11"/>
  <c r="V175" i="11"/>
  <c r="T175" i="11"/>
  <c r="S175" i="11"/>
  <c r="R175" i="11"/>
  <c r="Q175" i="11"/>
  <c r="CX174" i="11"/>
  <c r="CV174" i="11"/>
  <c r="CU174" i="11"/>
  <c r="CT174" i="11"/>
  <c r="CS174" i="11"/>
  <c r="CQ174" i="11"/>
  <c r="CP174" i="11"/>
  <c r="CO174" i="11"/>
  <c r="CN174" i="11"/>
  <c r="CL174" i="11"/>
  <c r="CK174" i="11"/>
  <c r="CJ174" i="11"/>
  <c r="CI174" i="11"/>
  <c r="CG174" i="11"/>
  <c r="CF174" i="11"/>
  <c r="CE174" i="11"/>
  <c r="CD174" i="11"/>
  <c r="CB174" i="11"/>
  <c r="CA174" i="11"/>
  <c r="BZ174" i="11"/>
  <c r="BY174" i="11"/>
  <c r="BW174" i="11"/>
  <c r="BV174" i="11"/>
  <c r="BU174" i="11"/>
  <c r="BT174" i="11"/>
  <c r="BR174" i="11"/>
  <c r="BQ174" i="11"/>
  <c r="BP174" i="11"/>
  <c r="BO174" i="11"/>
  <c r="BM174" i="11"/>
  <c r="BL174" i="11"/>
  <c r="BK174" i="11"/>
  <c r="BJ174" i="11"/>
  <c r="BH174" i="11"/>
  <c r="BG174" i="11"/>
  <c r="BF174" i="11"/>
  <c r="BE174" i="11"/>
  <c r="BC174" i="11"/>
  <c r="BB174" i="11"/>
  <c r="BA174" i="11"/>
  <c r="AZ174" i="11"/>
  <c r="AX174" i="11"/>
  <c r="AW174" i="11"/>
  <c r="AV174" i="11"/>
  <c r="AU174" i="11"/>
  <c r="AS174" i="11"/>
  <c r="AR174" i="11"/>
  <c r="AQ174" i="11"/>
  <c r="AP174" i="11"/>
  <c r="AN174" i="11"/>
  <c r="AM174" i="11"/>
  <c r="AL174" i="11"/>
  <c r="AK174" i="11"/>
  <c r="AI174" i="11"/>
  <c r="AH174" i="11"/>
  <c r="AG174" i="11"/>
  <c r="AF174" i="11"/>
  <c r="AD174" i="11"/>
  <c r="AC174" i="11"/>
  <c r="AB174" i="11"/>
  <c r="AA174" i="11"/>
  <c r="Y174" i="11"/>
  <c r="X174" i="11"/>
  <c r="W174" i="11"/>
  <c r="V174" i="11"/>
  <c r="T174" i="11"/>
  <c r="S174" i="11"/>
  <c r="R174" i="11"/>
  <c r="Q174" i="11"/>
  <c r="O174" i="11"/>
  <c r="N174" i="11"/>
  <c r="M174" i="11"/>
  <c r="L174" i="11"/>
  <c r="CW173" i="11"/>
  <c r="CR173" i="11"/>
  <c r="CM173" i="11"/>
  <c r="CH173" i="11"/>
  <c r="CC173" i="11"/>
  <c r="BX173" i="11"/>
  <c r="BS173" i="11"/>
  <c r="BN173" i="11"/>
  <c r="BI173" i="11"/>
  <c r="BD173" i="11"/>
  <c r="AY173" i="11"/>
  <c r="AT173" i="11"/>
  <c r="AO173" i="11"/>
  <c r="AJ173" i="11"/>
  <c r="AE173" i="11"/>
  <c r="Z173" i="11"/>
  <c r="U173" i="11"/>
  <c r="P173" i="11"/>
  <c r="CW172" i="11"/>
  <c r="CR172" i="11"/>
  <c r="CM172" i="11"/>
  <c r="CH172" i="11"/>
  <c r="CC172" i="11"/>
  <c r="BX172" i="11"/>
  <c r="BS172" i="11"/>
  <c r="BN172" i="11"/>
  <c r="BI172" i="11"/>
  <c r="BD172" i="11"/>
  <c r="AY172" i="11"/>
  <c r="AT172" i="11"/>
  <c r="AO172" i="11"/>
  <c r="AJ172" i="11"/>
  <c r="AE172" i="11"/>
  <c r="Z172" i="11"/>
  <c r="U172" i="11"/>
  <c r="P172" i="11"/>
  <c r="CV169" i="11"/>
  <c r="CU169" i="11"/>
  <c r="CS169" i="11"/>
  <c r="CQ169" i="11"/>
  <c r="CP169" i="11"/>
  <c r="CN169" i="11"/>
  <c r="CL169" i="11"/>
  <c r="CK169" i="11"/>
  <c r="CJ169" i="11"/>
  <c r="CI169" i="11"/>
  <c r="CV168" i="11"/>
  <c r="CU168" i="11"/>
  <c r="CT168" i="11"/>
  <c r="CS168" i="11"/>
  <c r="CL168" i="11"/>
  <c r="CK168" i="11"/>
  <c r="CJ168" i="11"/>
  <c r="CI168" i="11"/>
  <c r="CV167" i="11"/>
  <c r="CU167" i="11"/>
  <c r="CT167" i="11"/>
  <c r="CS167" i="11"/>
  <c r="CQ167" i="11"/>
  <c r="CP167" i="11"/>
  <c r="CN167" i="11"/>
  <c r="CL167" i="11"/>
  <c r="CK167" i="11"/>
  <c r="CJ167" i="11"/>
  <c r="CI167" i="11"/>
  <c r="CG167" i="11"/>
  <c r="CF167" i="11"/>
  <c r="CE167" i="11"/>
  <c r="CD167" i="11"/>
  <c r="BI167" i="11"/>
  <c r="CW166" i="11"/>
  <c r="CO166" i="11"/>
  <c r="CM166" i="11"/>
  <c r="CH166" i="11"/>
  <c r="CC166" i="11"/>
  <c r="CC501" i="11" s="1"/>
  <c r="CW165" i="11"/>
  <c r="CR165" i="11"/>
  <c r="CM165" i="11"/>
  <c r="CH165" i="11"/>
  <c r="CH500" i="11" s="1"/>
  <c r="CC165" i="11"/>
  <c r="CC500" i="11" s="1"/>
  <c r="DF163" i="11"/>
  <c r="DE163" i="11"/>
  <c r="DD163" i="11"/>
  <c r="DC163" i="11"/>
  <c r="DA163" i="11"/>
  <c r="CZ163" i="11"/>
  <c r="CY163" i="11"/>
  <c r="CX163" i="11"/>
  <c r="CV163" i="11"/>
  <c r="CU163" i="11"/>
  <c r="CT163" i="11"/>
  <c r="CS163" i="11"/>
  <c r="CQ163" i="11"/>
  <c r="CP163" i="11"/>
  <c r="CO163" i="11"/>
  <c r="CN163" i="11"/>
  <c r="CL163" i="11"/>
  <c r="CK163" i="11"/>
  <c r="CJ163" i="11"/>
  <c r="CI163" i="11"/>
  <c r="CG163" i="11"/>
  <c r="CF163" i="11"/>
  <c r="CE163" i="11"/>
  <c r="CD163" i="11"/>
  <c r="CB163" i="11"/>
  <c r="CA163" i="11"/>
  <c r="BZ163" i="11"/>
  <c r="BY163" i="11"/>
  <c r="BW163" i="11"/>
  <c r="BV163" i="11"/>
  <c r="BU163" i="11"/>
  <c r="BT163" i="11"/>
  <c r="BR163" i="11"/>
  <c r="BQ163" i="11"/>
  <c r="BP163" i="11"/>
  <c r="BO163" i="11"/>
  <c r="BM163" i="11"/>
  <c r="BL163" i="11"/>
  <c r="BK163" i="11"/>
  <c r="BJ163" i="11"/>
  <c r="BH163" i="11"/>
  <c r="BG163" i="11"/>
  <c r="BF163" i="11"/>
  <c r="BE163" i="11"/>
  <c r="DF162" i="11"/>
  <c r="DE162" i="11"/>
  <c r="DD162" i="11"/>
  <c r="DC162" i="11"/>
  <c r="DA162" i="11"/>
  <c r="CZ162" i="11"/>
  <c r="CY162" i="11"/>
  <c r="CX162" i="11"/>
  <c r="CV162" i="11"/>
  <c r="CU162" i="11"/>
  <c r="CT162" i="11"/>
  <c r="CS162" i="11"/>
  <c r="CQ162" i="11"/>
  <c r="CP162" i="11"/>
  <c r="CO162" i="11"/>
  <c r="CN162" i="11"/>
  <c r="CL162" i="11"/>
  <c r="CK162" i="11"/>
  <c r="CJ162" i="11"/>
  <c r="CI162" i="11"/>
  <c r="CG162" i="11"/>
  <c r="CF162" i="11"/>
  <c r="CE162" i="11"/>
  <c r="CD162" i="11"/>
  <c r="CB162" i="11"/>
  <c r="CA162" i="11"/>
  <c r="BZ162" i="11"/>
  <c r="BY162" i="11"/>
  <c r="BW162" i="11"/>
  <c r="BV162" i="11"/>
  <c r="BU162" i="11"/>
  <c r="BT162" i="11"/>
  <c r="BR162" i="11"/>
  <c r="BQ162" i="11"/>
  <c r="BP162" i="11"/>
  <c r="BO162" i="11"/>
  <c r="BM162" i="11"/>
  <c r="BL162" i="11"/>
  <c r="BK162" i="11"/>
  <c r="BJ162" i="11"/>
  <c r="BH162" i="11"/>
  <c r="BG162" i="11"/>
  <c r="BF162" i="11"/>
  <c r="BE162" i="11"/>
  <c r="DF161" i="11"/>
  <c r="AD11" i="13" s="1"/>
  <c r="DE161" i="11"/>
  <c r="AC11" i="13" s="1"/>
  <c r="DD161" i="11"/>
  <c r="AB11" i="13" s="1"/>
  <c r="DC161" i="11"/>
  <c r="AA11" i="13" s="1"/>
  <c r="DA161" i="11"/>
  <c r="Y11" i="13" s="1"/>
  <c r="CZ161" i="11"/>
  <c r="X11" i="13" s="1"/>
  <c r="CY161" i="11"/>
  <c r="W11" i="13" s="1"/>
  <c r="CX161" i="11"/>
  <c r="V11" i="13" s="1"/>
  <c r="CV161" i="11"/>
  <c r="T11" i="13" s="1"/>
  <c r="CU161" i="11"/>
  <c r="S11" i="13" s="1"/>
  <c r="CT161" i="11"/>
  <c r="R11" i="13" s="1"/>
  <c r="CS161" i="11"/>
  <c r="CQ161" i="11"/>
  <c r="O11" i="13" s="1"/>
  <c r="CP161" i="11"/>
  <c r="N11" i="13" s="1"/>
  <c r="CO161" i="11"/>
  <c r="M11" i="13" s="1"/>
  <c r="CN161" i="11"/>
  <c r="L11" i="13" s="1"/>
  <c r="CL161" i="11"/>
  <c r="J11" i="13" s="1"/>
  <c r="CK161" i="11"/>
  <c r="I11" i="13" s="1"/>
  <c r="CJ161" i="11"/>
  <c r="H11" i="13" s="1"/>
  <c r="CI161" i="11"/>
  <c r="G11" i="13" s="1"/>
  <c r="CG161" i="11"/>
  <c r="CF161" i="11"/>
  <c r="CE161" i="11"/>
  <c r="CD161" i="11"/>
  <c r="CB161" i="11"/>
  <c r="CA161" i="11"/>
  <c r="BZ161" i="11"/>
  <c r="BY161" i="11"/>
  <c r="BW161" i="11"/>
  <c r="BV161" i="11"/>
  <c r="BU161" i="11"/>
  <c r="BT161" i="11"/>
  <c r="BR161" i="11"/>
  <c r="BR164" i="11" s="1"/>
  <c r="BQ161" i="11"/>
  <c r="BP161" i="11"/>
  <c r="BO161" i="11"/>
  <c r="BM161" i="11"/>
  <c r="BL161" i="11"/>
  <c r="BK161" i="11"/>
  <c r="BJ161" i="11"/>
  <c r="BH161" i="11"/>
  <c r="BG161" i="11"/>
  <c r="BF161" i="11"/>
  <c r="BE161" i="11"/>
  <c r="BC161" i="11"/>
  <c r="BB161" i="11"/>
  <c r="BA161" i="11"/>
  <c r="AZ161" i="11"/>
  <c r="AX161" i="11"/>
  <c r="AW161" i="11"/>
  <c r="AV161" i="11"/>
  <c r="AU161" i="11"/>
  <c r="AS161" i="11"/>
  <c r="AR161" i="11"/>
  <c r="AQ161" i="11"/>
  <c r="AP161" i="11"/>
  <c r="AN161" i="11"/>
  <c r="AM161" i="11"/>
  <c r="AL161" i="11"/>
  <c r="AK161" i="11"/>
  <c r="DK160" i="11"/>
  <c r="DJ160" i="11"/>
  <c r="DI160" i="11"/>
  <c r="DH160" i="11"/>
  <c r="DG160" i="11"/>
  <c r="DB160" i="11"/>
  <c r="CW160" i="11"/>
  <c r="CR160" i="11"/>
  <c r="CM160" i="11"/>
  <c r="CH160" i="11"/>
  <c r="CC160" i="11"/>
  <c r="BX160" i="11"/>
  <c r="BS160" i="11"/>
  <c r="BN160" i="11"/>
  <c r="BI160" i="11"/>
  <c r="BD160" i="11"/>
  <c r="AY160" i="11"/>
  <c r="AT160" i="11"/>
  <c r="AO160" i="11"/>
  <c r="DK159" i="11"/>
  <c r="DJ159" i="11"/>
  <c r="DI159" i="11"/>
  <c r="DH159" i="11"/>
  <c r="DG159" i="11"/>
  <c r="DB159" i="11"/>
  <c r="CW159" i="11"/>
  <c r="CR159" i="11"/>
  <c r="CM159" i="11"/>
  <c r="CH159" i="11"/>
  <c r="CC159" i="11"/>
  <c r="BX159" i="11"/>
  <c r="BS159" i="11"/>
  <c r="BN159" i="11"/>
  <c r="BI159" i="11"/>
  <c r="BD159" i="11"/>
  <c r="AY159" i="11"/>
  <c r="AT159" i="11"/>
  <c r="AO159" i="11"/>
  <c r="DF157" i="11"/>
  <c r="DK155" i="11"/>
  <c r="DJ155" i="11"/>
  <c r="DI155" i="11"/>
  <c r="DH155" i="11"/>
  <c r="DF155" i="11"/>
  <c r="DE155" i="11"/>
  <c r="DD155" i="11"/>
  <c r="DC155" i="11"/>
  <c r="DA155" i="11"/>
  <c r="DB155" i="11" s="1"/>
  <c r="DL154" i="11"/>
  <c r="DM154" i="11" s="1"/>
  <c r="DG154" i="11"/>
  <c r="DB154" i="11"/>
  <c r="DL153" i="11"/>
  <c r="DM153" i="11" s="1"/>
  <c r="DN153" i="11" s="1"/>
  <c r="DO153" i="11" s="1"/>
  <c r="DP153" i="11" s="1"/>
  <c r="DG153" i="11"/>
  <c r="DB153" i="11"/>
  <c r="DF150" i="11"/>
  <c r="DE150" i="11"/>
  <c r="DD150" i="11"/>
  <c r="DC150" i="11"/>
  <c r="DA150" i="11"/>
  <c r="CZ150" i="11"/>
  <c r="CY150" i="11"/>
  <c r="CX150" i="11"/>
  <c r="CV150" i="11"/>
  <c r="CU150" i="11"/>
  <c r="CT150" i="11"/>
  <c r="CS150" i="11"/>
  <c r="CQ150" i="11"/>
  <c r="CP150" i="11"/>
  <c r="CO150" i="11"/>
  <c r="CN150" i="11"/>
  <c r="CL150" i="11"/>
  <c r="CK150" i="11"/>
  <c r="CJ150" i="11"/>
  <c r="CI150" i="11"/>
  <c r="DF149" i="11"/>
  <c r="DE149" i="11"/>
  <c r="DD149" i="11"/>
  <c r="DC149" i="11"/>
  <c r="DA149" i="11"/>
  <c r="CZ149" i="11"/>
  <c r="CY149" i="11"/>
  <c r="CX149" i="11"/>
  <c r="CV149" i="11"/>
  <c r="CU149" i="11"/>
  <c r="CT149" i="11"/>
  <c r="CS149" i="11"/>
  <c r="CQ149" i="11"/>
  <c r="CP149" i="11"/>
  <c r="CO149" i="11"/>
  <c r="CN149" i="11"/>
  <c r="CL149" i="11"/>
  <c r="CK149" i="11"/>
  <c r="CJ149" i="11"/>
  <c r="CI149" i="11"/>
  <c r="DF148" i="11"/>
  <c r="DE148" i="11"/>
  <c r="DD148" i="11"/>
  <c r="DC148" i="11"/>
  <c r="DA148" i="11"/>
  <c r="CZ148" i="11"/>
  <c r="CY148" i="11"/>
  <c r="CX148" i="11"/>
  <c r="CV148" i="11"/>
  <c r="CU148" i="11"/>
  <c r="CT148" i="11"/>
  <c r="CS148" i="11"/>
  <c r="CQ148" i="11"/>
  <c r="CP148" i="11"/>
  <c r="CO148" i="11"/>
  <c r="CN148" i="11"/>
  <c r="CL148" i="11"/>
  <c r="CK148" i="11"/>
  <c r="CJ148" i="11"/>
  <c r="CI148" i="11"/>
  <c r="CG148" i="11"/>
  <c r="CF148" i="11"/>
  <c r="CE148" i="11"/>
  <c r="CD148" i="11"/>
  <c r="DK147" i="11"/>
  <c r="DJ147" i="11"/>
  <c r="DI147" i="11"/>
  <c r="DH147" i="11"/>
  <c r="DG147" i="11"/>
  <c r="DB147" i="11"/>
  <c r="CW147" i="11"/>
  <c r="CR147" i="11"/>
  <c r="CM147" i="11"/>
  <c r="CH147" i="11"/>
  <c r="CM150" i="11" s="1"/>
  <c r="DK146" i="11"/>
  <c r="DJ146" i="11"/>
  <c r="DI146" i="11"/>
  <c r="DH146" i="11"/>
  <c r="DG146" i="11"/>
  <c r="DB146" i="11"/>
  <c r="CW146" i="11"/>
  <c r="CR146" i="11"/>
  <c r="CM146" i="11"/>
  <c r="CH146" i="11"/>
  <c r="CN144" i="11"/>
  <c r="CL144" i="11"/>
  <c r="CK144" i="11"/>
  <c r="CJ144" i="11"/>
  <c r="CI144" i="11"/>
  <c r="CG144" i="11"/>
  <c r="CF144" i="11"/>
  <c r="CE144" i="11"/>
  <c r="CD144" i="11"/>
  <c r="CB144" i="11"/>
  <c r="CA144" i="11"/>
  <c r="BZ144" i="11"/>
  <c r="BY144" i="11"/>
  <c r="BW144" i="11"/>
  <c r="BV144" i="11"/>
  <c r="BU144" i="11"/>
  <c r="BT144" i="11"/>
  <c r="BR144" i="11"/>
  <c r="BQ144" i="11"/>
  <c r="BP144" i="11"/>
  <c r="BO144" i="11"/>
  <c r="BM144" i="11"/>
  <c r="BL144" i="11"/>
  <c r="BK144" i="11"/>
  <c r="BJ144" i="11"/>
  <c r="BH144" i="11"/>
  <c r="BG144" i="11"/>
  <c r="BF144" i="11"/>
  <c r="BE144" i="11"/>
  <c r="BC144" i="11"/>
  <c r="BB144" i="11"/>
  <c r="BA144" i="11"/>
  <c r="AZ144" i="11"/>
  <c r="AX144" i="11"/>
  <c r="AW144" i="11"/>
  <c r="AV144" i="11"/>
  <c r="AU144" i="11"/>
  <c r="AS144" i="11"/>
  <c r="AR144" i="11"/>
  <c r="AQ144" i="11"/>
  <c r="AP144" i="11"/>
  <c r="AN144" i="11"/>
  <c r="AM144" i="11"/>
  <c r="AL144" i="11"/>
  <c r="AK144" i="11"/>
  <c r="AI144" i="11"/>
  <c r="AH144" i="11"/>
  <c r="AG144" i="11"/>
  <c r="AF144" i="11"/>
  <c r="AD144" i="11"/>
  <c r="AC144" i="11"/>
  <c r="AB144" i="11"/>
  <c r="AA144" i="11"/>
  <c r="Y144" i="11"/>
  <c r="X144" i="11"/>
  <c r="W144" i="11"/>
  <c r="V144" i="11"/>
  <c r="T144" i="11"/>
  <c r="S144" i="11"/>
  <c r="R144" i="11"/>
  <c r="Q144" i="11"/>
  <c r="O144" i="11"/>
  <c r="N144" i="11"/>
  <c r="M144" i="11"/>
  <c r="L144" i="11"/>
  <c r="DA143" i="11"/>
  <c r="CZ143" i="11"/>
  <c r="CY143" i="11"/>
  <c r="CX143" i="11"/>
  <c r="DF141" i="11"/>
  <c r="AD9" i="13" s="1"/>
  <c r="DE141" i="11"/>
  <c r="AC9" i="13" s="1"/>
  <c r="DD141" i="11"/>
  <c r="AB9" i="13" s="1"/>
  <c r="DC141" i="11"/>
  <c r="AA9" i="13" s="1"/>
  <c r="DA141" i="11"/>
  <c r="Y9" i="13" s="1"/>
  <c r="CZ141" i="11"/>
  <c r="X9" i="13" s="1"/>
  <c r="CY141" i="11"/>
  <c r="W9" i="13" s="1"/>
  <c r="CX141" i="11"/>
  <c r="V9" i="13" s="1"/>
  <c r="CV141" i="11"/>
  <c r="T9" i="13" s="1"/>
  <c r="CU141" i="11"/>
  <c r="S9" i="13" s="1"/>
  <c r="CT141" i="11"/>
  <c r="R9" i="13" s="1"/>
  <c r="CS141" i="11"/>
  <c r="Q9" i="13" s="1"/>
  <c r="CQ141" i="11"/>
  <c r="CQ144" i="11" s="1"/>
  <c r="CP141" i="11"/>
  <c r="CP144" i="11" s="1"/>
  <c r="CO141" i="11"/>
  <c r="CO144" i="11" s="1"/>
  <c r="CM141" i="11"/>
  <c r="K9" i="13" s="1"/>
  <c r="CH141" i="11"/>
  <c r="CC141" i="11"/>
  <c r="BX141" i="11"/>
  <c r="BS141" i="11"/>
  <c r="BN141" i="11"/>
  <c r="BI141" i="11"/>
  <c r="BD141" i="11"/>
  <c r="AY141" i="11"/>
  <c r="AT141" i="11"/>
  <c r="AO141" i="11"/>
  <c r="AJ141" i="11"/>
  <c r="AE141" i="11"/>
  <c r="Z141" i="11"/>
  <c r="U141" i="11"/>
  <c r="P141" i="11"/>
  <c r="DK140" i="11"/>
  <c r="DK141" i="11" s="1"/>
  <c r="AI9" i="13" s="1"/>
  <c r="DJ140" i="11"/>
  <c r="DJ141" i="11" s="1"/>
  <c r="AH9" i="13" s="1"/>
  <c r="DI140" i="11"/>
  <c r="DI141" i="11" s="1"/>
  <c r="AG9" i="13" s="1"/>
  <c r="DH140" i="11"/>
  <c r="DH141" i="11" s="1"/>
  <c r="AF9" i="13" s="1"/>
  <c r="DG140" i="11"/>
  <c r="DB140" i="11"/>
  <c r="CW140" i="11"/>
  <c r="CR140" i="11"/>
  <c r="DF137" i="11"/>
  <c r="DE137" i="11"/>
  <c r="DD137" i="11"/>
  <c r="DC137" i="11"/>
  <c r="DA137" i="11"/>
  <c r="CZ137" i="11"/>
  <c r="CY137" i="11"/>
  <c r="CX137" i="11"/>
  <c r="CV137" i="11"/>
  <c r="CU137" i="11"/>
  <c r="CT137" i="11"/>
  <c r="CS137" i="11"/>
  <c r="CQ137" i="11"/>
  <c r="CP137" i="11"/>
  <c r="CO137" i="11"/>
  <c r="CN137" i="11"/>
  <c r="CL137" i="11"/>
  <c r="CK137" i="11"/>
  <c r="CJ137" i="11"/>
  <c r="CI137" i="11"/>
  <c r="CG137" i="11"/>
  <c r="CF137" i="11"/>
  <c r="CE137" i="11"/>
  <c r="CD137" i="11"/>
  <c r="CB137" i="11"/>
  <c r="CA137" i="11"/>
  <c r="BZ137" i="11"/>
  <c r="BY137" i="11"/>
  <c r="BW137" i="11"/>
  <c r="BV137" i="11"/>
  <c r="BU137" i="11"/>
  <c r="BT137" i="11"/>
  <c r="BR137" i="11"/>
  <c r="BQ137" i="11"/>
  <c r="BP137" i="11"/>
  <c r="BO137" i="11"/>
  <c r="BM137" i="11"/>
  <c r="BL137" i="11"/>
  <c r="BK137" i="11"/>
  <c r="BJ137" i="11"/>
  <c r="BH137" i="11"/>
  <c r="BG137" i="11"/>
  <c r="BF137" i="11"/>
  <c r="BE137" i="11"/>
  <c r="DF135" i="11"/>
  <c r="DE135" i="11"/>
  <c r="DD135" i="11"/>
  <c r="DC135" i="11"/>
  <c r="DA135" i="11"/>
  <c r="CZ135" i="11"/>
  <c r="CY135" i="11"/>
  <c r="CX135" i="11"/>
  <c r="CV135" i="11"/>
  <c r="CU135" i="11"/>
  <c r="CT135" i="11"/>
  <c r="CS135" i="11"/>
  <c r="CQ135" i="11"/>
  <c r="CP135" i="11"/>
  <c r="CO135" i="11"/>
  <c r="CN135" i="11"/>
  <c r="CL135" i="11"/>
  <c r="CK135" i="11"/>
  <c r="CP138" i="11" s="1"/>
  <c r="CJ135" i="11"/>
  <c r="CI135" i="11"/>
  <c r="CG135" i="11"/>
  <c r="CF135" i="11"/>
  <c r="CE135" i="11"/>
  <c r="CD135" i="11"/>
  <c r="CB135" i="11"/>
  <c r="CA135" i="11"/>
  <c r="BZ135" i="11"/>
  <c r="BY135" i="11"/>
  <c r="BW135" i="11"/>
  <c r="BV135" i="11"/>
  <c r="BU135" i="11"/>
  <c r="BT135" i="11"/>
  <c r="BR135" i="11"/>
  <c r="BQ135" i="11"/>
  <c r="BP135" i="11"/>
  <c r="BO135" i="11"/>
  <c r="BM135" i="11"/>
  <c r="BL135" i="11"/>
  <c r="BK135" i="11"/>
  <c r="BJ135" i="11"/>
  <c r="BH135" i="11"/>
  <c r="BG135" i="11"/>
  <c r="BF135" i="11"/>
  <c r="BE135" i="11"/>
  <c r="BC135" i="11"/>
  <c r="BB135" i="11"/>
  <c r="BA135" i="11"/>
  <c r="AZ135" i="11"/>
  <c r="AR135" i="11"/>
  <c r="DK134" i="11"/>
  <c r="DK135" i="11" s="1"/>
  <c r="DK138" i="11" s="1"/>
  <c r="DJ134" i="11"/>
  <c r="DJ135" i="11" s="1"/>
  <c r="DI134" i="11"/>
  <c r="DI135" i="11" s="1"/>
  <c r="DH134" i="11"/>
  <c r="DH135" i="11" s="1"/>
  <c r="DG134" i="11"/>
  <c r="DB134" i="11"/>
  <c r="CW134" i="11"/>
  <c r="CR134" i="11"/>
  <c r="CM134" i="11"/>
  <c r="CH134" i="11"/>
  <c r="CC134" i="11"/>
  <c r="BX134" i="11"/>
  <c r="BS134" i="11"/>
  <c r="BN134" i="11"/>
  <c r="BN135" i="11" s="1"/>
  <c r="BI134" i="11"/>
  <c r="BD134" i="11"/>
  <c r="BD135" i="11" s="1"/>
  <c r="CV130" i="11"/>
  <c r="CU130" i="11"/>
  <c r="CT130" i="11"/>
  <c r="CS130" i="11"/>
  <c r="CQ130" i="11"/>
  <c r="CP130" i="11"/>
  <c r="CO130" i="11"/>
  <c r="CN130" i="11"/>
  <c r="CL130" i="11"/>
  <c r="CK130" i="11"/>
  <c r="CJ130" i="11"/>
  <c r="CI130" i="11"/>
  <c r="CG130" i="11"/>
  <c r="CF130" i="11"/>
  <c r="CE130" i="11"/>
  <c r="CD130" i="11"/>
  <c r="CB130" i="11"/>
  <c r="CA130" i="11"/>
  <c r="BZ130" i="11"/>
  <c r="BY130" i="11"/>
  <c r="CV129" i="11"/>
  <c r="CU129" i="11"/>
  <c r="CT129" i="11"/>
  <c r="CS129" i="11"/>
  <c r="CQ129" i="11"/>
  <c r="CP129" i="11"/>
  <c r="CO129" i="11"/>
  <c r="CN129" i="11"/>
  <c r="CL129" i="11"/>
  <c r="CK129" i="11"/>
  <c r="CJ129" i="11"/>
  <c r="CI129" i="11"/>
  <c r="CG129" i="11"/>
  <c r="CF129" i="11"/>
  <c r="CE129" i="11"/>
  <c r="CD129" i="11"/>
  <c r="CB129" i="11"/>
  <c r="CA129" i="11"/>
  <c r="BZ129" i="11"/>
  <c r="BY129" i="11"/>
  <c r="CV128" i="11"/>
  <c r="CU128" i="11"/>
  <c r="CT128" i="11"/>
  <c r="CS128" i="11"/>
  <c r="CQ128" i="11"/>
  <c r="CP128" i="11"/>
  <c r="CO128" i="11"/>
  <c r="CN128" i="11"/>
  <c r="CL128" i="11"/>
  <c r="CQ131" i="11" s="1"/>
  <c r="CK128" i="11"/>
  <c r="CJ128" i="11"/>
  <c r="CI128" i="11"/>
  <c r="CG128" i="11"/>
  <c r="CF128" i="11"/>
  <c r="CE128" i="11"/>
  <c r="CD128" i="11"/>
  <c r="CB128" i="11"/>
  <c r="CA128" i="11"/>
  <c r="BZ128" i="11"/>
  <c r="BY128" i="11"/>
  <c r="BW128" i="11"/>
  <c r="BV128" i="11"/>
  <c r="BU128" i="11"/>
  <c r="BT128" i="11"/>
  <c r="CW127" i="11"/>
  <c r="CR127" i="11"/>
  <c r="CM127" i="11"/>
  <c r="CH127" i="11"/>
  <c r="CC127" i="11"/>
  <c r="BX127" i="11"/>
  <c r="CW126" i="11"/>
  <c r="CR126" i="11"/>
  <c r="CM126" i="11"/>
  <c r="CH126" i="11"/>
  <c r="CC126" i="11"/>
  <c r="BX126" i="11"/>
  <c r="DF122" i="11"/>
  <c r="DE122" i="11"/>
  <c r="DD122" i="11"/>
  <c r="DC122" i="11"/>
  <c r="DA122" i="11"/>
  <c r="DA125" i="11" s="1"/>
  <c r="CZ122" i="11"/>
  <c r="CY122" i="11"/>
  <c r="CX122" i="11"/>
  <c r="CV122" i="11"/>
  <c r="CU122" i="11"/>
  <c r="CT122" i="11"/>
  <c r="DK121" i="11"/>
  <c r="DJ121" i="11"/>
  <c r="DI121" i="11"/>
  <c r="DH121" i="11"/>
  <c r="DG121" i="11"/>
  <c r="DB121" i="11"/>
  <c r="CW121" i="11"/>
  <c r="DK120" i="11"/>
  <c r="DJ120" i="11"/>
  <c r="DI120" i="11"/>
  <c r="DH120" i="11"/>
  <c r="DG120" i="11"/>
  <c r="DB120" i="11"/>
  <c r="CW120" i="11"/>
  <c r="DF118" i="11"/>
  <c r="DE118" i="11"/>
  <c r="DD118" i="11"/>
  <c r="DC118" i="11"/>
  <c r="DA118" i="11"/>
  <c r="CZ118" i="11"/>
  <c r="CY118" i="11"/>
  <c r="CX118" i="11"/>
  <c r="CV118" i="11"/>
  <c r="CU118" i="11"/>
  <c r="CT118" i="11"/>
  <c r="CS118" i="11"/>
  <c r="CQ118" i="11"/>
  <c r="CP118" i="11"/>
  <c r="CO118" i="11"/>
  <c r="CN118" i="11"/>
  <c r="CL118" i="11"/>
  <c r="CK118" i="11"/>
  <c r="CJ118" i="11"/>
  <c r="CI118" i="11"/>
  <c r="CG118" i="11"/>
  <c r="CF118" i="11"/>
  <c r="CE118" i="11"/>
  <c r="CD118" i="11"/>
  <c r="CB118" i="11"/>
  <c r="CA118" i="11"/>
  <c r="BZ118" i="11"/>
  <c r="BY118" i="11"/>
  <c r="BW118" i="11"/>
  <c r="BV118" i="11"/>
  <c r="BU118" i="11"/>
  <c r="BT118" i="11"/>
  <c r="BR118" i="11"/>
  <c r="BQ118" i="11"/>
  <c r="BP118" i="11"/>
  <c r="BO118" i="11"/>
  <c r="BM118" i="11"/>
  <c r="BL118" i="11"/>
  <c r="BK118" i="11"/>
  <c r="BJ118" i="11"/>
  <c r="BH118" i="11"/>
  <c r="BG118" i="11"/>
  <c r="BF118" i="11"/>
  <c r="BE118" i="11"/>
  <c r="BC118" i="11"/>
  <c r="BB118" i="11"/>
  <c r="BA118" i="11"/>
  <c r="AZ118" i="11"/>
  <c r="AX118" i="11"/>
  <c r="AW118" i="11"/>
  <c r="AV118" i="11"/>
  <c r="AU118" i="11"/>
  <c r="AS118" i="11"/>
  <c r="AR118" i="11"/>
  <c r="AQ118" i="11"/>
  <c r="AP118" i="11"/>
  <c r="AN118" i="11"/>
  <c r="AM118" i="11"/>
  <c r="AL118" i="11"/>
  <c r="AK118" i="11"/>
  <c r="AI118" i="11"/>
  <c r="AH118" i="11"/>
  <c r="AG118" i="11"/>
  <c r="AF118" i="11"/>
  <c r="AD118" i="11"/>
  <c r="AC118" i="11"/>
  <c r="AB118" i="11"/>
  <c r="AA118" i="11"/>
  <c r="Y118" i="11"/>
  <c r="X118" i="11"/>
  <c r="W118" i="11"/>
  <c r="V118" i="11"/>
  <c r="T118" i="11"/>
  <c r="S118" i="11"/>
  <c r="R118" i="11"/>
  <c r="Q118" i="11"/>
  <c r="O118" i="11"/>
  <c r="N118" i="11"/>
  <c r="DD117" i="11"/>
  <c r="DC117" i="11"/>
  <c r="CX117" i="11"/>
  <c r="CU117" i="11"/>
  <c r="CT117" i="11"/>
  <c r="CS117" i="11"/>
  <c r="CQ117" i="11"/>
  <c r="CP117" i="11"/>
  <c r="CO117" i="11"/>
  <c r="CN117" i="11"/>
  <c r="CL117" i="11"/>
  <c r="CK117" i="11"/>
  <c r="CJ117" i="11"/>
  <c r="CI117" i="11"/>
  <c r="CG117" i="11"/>
  <c r="CF117" i="11"/>
  <c r="CE117" i="11"/>
  <c r="CD117" i="11"/>
  <c r="CB117" i="11"/>
  <c r="CA117" i="11"/>
  <c r="BZ117" i="11"/>
  <c r="BY117" i="11"/>
  <c r="BW117" i="11"/>
  <c r="BV117" i="11"/>
  <c r="BU117" i="11"/>
  <c r="BT117" i="11"/>
  <c r="BR117" i="11"/>
  <c r="BQ117" i="11"/>
  <c r="BP117" i="11"/>
  <c r="BO117" i="11"/>
  <c r="BM117" i="11"/>
  <c r="BL117" i="11"/>
  <c r="BK117" i="11"/>
  <c r="BJ117" i="11"/>
  <c r="BH117" i="11"/>
  <c r="BG117" i="11"/>
  <c r="BF117" i="11"/>
  <c r="BE117" i="11"/>
  <c r="BC117" i="11"/>
  <c r="BB117" i="11"/>
  <c r="BA117" i="11"/>
  <c r="AZ117" i="11"/>
  <c r="AX117" i="11"/>
  <c r="AW117" i="11"/>
  <c r="AV117" i="11"/>
  <c r="AU117" i="11"/>
  <c r="AS117" i="11"/>
  <c r="AR117" i="11"/>
  <c r="AQ117" i="11"/>
  <c r="AP117" i="11"/>
  <c r="AN117" i="11"/>
  <c r="AM117" i="11"/>
  <c r="AL117" i="11"/>
  <c r="AK117" i="11"/>
  <c r="AI117" i="11"/>
  <c r="AH117" i="11"/>
  <c r="AG117" i="11"/>
  <c r="AF117" i="11"/>
  <c r="AD117" i="11"/>
  <c r="AC117" i="11"/>
  <c r="AB117" i="11"/>
  <c r="AA117" i="11"/>
  <c r="Y117" i="11"/>
  <c r="X117" i="11"/>
  <c r="W117" i="11"/>
  <c r="V117" i="11"/>
  <c r="T117" i="11"/>
  <c r="S117" i="11"/>
  <c r="R117" i="11"/>
  <c r="Q117" i="11"/>
  <c r="O117" i="11"/>
  <c r="N117" i="11"/>
  <c r="M117" i="11"/>
  <c r="L117" i="11"/>
  <c r="DF116" i="11"/>
  <c r="DE116" i="11"/>
  <c r="DD116" i="11"/>
  <c r="DC116" i="11"/>
  <c r="DA116" i="11"/>
  <c r="CZ116" i="11"/>
  <c r="CY116" i="11"/>
  <c r="CX116" i="11"/>
  <c r="CV116" i="11"/>
  <c r="CU116" i="11"/>
  <c r="CT116" i="11"/>
  <c r="CS116" i="11"/>
  <c r="CQ116" i="11"/>
  <c r="CP116" i="11"/>
  <c r="CO116" i="11"/>
  <c r="CN116" i="11"/>
  <c r="CL116" i="11"/>
  <c r="CK116" i="11"/>
  <c r="CJ116" i="11"/>
  <c r="CI116" i="11"/>
  <c r="CG116" i="11"/>
  <c r="CF116" i="11"/>
  <c r="CE116" i="11"/>
  <c r="CD116" i="11"/>
  <c r="CB116" i="11"/>
  <c r="CA116" i="11"/>
  <c r="BZ116" i="11"/>
  <c r="BY116" i="11"/>
  <c r="BW116" i="11"/>
  <c r="BV116" i="11"/>
  <c r="BU116" i="11"/>
  <c r="BT116" i="11"/>
  <c r="BR116" i="11"/>
  <c r="BQ116" i="11"/>
  <c r="BP116" i="11"/>
  <c r="BO116" i="11"/>
  <c r="BM116" i="11"/>
  <c r="BL116" i="11"/>
  <c r="BK116" i="11"/>
  <c r="BJ116" i="11"/>
  <c r="BH116" i="11"/>
  <c r="BG116" i="11"/>
  <c r="BF116" i="11"/>
  <c r="BE116" i="11"/>
  <c r="BC116" i="11"/>
  <c r="BB116" i="11"/>
  <c r="BA116" i="11"/>
  <c r="AZ116" i="11"/>
  <c r="AX116" i="11"/>
  <c r="AW116" i="11"/>
  <c r="AV116" i="11"/>
  <c r="AU116" i="11"/>
  <c r="AS116" i="11"/>
  <c r="AR116" i="11"/>
  <c r="AQ116" i="11"/>
  <c r="AP116" i="11"/>
  <c r="AN116" i="11"/>
  <c r="AM116" i="11"/>
  <c r="AL116" i="11"/>
  <c r="AK116" i="11"/>
  <c r="AI116" i="11"/>
  <c r="AH116" i="11"/>
  <c r="AG116" i="11"/>
  <c r="AF116" i="11"/>
  <c r="AD116" i="11"/>
  <c r="AC116" i="11"/>
  <c r="AB116" i="11"/>
  <c r="AA116" i="11"/>
  <c r="Y116" i="11"/>
  <c r="X116" i="11"/>
  <c r="W116" i="11"/>
  <c r="V116" i="11"/>
  <c r="T116" i="11"/>
  <c r="S116" i="11"/>
  <c r="R116" i="11"/>
  <c r="Q116" i="11"/>
  <c r="O116" i="11"/>
  <c r="N116" i="11"/>
  <c r="M116" i="11"/>
  <c r="L116" i="11"/>
  <c r="J116" i="11"/>
  <c r="I116" i="11"/>
  <c r="H116" i="11"/>
  <c r="G116" i="11"/>
  <c r="F116" i="11"/>
  <c r="DK115" i="11"/>
  <c r="DJ115" i="11"/>
  <c r="DI115" i="11"/>
  <c r="DH115" i="11"/>
  <c r="DG115" i="11"/>
  <c r="DB115" i="11"/>
  <c r="CW115" i="11"/>
  <c r="CR115" i="11"/>
  <c r="CM115" i="11"/>
  <c r="CH115" i="11"/>
  <c r="CC115" i="11"/>
  <c r="BX115" i="11"/>
  <c r="BS115" i="11"/>
  <c r="BN115" i="11"/>
  <c r="BI115" i="11"/>
  <c r="BD115" i="11"/>
  <c r="AY115" i="11"/>
  <c r="AT115" i="11"/>
  <c r="AO115" i="11"/>
  <c r="AJ115" i="11"/>
  <c r="AE115" i="11"/>
  <c r="Z115" i="11"/>
  <c r="U115" i="11"/>
  <c r="P115" i="11"/>
  <c r="K115" i="11"/>
  <c r="DK114" i="11"/>
  <c r="DJ114" i="11"/>
  <c r="DI114" i="11"/>
  <c r="DH114" i="11"/>
  <c r="DG114" i="11"/>
  <c r="DB114" i="11"/>
  <c r="CW114" i="11"/>
  <c r="CR114" i="11"/>
  <c r="CM114" i="11"/>
  <c r="CH114" i="11"/>
  <c r="CC114" i="11"/>
  <c r="BX114" i="11"/>
  <c r="BS114" i="11"/>
  <c r="BN114" i="11"/>
  <c r="BI114" i="11"/>
  <c r="BD114" i="11"/>
  <c r="AY114" i="11"/>
  <c r="AT114" i="11"/>
  <c r="AO114" i="11"/>
  <c r="AJ114" i="11"/>
  <c r="AE114" i="11"/>
  <c r="Z114" i="11"/>
  <c r="U114" i="11"/>
  <c r="P114" i="11"/>
  <c r="K114" i="11"/>
  <c r="DF112" i="11"/>
  <c r="DE112" i="11"/>
  <c r="DD112" i="11"/>
  <c r="DC112" i="11"/>
  <c r="DA112" i="11"/>
  <c r="CZ112" i="11"/>
  <c r="CY112" i="11"/>
  <c r="CX112" i="11"/>
  <c r="CV112" i="11"/>
  <c r="CU112" i="11"/>
  <c r="CT112" i="11"/>
  <c r="CS112" i="11"/>
  <c r="CQ112" i="11"/>
  <c r="CP112" i="11"/>
  <c r="CO112" i="11"/>
  <c r="CN112" i="11"/>
  <c r="CL112" i="11"/>
  <c r="CK112" i="11"/>
  <c r="CJ112" i="11"/>
  <c r="CI112" i="11"/>
  <c r="CG112" i="11"/>
  <c r="CF112" i="11"/>
  <c r="CE112" i="11"/>
  <c r="CD112" i="11"/>
  <c r="CB112" i="11"/>
  <c r="CA112" i="11"/>
  <c r="BZ112" i="11"/>
  <c r="BY112" i="11"/>
  <c r="BW112" i="11"/>
  <c r="BV112" i="11"/>
  <c r="BU112" i="11"/>
  <c r="BT112" i="11"/>
  <c r="BR112" i="11"/>
  <c r="BQ112" i="11"/>
  <c r="BP112" i="11"/>
  <c r="BO112" i="11"/>
  <c r="BM112" i="11"/>
  <c r="BL112" i="11"/>
  <c r="BK112" i="11"/>
  <c r="BJ112" i="11"/>
  <c r="BH112" i="11"/>
  <c r="BG112" i="11"/>
  <c r="BF112" i="11"/>
  <c r="BE112" i="11"/>
  <c r="BC112" i="11"/>
  <c r="BB112" i="11"/>
  <c r="BA112" i="11"/>
  <c r="AZ112" i="11"/>
  <c r="AX112" i="11"/>
  <c r="AW112" i="11"/>
  <c r="AV112" i="11"/>
  <c r="AU112" i="11"/>
  <c r="AS112" i="11"/>
  <c r="AR112" i="11"/>
  <c r="AQ112" i="11"/>
  <c r="AP112" i="11"/>
  <c r="AN112" i="11"/>
  <c r="AM112" i="11"/>
  <c r="AL112" i="11"/>
  <c r="AK112" i="11"/>
  <c r="AI112" i="11"/>
  <c r="AH112" i="11"/>
  <c r="AG112" i="11"/>
  <c r="AF112" i="11"/>
  <c r="AD112" i="11"/>
  <c r="AC112" i="11"/>
  <c r="AB112" i="11"/>
  <c r="AA112" i="11"/>
  <c r="Y112" i="11"/>
  <c r="X112" i="11"/>
  <c r="W112" i="11"/>
  <c r="V112" i="11"/>
  <c r="T112" i="11"/>
  <c r="S112" i="11"/>
  <c r="R112" i="11"/>
  <c r="Q112" i="11"/>
  <c r="O112" i="11"/>
  <c r="N112" i="11"/>
  <c r="M112" i="11"/>
  <c r="L112" i="11"/>
  <c r="DE111" i="11"/>
  <c r="DD111" i="11"/>
  <c r="DC111" i="11"/>
  <c r="CX111" i="11"/>
  <c r="CV111" i="11"/>
  <c r="CU111" i="11"/>
  <c r="CT111" i="11"/>
  <c r="CS111" i="11"/>
  <c r="CQ111" i="11"/>
  <c r="CP111" i="11"/>
  <c r="CO111" i="11"/>
  <c r="CN111" i="11"/>
  <c r="CL111" i="11"/>
  <c r="CK111" i="11"/>
  <c r="CJ111" i="11"/>
  <c r="CI111" i="11"/>
  <c r="CG111" i="11"/>
  <c r="CF111" i="11"/>
  <c r="CE111" i="11"/>
  <c r="CD111" i="11"/>
  <c r="CB111" i="11"/>
  <c r="CA111" i="11"/>
  <c r="BZ111" i="11"/>
  <c r="BY111" i="11"/>
  <c r="BW111" i="11"/>
  <c r="BV111" i="11"/>
  <c r="BU111" i="11"/>
  <c r="BT111" i="11"/>
  <c r="BR111" i="11"/>
  <c r="BQ111" i="11"/>
  <c r="BP111" i="11"/>
  <c r="BO111" i="11"/>
  <c r="BM111" i="11"/>
  <c r="BL111" i="11"/>
  <c r="BK111" i="11"/>
  <c r="BJ111" i="11"/>
  <c r="BH111" i="11"/>
  <c r="BG111" i="11"/>
  <c r="BF111" i="11"/>
  <c r="BE111" i="11"/>
  <c r="BC111" i="11"/>
  <c r="BB111" i="11"/>
  <c r="BA111" i="11"/>
  <c r="AZ111" i="11"/>
  <c r="AX111" i="11"/>
  <c r="AW111" i="11"/>
  <c r="AV111" i="11"/>
  <c r="AU111" i="11"/>
  <c r="AS111" i="11"/>
  <c r="AR111" i="11"/>
  <c r="AQ111" i="11"/>
  <c r="AP111" i="11"/>
  <c r="AN111" i="11"/>
  <c r="AM111" i="11"/>
  <c r="AL111" i="11"/>
  <c r="AK111" i="11"/>
  <c r="AI111" i="11"/>
  <c r="AH111" i="11"/>
  <c r="AG111" i="11"/>
  <c r="AF111" i="11"/>
  <c r="AD111" i="11"/>
  <c r="AC111" i="11"/>
  <c r="AB111" i="11"/>
  <c r="AA111" i="11"/>
  <c r="Y111" i="11"/>
  <c r="X111" i="11"/>
  <c r="W111" i="11"/>
  <c r="V111" i="11"/>
  <c r="T111" i="11"/>
  <c r="S111" i="11"/>
  <c r="R111" i="11"/>
  <c r="Q111" i="11"/>
  <c r="O111" i="11"/>
  <c r="N111" i="11"/>
  <c r="M111" i="11"/>
  <c r="L111" i="11"/>
  <c r="DF110" i="11"/>
  <c r="DE110" i="11"/>
  <c r="DD110" i="11"/>
  <c r="DC110" i="11"/>
  <c r="DA110" i="11"/>
  <c r="CZ110" i="11"/>
  <c r="CY110" i="11"/>
  <c r="CX110" i="11"/>
  <c r="CV110" i="11"/>
  <c r="CU110" i="11"/>
  <c r="CT110" i="11"/>
  <c r="CS110" i="11"/>
  <c r="CQ110" i="11"/>
  <c r="CP110" i="11"/>
  <c r="CO110" i="11"/>
  <c r="CN110" i="11"/>
  <c r="CL110" i="11"/>
  <c r="CK110" i="11"/>
  <c r="CJ110" i="11"/>
  <c r="CI110" i="11"/>
  <c r="CG110" i="11"/>
  <c r="CF110" i="11"/>
  <c r="CE110" i="11"/>
  <c r="CD110" i="11"/>
  <c r="CB110" i="11"/>
  <c r="CA110" i="11"/>
  <c r="BZ110" i="11"/>
  <c r="BY110" i="11"/>
  <c r="BW110" i="11"/>
  <c r="BV110" i="11"/>
  <c r="BU110" i="11"/>
  <c r="BT110" i="11"/>
  <c r="BR110" i="11"/>
  <c r="BQ110" i="11"/>
  <c r="BP110" i="11"/>
  <c r="BO110" i="11"/>
  <c r="BM110" i="11"/>
  <c r="BL110" i="11"/>
  <c r="BK110" i="11"/>
  <c r="BJ110" i="11"/>
  <c r="BH110" i="11"/>
  <c r="BG110" i="11"/>
  <c r="BF110" i="11"/>
  <c r="BE110" i="11"/>
  <c r="BC110" i="11"/>
  <c r="BB110" i="11"/>
  <c r="BA110" i="11"/>
  <c r="AZ110" i="11"/>
  <c r="AX110" i="11"/>
  <c r="AW110" i="11"/>
  <c r="AV110" i="11"/>
  <c r="AU110" i="11"/>
  <c r="AS110" i="11"/>
  <c r="AR110" i="11"/>
  <c r="AQ110" i="11"/>
  <c r="AP110" i="11"/>
  <c r="AN110" i="11"/>
  <c r="AM110" i="11"/>
  <c r="AL110" i="11"/>
  <c r="AK110" i="11"/>
  <c r="AI110" i="11"/>
  <c r="AH110" i="11"/>
  <c r="AG110" i="11"/>
  <c r="AF110" i="11"/>
  <c r="AD110" i="11"/>
  <c r="AC110" i="11"/>
  <c r="AB110" i="11"/>
  <c r="AA110" i="11"/>
  <c r="Y110" i="11"/>
  <c r="X110" i="11"/>
  <c r="W110" i="11"/>
  <c r="V110" i="11"/>
  <c r="T110" i="11"/>
  <c r="S110" i="11"/>
  <c r="R110" i="11"/>
  <c r="Q110" i="11"/>
  <c r="O110" i="11"/>
  <c r="N110" i="11"/>
  <c r="M110" i="11"/>
  <c r="L110" i="11"/>
  <c r="J110" i="11"/>
  <c r="I110" i="11"/>
  <c r="H110" i="11"/>
  <c r="G110" i="11"/>
  <c r="F110" i="11"/>
  <c r="DK109" i="11"/>
  <c r="DJ109" i="11"/>
  <c r="DI109" i="11"/>
  <c r="DH109" i="11"/>
  <c r="DG109" i="11"/>
  <c r="DB109" i="11"/>
  <c r="CW109" i="11"/>
  <c r="CR109" i="11"/>
  <c r="CM109" i="11"/>
  <c r="CH109" i="11"/>
  <c r="CC109" i="11"/>
  <c r="BX109" i="11"/>
  <c r="BS109" i="11"/>
  <c r="BN109" i="11"/>
  <c r="BI109" i="11"/>
  <c r="BD109" i="11"/>
  <c r="AY109" i="11"/>
  <c r="AT109" i="11"/>
  <c r="AO109" i="11"/>
  <c r="AJ109" i="11"/>
  <c r="AE109" i="11"/>
  <c r="Z109" i="11"/>
  <c r="U109" i="11"/>
  <c r="P109" i="11"/>
  <c r="K109" i="11"/>
  <c r="DK108" i="11"/>
  <c r="DJ108" i="11"/>
  <c r="DI108" i="11"/>
  <c r="DH108" i="11"/>
  <c r="DG108" i="11"/>
  <c r="DB108" i="11"/>
  <c r="CW108" i="11"/>
  <c r="CR108" i="11"/>
  <c r="CM108" i="11"/>
  <c r="CH108" i="11"/>
  <c r="CC108" i="11"/>
  <c r="BX108" i="11"/>
  <c r="BS108" i="11"/>
  <c r="BN108" i="11"/>
  <c r="BI108" i="11"/>
  <c r="BD108" i="11"/>
  <c r="AY108" i="11"/>
  <c r="AT108" i="11"/>
  <c r="AO108" i="11"/>
  <c r="AJ108" i="11"/>
  <c r="AE108" i="11"/>
  <c r="Z108" i="11"/>
  <c r="U108" i="11"/>
  <c r="P108" i="11"/>
  <c r="K108" i="11"/>
  <c r="DF106" i="11"/>
  <c r="DE106" i="11"/>
  <c r="DD106" i="11"/>
  <c r="DC106" i="11"/>
  <c r="DA106" i="11"/>
  <c r="CZ106" i="11"/>
  <c r="CY106" i="11"/>
  <c r="DF105" i="11"/>
  <c r="DE105" i="11"/>
  <c r="DD105" i="11"/>
  <c r="DC105" i="11"/>
  <c r="DA105" i="11"/>
  <c r="CZ105" i="11"/>
  <c r="CY105" i="11"/>
  <c r="DF104" i="11"/>
  <c r="DE104" i="11"/>
  <c r="DD104" i="11"/>
  <c r="DC104" i="11"/>
  <c r="DA104" i="11"/>
  <c r="CZ104" i="11"/>
  <c r="CY104" i="11"/>
  <c r="CX104" i="11"/>
  <c r="CV104" i="11"/>
  <c r="CU104" i="11"/>
  <c r="CT104" i="11"/>
  <c r="E104" i="11"/>
  <c r="D104" i="11"/>
  <c r="C104" i="11"/>
  <c r="B104" i="11"/>
  <c r="DK103" i="11"/>
  <c r="DJ103" i="11"/>
  <c r="DI103" i="11"/>
  <c r="DH103" i="11"/>
  <c r="DG103" i="11"/>
  <c r="DB103" i="11"/>
  <c r="CW103" i="11"/>
  <c r="DK102" i="11"/>
  <c r="DJ102" i="11"/>
  <c r="DI102" i="11"/>
  <c r="DH102" i="11"/>
  <c r="DG102" i="11"/>
  <c r="DB102" i="11"/>
  <c r="CW102" i="11"/>
  <c r="DF100" i="11"/>
  <c r="DE100" i="11"/>
  <c r="DD100" i="11"/>
  <c r="DC100" i="11"/>
  <c r="DA100" i="11"/>
  <c r="CZ100" i="11"/>
  <c r="CY100" i="11"/>
  <c r="CX100" i="11"/>
  <c r="CV100" i="11"/>
  <c r="CU100" i="11"/>
  <c r="CS100" i="11"/>
  <c r="CQ100" i="11"/>
  <c r="CP100" i="11"/>
  <c r="CN100" i="11"/>
  <c r="CL100" i="11"/>
  <c r="CK100" i="11"/>
  <c r="CG100" i="11"/>
  <c r="CF100" i="11"/>
  <c r="CE100" i="11"/>
  <c r="CD100" i="11"/>
  <c r="CB100" i="11"/>
  <c r="CA100" i="11"/>
  <c r="BZ100" i="11"/>
  <c r="BY100" i="11"/>
  <c r="BW100" i="11"/>
  <c r="BV100" i="11"/>
  <c r="BU100" i="11"/>
  <c r="BT100" i="11"/>
  <c r="BR100" i="11"/>
  <c r="BQ100" i="11"/>
  <c r="BP100" i="11"/>
  <c r="BO100" i="11"/>
  <c r="BL100" i="11"/>
  <c r="BK100" i="11"/>
  <c r="BJ100" i="11"/>
  <c r="BG100" i="11"/>
  <c r="BF100" i="11"/>
  <c r="BE100" i="11"/>
  <c r="BC100" i="11"/>
  <c r="BB100" i="11"/>
  <c r="BA100" i="11"/>
  <c r="AZ100" i="11"/>
  <c r="AX100" i="11"/>
  <c r="AW100" i="11"/>
  <c r="AV100" i="11"/>
  <c r="AU100" i="11"/>
  <c r="AS100" i="11"/>
  <c r="AR100" i="11"/>
  <c r="AQ100" i="11"/>
  <c r="AP100" i="11"/>
  <c r="AN100" i="11"/>
  <c r="AM100" i="11"/>
  <c r="AL100" i="11"/>
  <c r="AK100" i="11"/>
  <c r="AI100" i="11"/>
  <c r="AH100" i="11"/>
  <c r="AG100" i="11"/>
  <c r="AF100" i="11"/>
  <c r="AD100" i="11"/>
  <c r="AC100" i="11"/>
  <c r="AB100" i="11"/>
  <c r="AA100" i="11"/>
  <c r="Y100" i="11"/>
  <c r="X100" i="11"/>
  <c r="W100" i="11"/>
  <c r="V100" i="11"/>
  <c r="T100" i="11"/>
  <c r="S100" i="11"/>
  <c r="R100" i="11"/>
  <c r="Q100" i="11"/>
  <c r="O100" i="11"/>
  <c r="N100" i="11"/>
  <c r="M100" i="11"/>
  <c r="L100" i="11"/>
  <c r="J100" i="11"/>
  <c r="I100" i="11"/>
  <c r="H100" i="11"/>
  <c r="G100" i="11"/>
  <c r="CN99" i="11"/>
  <c r="CL99" i="11"/>
  <c r="CK99" i="11"/>
  <c r="CJ99" i="11"/>
  <c r="CG99" i="11"/>
  <c r="CF99" i="11"/>
  <c r="CE99" i="11"/>
  <c r="CD99" i="11"/>
  <c r="CB99" i="11"/>
  <c r="CA99" i="11"/>
  <c r="BZ99" i="11"/>
  <c r="BY99" i="11"/>
  <c r="BW99" i="11"/>
  <c r="BV99" i="11"/>
  <c r="BT99" i="11"/>
  <c r="BR99" i="11"/>
  <c r="BQ99" i="11"/>
  <c r="BP99" i="11"/>
  <c r="BO99" i="11"/>
  <c r="BM99" i="11"/>
  <c r="BL99" i="11"/>
  <c r="BK99" i="11"/>
  <c r="BJ99" i="11"/>
  <c r="BH99" i="11"/>
  <c r="BG99" i="11"/>
  <c r="BF99" i="11"/>
  <c r="BE99" i="11"/>
  <c r="BC99" i="11"/>
  <c r="BB99" i="11"/>
  <c r="BA99" i="11"/>
  <c r="AZ99" i="11"/>
  <c r="AX99" i="11"/>
  <c r="AW99" i="11"/>
  <c r="AV99" i="11"/>
  <c r="AU99" i="11"/>
  <c r="AS99" i="11"/>
  <c r="AR99" i="11"/>
  <c r="AQ99" i="11"/>
  <c r="AP99" i="11"/>
  <c r="AN99" i="11"/>
  <c r="AM99" i="11"/>
  <c r="AL99" i="11"/>
  <c r="AK99" i="11"/>
  <c r="AI99" i="11"/>
  <c r="AH99" i="11"/>
  <c r="AG99" i="11"/>
  <c r="AF99" i="11"/>
  <c r="AD99" i="11"/>
  <c r="AC99" i="11"/>
  <c r="AB99" i="11"/>
  <c r="AA99" i="11"/>
  <c r="Y99" i="11"/>
  <c r="X99" i="11"/>
  <c r="W99" i="11"/>
  <c r="V99" i="11"/>
  <c r="T99" i="11"/>
  <c r="S99" i="11"/>
  <c r="R99" i="11"/>
  <c r="Q99" i="11"/>
  <c r="O99" i="11"/>
  <c r="N99" i="11"/>
  <c r="M99" i="11"/>
  <c r="L99" i="11"/>
  <c r="J99" i="11"/>
  <c r="I99" i="11"/>
  <c r="H99" i="11"/>
  <c r="G99" i="11"/>
  <c r="DF98" i="11"/>
  <c r="DE98" i="11"/>
  <c r="DD98" i="11"/>
  <c r="DC98" i="11"/>
  <c r="DA98" i="11"/>
  <c r="CZ98" i="11"/>
  <c r="CY98" i="11"/>
  <c r="CX98" i="11"/>
  <c r="CV98" i="11"/>
  <c r="CU98" i="11"/>
  <c r="CT98" i="11"/>
  <c r="CS98" i="11"/>
  <c r="CQ98" i="11"/>
  <c r="CP98" i="11"/>
  <c r="CN98" i="11"/>
  <c r="CL98" i="11"/>
  <c r="CK98" i="11"/>
  <c r="CJ98" i="11"/>
  <c r="CI98" i="11"/>
  <c r="CG98" i="11"/>
  <c r="CF98" i="11"/>
  <c r="CE98" i="11"/>
  <c r="CD98" i="11"/>
  <c r="CB98" i="11"/>
  <c r="CA98" i="11"/>
  <c r="BZ98" i="11"/>
  <c r="BY98" i="11"/>
  <c r="BW98" i="11"/>
  <c r="BV98" i="11"/>
  <c r="BU98" i="11"/>
  <c r="BT98" i="11"/>
  <c r="BR98" i="11"/>
  <c r="BQ98" i="11"/>
  <c r="BP98" i="11"/>
  <c r="BO98" i="11"/>
  <c r="BM98" i="11"/>
  <c r="BM101" i="11" s="1"/>
  <c r="BL98" i="11"/>
  <c r="BK98" i="11"/>
  <c r="BJ98" i="11"/>
  <c r="BG98" i="11"/>
  <c r="BF98" i="11"/>
  <c r="BE98" i="11"/>
  <c r="BC98" i="11"/>
  <c r="BB98" i="11"/>
  <c r="BA98" i="11"/>
  <c r="AZ98" i="11"/>
  <c r="AX98" i="11"/>
  <c r="AW98" i="11"/>
  <c r="AV98" i="11"/>
  <c r="AU98" i="11"/>
  <c r="AS98" i="11"/>
  <c r="AR98" i="11"/>
  <c r="AQ98" i="11"/>
  <c r="AP98" i="11"/>
  <c r="AN98" i="11"/>
  <c r="AM98" i="11"/>
  <c r="AL98" i="11"/>
  <c r="AK98" i="11"/>
  <c r="AI98" i="11"/>
  <c r="AH98" i="11"/>
  <c r="AG98" i="11"/>
  <c r="AF98" i="11"/>
  <c r="AD98" i="11"/>
  <c r="AC98" i="11"/>
  <c r="AB98" i="11"/>
  <c r="AA98" i="11"/>
  <c r="Y98" i="11"/>
  <c r="X98" i="11"/>
  <c r="W98" i="11"/>
  <c r="V98" i="11"/>
  <c r="T98" i="11"/>
  <c r="S98" i="11"/>
  <c r="R98" i="11"/>
  <c r="Q98" i="11"/>
  <c r="O98" i="11"/>
  <c r="N98" i="11"/>
  <c r="M98" i="11"/>
  <c r="L98" i="11"/>
  <c r="J98" i="11"/>
  <c r="I98" i="11"/>
  <c r="H98" i="11"/>
  <c r="G98" i="11"/>
  <c r="F98" i="11"/>
  <c r="E98" i="11"/>
  <c r="D98" i="11"/>
  <c r="C98" i="11"/>
  <c r="B98" i="11"/>
  <c r="DK97" i="11"/>
  <c r="DK98" i="11" s="1"/>
  <c r="DJ97" i="11"/>
  <c r="DJ98" i="11" s="1"/>
  <c r="DI97" i="11"/>
  <c r="DI98" i="11" s="1"/>
  <c r="DH97" i="11"/>
  <c r="DH98" i="11" s="1"/>
  <c r="DG97" i="11"/>
  <c r="DB97" i="11"/>
  <c r="CW97" i="11"/>
  <c r="CO97" i="11"/>
  <c r="CO100" i="11" s="1"/>
  <c r="CM97" i="11"/>
  <c r="CH97" i="11"/>
  <c r="CC97" i="11"/>
  <c r="BX97" i="11"/>
  <c r="BS97" i="11"/>
  <c r="BN97" i="11"/>
  <c r="BD97" i="11"/>
  <c r="AY97" i="11"/>
  <c r="AT97" i="11"/>
  <c r="AO97" i="11"/>
  <c r="AJ97" i="11"/>
  <c r="AE97" i="11"/>
  <c r="Z97" i="11"/>
  <c r="U97" i="11"/>
  <c r="P97" i="11"/>
  <c r="K97" i="11"/>
  <c r="DB96" i="11"/>
  <c r="CW96" i="11"/>
  <c r="CR96" i="11"/>
  <c r="CM96" i="11"/>
  <c r="CH96" i="11"/>
  <c r="CC96" i="11"/>
  <c r="CH99" i="11" s="1"/>
  <c r="BX96" i="11"/>
  <c r="BS96" i="11"/>
  <c r="BN96" i="11"/>
  <c r="BI96" i="11"/>
  <c r="BD96" i="11"/>
  <c r="AY96" i="11"/>
  <c r="AT96" i="11"/>
  <c r="AO96" i="11"/>
  <c r="AJ96" i="11"/>
  <c r="AE96" i="11"/>
  <c r="Z96" i="11"/>
  <c r="U96" i="11"/>
  <c r="P96" i="11"/>
  <c r="K96" i="11"/>
  <c r="K99" i="11" s="1"/>
  <c r="DF94" i="11"/>
  <c r="DE94" i="11"/>
  <c r="DD94" i="11"/>
  <c r="DC94" i="11"/>
  <c r="DA94" i="11"/>
  <c r="CZ94" i="11"/>
  <c r="CY94" i="11"/>
  <c r="CX94" i="11"/>
  <c r="CV94" i="11"/>
  <c r="CU94" i="11"/>
  <c r="CT94" i="11"/>
  <c r="CS94" i="11"/>
  <c r="CQ94" i="11"/>
  <c r="CP94" i="11"/>
  <c r="CO94" i="11"/>
  <c r="CN94" i="11"/>
  <c r="CL94" i="11"/>
  <c r="CK94" i="11"/>
  <c r="CJ94" i="11"/>
  <c r="CI94" i="11"/>
  <c r="DF93" i="11"/>
  <c r="DE93" i="11"/>
  <c r="DD93" i="11"/>
  <c r="DC93" i="11"/>
  <c r="DA93" i="11"/>
  <c r="CZ93" i="11"/>
  <c r="CY93" i="11"/>
  <c r="CX93" i="11"/>
  <c r="CV93" i="11"/>
  <c r="CU93" i="11"/>
  <c r="CT93" i="11"/>
  <c r="CS93" i="11"/>
  <c r="CQ93" i="11"/>
  <c r="CP93" i="11"/>
  <c r="CO93" i="11"/>
  <c r="CN93" i="11"/>
  <c r="CL93" i="11"/>
  <c r="CK93" i="11"/>
  <c r="CJ93" i="11"/>
  <c r="CI93" i="11"/>
  <c r="DF92" i="11"/>
  <c r="DE92" i="11"/>
  <c r="DD92" i="11"/>
  <c r="DC92" i="11"/>
  <c r="DA92" i="11"/>
  <c r="CZ92" i="11"/>
  <c r="CY92" i="11"/>
  <c r="CX92" i="11"/>
  <c r="CV92" i="11"/>
  <c r="CU92" i="11"/>
  <c r="CT92" i="11"/>
  <c r="CS92" i="11"/>
  <c r="CQ92" i="11"/>
  <c r="CP92" i="11"/>
  <c r="CO92" i="11"/>
  <c r="CN92" i="11"/>
  <c r="CL92" i="11"/>
  <c r="CK92" i="11"/>
  <c r="CJ92" i="11"/>
  <c r="CI92" i="11"/>
  <c r="CG92" i="11"/>
  <c r="CF92" i="11"/>
  <c r="CE92" i="11"/>
  <c r="CD92" i="11"/>
  <c r="DK91" i="11"/>
  <c r="DJ91" i="11"/>
  <c r="DI91" i="11"/>
  <c r="DH91" i="11"/>
  <c r="DG91" i="11"/>
  <c r="DB91" i="11"/>
  <c r="CW91" i="11"/>
  <c r="CR91" i="11"/>
  <c r="CM91" i="11"/>
  <c r="CH91" i="11"/>
  <c r="CH94" i="11" s="1"/>
  <c r="DK90" i="11"/>
  <c r="DJ90" i="11"/>
  <c r="DI90" i="11"/>
  <c r="DH90" i="11"/>
  <c r="DG90" i="11"/>
  <c r="DB90" i="11"/>
  <c r="CW90" i="11"/>
  <c r="CR90" i="11"/>
  <c r="CM90" i="11"/>
  <c r="CH90" i="11"/>
  <c r="CH93" i="11" s="1"/>
  <c r="DK86" i="11"/>
  <c r="DJ86" i="11"/>
  <c r="DI86" i="11"/>
  <c r="DH86" i="11"/>
  <c r="DF86" i="11"/>
  <c r="DE86" i="11"/>
  <c r="DL85" i="11"/>
  <c r="DM85" i="11" s="1"/>
  <c r="DN85" i="11" s="1"/>
  <c r="DG85" i="11"/>
  <c r="DL84" i="11"/>
  <c r="DG84" i="11"/>
  <c r="DF82" i="11"/>
  <c r="DE82" i="11"/>
  <c r="DD82" i="11"/>
  <c r="DC82" i="11"/>
  <c r="DA82" i="11"/>
  <c r="CZ82" i="11"/>
  <c r="CY82" i="11"/>
  <c r="CX82" i="11"/>
  <c r="CV82" i="11"/>
  <c r="CU82" i="11"/>
  <c r="CT82" i="11"/>
  <c r="CS82" i="11"/>
  <c r="CQ82" i="11"/>
  <c r="CP82" i="11"/>
  <c r="CO82" i="11"/>
  <c r="CN82" i="11"/>
  <c r="CL82" i="11"/>
  <c r="CK82" i="11"/>
  <c r="CJ82" i="11"/>
  <c r="CI82" i="11"/>
  <c r="CG82" i="11"/>
  <c r="CF82" i="11"/>
  <c r="CE82" i="11"/>
  <c r="CD82" i="11"/>
  <c r="CB82" i="11"/>
  <c r="CA82" i="11"/>
  <c r="BZ82" i="11"/>
  <c r="BY82" i="11"/>
  <c r="BW82" i="11"/>
  <c r="BV82" i="11"/>
  <c r="BU82" i="11"/>
  <c r="BT82" i="11"/>
  <c r="BR82" i="11"/>
  <c r="BQ82" i="11"/>
  <c r="BP82" i="11"/>
  <c r="BO82" i="11"/>
  <c r="BG82" i="11"/>
  <c r="BF82" i="11"/>
  <c r="BE82" i="11"/>
  <c r="DF81" i="11"/>
  <c r="DE81" i="11"/>
  <c r="DD81" i="11"/>
  <c r="DC81" i="11"/>
  <c r="DA81" i="11"/>
  <c r="CZ81" i="11"/>
  <c r="CY81" i="11"/>
  <c r="CX81" i="11"/>
  <c r="CV81" i="11"/>
  <c r="CU81" i="11"/>
  <c r="CT81" i="11"/>
  <c r="CS81" i="11"/>
  <c r="CQ81" i="11"/>
  <c r="CP81" i="11"/>
  <c r="CO81" i="11"/>
  <c r="CN81" i="11"/>
  <c r="CL81" i="11"/>
  <c r="CK81" i="11"/>
  <c r="CJ81" i="11"/>
  <c r="CI81" i="11"/>
  <c r="CG81" i="11"/>
  <c r="CF81" i="11"/>
  <c r="CE81" i="11"/>
  <c r="CD81" i="11"/>
  <c r="DF80" i="11"/>
  <c r="DE80" i="11"/>
  <c r="DD80" i="11"/>
  <c r="DC80" i="11"/>
  <c r="DA80" i="11"/>
  <c r="CZ80" i="11"/>
  <c r="CY80" i="11"/>
  <c r="CX80" i="11"/>
  <c r="CV80" i="11"/>
  <c r="CU80" i="11"/>
  <c r="CT80" i="11"/>
  <c r="CS80" i="11"/>
  <c r="CQ80" i="11"/>
  <c r="CP80" i="11"/>
  <c r="CO80" i="11"/>
  <c r="CN80" i="11"/>
  <c r="CL80" i="11"/>
  <c r="CK80" i="11"/>
  <c r="CJ80" i="11"/>
  <c r="CI80" i="11"/>
  <c r="CG80" i="11"/>
  <c r="CF80" i="11"/>
  <c r="CE80" i="11"/>
  <c r="CD80" i="11"/>
  <c r="CB80" i="11"/>
  <c r="CA80" i="11"/>
  <c r="BZ80" i="11"/>
  <c r="BY80" i="11"/>
  <c r="BW80" i="11"/>
  <c r="BV80" i="11"/>
  <c r="BU80" i="11"/>
  <c r="BT80" i="11"/>
  <c r="BR80" i="11"/>
  <c r="BQ80" i="11"/>
  <c r="BP80" i="11"/>
  <c r="BO80" i="11"/>
  <c r="BM80" i="11"/>
  <c r="BL80" i="11"/>
  <c r="BK80" i="11"/>
  <c r="BJ80" i="11"/>
  <c r="BH80" i="11"/>
  <c r="BG80" i="11"/>
  <c r="BF80" i="11"/>
  <c r="BE80" i="11"/>
  <c r="BD80" i="11"/>
  <c r="DK79" i="11"/>
  <c r="DJ79" i="11"/>
  <c r="DI79" i="11"/>
  <c r="DH79" i="11"/>
  <c r="DG79" i="11"/>
  <c r="DB79" i="11"/>
  <c r="CW79" i="11"/>
  <c r="CR79" i="11"/>
  <c r="CM79" i="11"/>
  <c r="CH79" i="11"/>
  <c r="CC79" i="11"/>
  <c r="BX79" i="11"/>
  <c r="BX80" i="11" s="1"/>
  <c r="BS79" i="11"/>
  <c r="BN79" i="11"/>
  <c r="BI79" i="11"/>
  <c r="BD79" i="11"/>
  <c r="DK78" i="11"/>
  <c r="DJ78" i="11"/>
  <c r="DI78" i="11"/>
  <c r="DH78" i="11"/>
  <c r="DG78" i="11"/>
  <c r="DB78" i="11"/>
  <c r="CW78" i="11"/>
  <c r="CR78" i="11"/>
  <c r="CM78" i="11"/>
  <c r="CH78" i="11"/>
  <c r="CC78" i="11"/>
  <c r="BS78" i="11"/>
  <c r="BN78" i="11"/>
  <c r="BI78" i="11"/>
  <c r="AS76" i="11"/>
  <c r="AR76" i="11"/>
  <c r="AQ76" i="11"/>
  <c r="AP76" i="11"/>
  <c r="AN76" i="11"/>
  <c r="AM76" i="11"/>
  <c r="AL76" i="11"/>
  <c r="AK76" i="11"/>
  <c r="AI76" i="11"/>
  <c r="AH76" i="11"/>
  <c r="AG76" i="11"/>
  <c r="AF76" i="11"/>
  <c r="CL75" i="11"/>
  <c r="CK75" i="11"/>
  <c r="CJ75" i="11"/>
  <c r="CI75" i="11"/>
  <c r="CG75" i="11"/>
  <c r="CF75" i="11"/>
  <c r="CE75" i="11"/>
  <c r="CD75" i="11"/>
  <c r="CB75" i="11"/>
  <c r="CA75" i="11"/>
  <c r="BZ75" i="11"/>
  <c r="BY75" i="11"/>
  <c r="BW75" i="11"/>
  <c r="BV75" i="11"/>
  <c r="BU75" i="11"/>
  <c r="BT75" i="11"/>
  <c r="BR75" i="11"/>
  <c r="BQ75" i="11"/>
  <c r="BP75" i="11"/>
  <c r="BO75" i="11"/>
  <c r="BM75" i="11"/>
  <c r="BL75" i="11"/>
  <c r="BK75" i="11"/>
  <c r="BJ75" i="11"/>
  <c r="BH75" i="11"/>
  <c r="BG75" i="11"/>
  <c r="BF75" i="11"/>
  <c r="BE75" i="11"/>
  <c r="BC75" i="11"/>
  <c r="BB75" i="11"/>
  <c r="BA75" i="11"/>
  <c r="AZ75" i="11"/>
  <c r="AX75" i="11"/>
  <c r="AW75" i="11"/>
  <c r="AV75" i="11"/>
  <c r="AU75" i="11"/>
  <c r="AS75" i="11"/>
  <c r="AR75" i="11"/>
  <c r="AQ75" i="11"/>
  <c r="AP75" i="11"/>
  <c r="AN75" i="11"/>
  <c r="AM75" i="11"/>
  <c r="AL75" i="11"/>
  <c r="AK75" i="11"/>
  <c r="AI75" i="11"/>
  <c r="AH75" i="11"/>
  <c r="AG75" i="11"/>
  <c r="AF75" i="11"/>
  <c r="CL74" i="11"/>
  <c r="CK74" i="11"/>
  <c r="CJ74" i="11"/>
  <c r="CI74" i="11"/>
  <c r="CG74" i="11"/>
  <c r="CF74" i="11"/>
  <c r="CE74" i="11"/>
  <c r="CD74" i="11"/>
  <c r="CB74" i="11"/>
  <c r="CA74" i="11"/>
  <c r="BZ74" i="11"/>
  <c r="BY74" i="11"/>
  <c r="BW74" i="11"/>
  <c r="BV74" i="11"/>
  <c r="BU74" i="11"/>
  <c r="BT74" i="11"/>
  <c r="BR74" i="11"/>
  <c r="BQ74" i="11"/>
  <c r="BP74" i="11"/>
  <c r="BO74" i="11"/>
  <c r="BM74" i="11"/>
  <c r="BL74" i="11"/>
  <c r="BK74" i="11"/>
  <c r="BJ74" i="11"/>
  <c r="BH74" i="11"/>
  <c r="BG74" i="11"/>
  <c r="BF74" i="11"/>
  <c r="BE74" i="11"/>
  <c r="BC74" i="11"/>
  <c r="BB74" i="11"/>
  <c r="BA74" i="11"/>
  <c r="AZ74" i="11"/>
  <c r="AX74" i="11"/>
  <c r="AW74" i="11"/>
  <c r="AV74" i="11"/>
  <c r="AU74" i="11"/>
  <c r="AS74" i="11"/>
  <c r="AR74" i="11"/>
  <c r="AQ74" i="11"/>
  <c r="AP74" i="11"/>
  <c r="AN74" i="11"/>
  <c r="AM74" i="11"/>
  <c r="AL74" i="11"/>
  <c r="AK74" i="11"/>
  <c r="AI74" i="11"/>
  <c r="AH74" i="11"/>
  <c r="AG74" i="11"/>
  <c r="AF74" i="11"/>
  <c r="CL73" i="11"/>
  <c r="CK73" i="11"/>
  <c r="CJ73" i="11"/>
  <c r="CI73" i="11"/>
  <c r="CG73" i="11"/>
  <c r="CF73" i="11"/>
  <c r="CE73" i="11"/>
  <c r="CD73" i="11"/>
  <c r="CB73" i="11"/>
  <c r="CA73" i="11"/>
  <c r="BZ73" i="11"/>
  <c r="BY73" i="11"/>
  <c r="BW73" i="11"/>
  <c r="BV73" i="11"/>
  <c r="BU73" i="11"/>
  <c r="BT73" i="11"/>
  <c r="BR73" i="11"/>
  <c r="BQ73" i="11"/>
  <c r="BP73" i="11"/>
  <c r="BO73" i="11"/>
  <c r="BM73" i="11"/>
  <c r="BL73" i="11"/>
  <c r="BK73" i="11"/>
  <c r="BJ73" i="11"/>
  <c r="BH73" i="11"/>
  <c r="BG73" i="11"/>
  <c r="BF73" i="11"/>
  <c r="BE73" i="11"/>
  <c r="BC73" i="11"/>
  <c r="BB73" i="11"/>
  <c r="BA73" i="11"/>
  <c r="AZ73" i="11"/>
  <c r="AX73" i="11"/>
  <c r="AX76" i="11" s="1"/>
  <c r="AW73" i="11"/>
  <c r="AV73" i="11"/>
  <c r="AV76" i="11" s="1"/>
  <c r="AU73" i="11"/>
  <c r="AU76" i="11" s="1"/>
  <c r="CM72" i="11"/>
  <c r="CM73" i="11" s="1"/>
  <c r="CH72" i="11"/>
  <c r="CC72" i="11"/>
  <c r="BX72" i="11"/>
  <c r="BS72" i="11"/>
  <c r="BN72" i="11"/>
  <c r="BI72" i="11"/>
  <c r="BD72" i="11"/>
  <c r="AY72" i="11"/>
  <c r="AT72" i="11"/>
  <c r="AO72" i="11"/>
  <c r="AJ72" i="11"/>
  <c r="AE72" i="11"/>
  <c r="AE75" i="11" s="1"/>
  <c r="CM71" i="11"/>
  <c r="CH71" i="11"/>
  <c r="CC71" i="11"/>
  <c r="BX71" i="11"/>
  <c r="BS71" i="11"/>
  <c r="BN71" i="11"/>
  <c r="BI71" i="11"/>
  <c r="BD71" i="11"/>
  <c r="AY71" i="11"/>
  <c r="AT71" i="11"/>
  <c r="AO71" i="11"/>
  <c r="AJ71" i="11"/>
  <c r="AE71" i="11"/>
  <c r="AE74" i="11" s="1"/>
  <c r="DF69" i="11"/>
  <c r="DE69" i="11"/>
  <c r="DD69" i="11"/>
  <c r="DC69" i="11"/>
  <c r="DA69" i="11"/>
  <c r="CZ69" i="11"/>
  <c r="CY69" i="11"/>
  <c r="CX69" i="11"/>
  <c r="CV69" i="11"/>
  <c r="CU69" i="11"/>
  <c r="CT69" i="11"/>
  <c r="DF68" i="11"/>
  <c r="DE68" i="11"/>
  <c r="DD68" i="11"/>
  <c r="DC68" i="11"/>
  <c r="DA68" i="11"/>
  <c r="CZ68" i="11"/>
  <c r="CY68" i="11"/>
  <c r="CX68" i="11"/>
  <c r="CV68" i="11"/>
  <c r="CU68" i="11"/>
  <c r="CT68" i="11"/>
  <c r="DF67" i="11"/>
  <c r="DE67" i="11"/>
  <c r="DD67" i="11"/>
  <c r="DC67" i="11"/>
  <c r="DA67" i="11"/>
  <c r="CZ67" i="11"/>
  <c r="CY67" i="11"/>
  <c r="CX67" i="11"/>
  <c r="CV67" i="11"/>
  <c r="CU67" i="11"/>
  <c r="CT67" i="11"/>
  <c r="CS67" i="11"/>
  <c r="CQ67" i="11"/>
  <c r="CP67" i="11"/>
  <c r="CO67" i="11"/>
  <c r="DK66" i="11"/>
  <c r="DK67" i="11" s="1"/>
  <c r="DJ66" i="11"/>
  <c r="DI66" i="11"/>
  <c r="DH66" i="11"/>
  <c r="DG66" i="11"/>
  <c r="DB66" i="11"/>
  <c r="CW66" i="11"/>
  <c r="CR66" i="11"/>
  <c r="DK65" i="11"/>
  <c r="DJ65" i="11"/>
  <c r="DI65" i="11"/>
  <c r="DH65" i="11"/>
  <c r="DG65" i="11"/>
  <c r="DB65" i="11"/>
  <c r="CW65" i="11"/>
  <c r="CR65" i="11"/>
  <c r="AT64" i="11"/>
  <c r="AS64" i="11"/>
  <c r="AR64" i="11"/>
  <c r="AQ64" i="11"/>
  <c r="AP64" i="11"/>
  <c r="AO64" i="11"/>
  <c r="AN64" i="11"/>
  <c r="AM64" i="11"/>
  <c r="AL64" i="11"/>
  <c r="AK64" i="11"/>
  <c r="AJ64" i="11"/>
  <c r="AI64" i="11"/>
  <c r="AH64" i="11"/>
  <c r="AG64" i="11"/>
  <c r="AF64" i="11"/>
  <c r="AE64" i="11"/>
  <c r="DF63" i="11"/>
  <c r="DE63" i="11"/>
  <c r="DD63" i="11"/>
  <c r="DC63" i="11"/>
  <c r="DA63" i="11"/>
  <c r="CZ63" i="11"/>
  <c r="CY63" i="11"/>
  <c r="CX63" i="11"/>
  <c r="CV63" i="11"/>
  <c r="CU63" i="11"/>
  <c r="CT63" i="11"/>
  <c r="CS63" i="11"/>
  <c r="CQ63" i="11"/>
  <c r="CP63" i="11"/>
  <c r="CO63" i="11"/>
  <c r="CN63" i="11"/>
  <c r="CL63" i="11"/>
  <c r="CK63" i="11"/>
  <c r="CJ63" i="11"/>
  <c r="CI63" i="11"/>
  <c r="CG63" i="11"/>
  <c r="CF63" i="11"/>
  <c r="CE63" i="11"/>
  <c r="CD63" i="11"/>
  <c r="CB63" i="11"/>
  <c r="CA63" i="11"/>
  <c r="BZ63" i="11"/>
  <c r="BY63" i="11"/>
  <c r="BW63" i="11"/>
  <c r="BV63" i="11"/>
  <c r="BU63" i="11"/>
  <c r="BT63" i="11"/>
  <c r="BR63" i="11"/>
  <c r="BQ63" i="11"/>
  <c r="BP63" i="11"/>
  <c r="BO63" i="11"/>
  <c r="BM63" i="11"/>
  <c r="BL63" i="11"/>
  <c r="BK63" i="11"/>
  <c r="BJ63" i="11"/>
  <c r="BH63" i="11"/>
  <c r="BG63" i="11"/>
  <c r="BF63" i="11"/>
  <c r="BE63" i="11"/>
  <c r="BC63" i="11"/>
  <c r="BB63" i="11"/>
  <c r="BA63" i="11"/>
  <c r="AZ63" i="11"/>
  <c r="AX63" i="11"/>
  <c r="AW63" i="11"/>
  <c r="AV63" i="11"/>
  <c r="AU63" i="11"/>
  <c r="AT63" i="11"/>
  <c r="AS63" i="11"/>
  <c r="AR63" i="11"/>
  <c r="AQ63" i="11"/>
  <c r="AP63" i="11"/>
  <c r="AO63" i="11"/>
  <c r="AN63" i="11"/>
  <c r="AM63" i="11"/>
  <c r="AL63" i="11"/>
  <c r="AK63" i="11"/>
  <c r="AJ63" i="11"/>
  <c r="AI63" i="11"/>
  <c r="AH63" i="11"/>
  <c r="AG63" i="11"/>
  <c r="AF63" i="11"/>
  <c r="AE63" i="11"/>
  <c r="DF62" i="11"/>
  <c r="DE62" i="11"/>
  <c r="DD62" i="11"/>
  <c r="DC62" i="11"/>
  <c r="DA62" i="11"/>
  <c r="CZ62" i="11"/>
  <c r="CY62" i="11"/>
  <c r="CX62" i="11"/>
  <c r="CV62" i="11"/>
  <c r="CU62" i="11"/>
  <c r="CT62" i="11"/>
  <c r="CS62" i="11"/>
  <c r="CQ62" i="11"/>
  <c r="CP62" i="11"/>
  <c r="CO62" i="11"/>
  <c r="CN62" i="11"/>
  <c r="CL62" i="11"/>
  <c r="CK62" i="11"/>
  <c r="CJ62" i="11"/>
  <c r="CI62" i="11"/>
  <c r="CG62" i="11"/>
  <c r="CF62" i="11"/>
  <c r="CE62" i="11"/>
  <c r="CD62" i="11"/>
  <c r="CB62" i="11"/>
  <c r="CA62" i="11"/>
  <c r="BZ62" i="11"/>
  <c r="BY62" i="11"/>
  <c r="BW62" i="11"/>
  <c r="BV62" i="11"/>
  <c r="BU62" i="11"/>
  <c r="BT62" i="11"/>
  <c r="BR62" i="11"/>
  <c r="BQ62" i="11"/>
  <c r="BP62" i="11"/>
  <c r="BO62" i="11"/>
  <c r="BM62" i="11"/>
  <c r="BL62" i="11"/>
  <c r="BK62" i="11"/>
  <c r="BJ62" i="11"/>
  <c r="BH62" i="11"/>
  <c r="BG62" i="11"/>
  <c r="BF62" i="11"/>
  <c r="BE62" i="11"/>
  <c r="BC62" i="11"/>
  <c r="BB62" i="11"/>
  <c r="BA62" i="11"/>
  <c r="AZ62" i="11"/>
  <c r="AX62" i="11"/>
  <c r="AW62" i="11"/>
  <c r="AV62" i="11"/>
  <c r="AU62" i="11"/>
  <c r="AT62" i="11"/>
  <c r="AS62" i="11"/>
  <c r="AR62" i="11"/>
  <c r="AQ62" i="11"/>
  <c r="AP62" i="11"/>
  <c r="AO62" i="11"/>
  <c r="AN62" i="11"/>
  <c r="AM62" i="11"/>
  <c r="AL62" i="11"/>
  <c r="AK62" i="11"/>
  <c r="AJ62" i="11"/>
  <c r="AI62" i="11"/>
  <c r="AH62" i="11"/>
  <c r="AG62" i="11"/>
  <c r="AF62" i="11"/>
  <c r="AE62" i="11"/>
  <c r="DF61" i="11"/>
  <c r="DE61" i="11"/>
  <c r="DD61" i="11"/>
  <c r="DC61" i="11"/>
  <c r="DA61" i="11"/>
  <c r="CZ61" i="11"/>
  <c r="CY61" i="11"/>
  <c r="CX61" i="11"/>
  <c r="CV61" i="11"/>
  <c r="CU61" i="11"/>
  <c r="CT61" i="11"/>
  <c r="CS61" i="11"/>
  <c r="CQ61" i="11"/>
  <c r="CP61" i="11"/>
  <c r="CO61" i="11"/>
  <c r="CN61" i="11"/>
  <c r="CL61" i="11"/>
  <c r="CK61" i="11"/>
  <c r="CJ61" i="11"/>
  <c r="CI61" i="11"/>
  <c r="CG61" i="11"/>
  <c r="CF61" i="11"/>
  <c r="CE61" i="11"/>
  <c r="CE64" i="11" s="1"/>
  <c r="CD61" i="11"/>
  <c r="CB61" i="11"/>
  <c r="CA61" i="11"/>
  <c r="BY61" i="11"/>
  <c r="BW61" i="11"/>
  <c r="BV61" i="11"/>
  <c r="BU61" i="11"/>
  <c r="BZ64" i="11" s="1"/>
  <c r="BT61" i="11"/>
  <c r="BR61" i="11"/>
  <c r="BQ61" i="11"/>
  <c r="BP61" i="11"/>
  <c r="BO61" i="11"/>
  <c r="BM61" i="11"/>
  <c r="BL61" i="11"/>
  <c r="BK61" i="11"/>
  <c r="BJ61" i="11"/>
  <c r="BH61" i="11"/>
  <c r="BG61" i="11"/>
  <c r="BF61" i="11"/>
  <c r="BE61" i="11"/>
  <c r="BC61" i="11"/>
  <c r="BB61" i="11"/>
  <c r="BA61" i="11"/>
  <c r="AZ61" i="11"/>
  <c r="AX61" i="11"/>
  <c r="AX64" i="11" s="1"/>
  <c r="AW61" i="11"/>
  <c r="AW64" i="11" s="1"/>
  <c r="AV61" i="11"/>
  <c r="AV64" i="11" s="1"/>
  <c r="AU61" i="11"/>
  <c r="AU64" i="11" s="1"/>
  <c r="DK60" i="11"/>
  <c r="DJ60" i="11"/>
  <c r="DI60" i="11"/>
  <c r="DH60" i="11"/>
  <c r="DG60" i="11"/>
  <c r="DB60" i="11"/>
  <c r="CW60" i="11"/>
  <c r="CR60" i="11"/>
  <c r="CM60" i="11"/>
  <c r="CH60" i="11"/>
  <c r="CC60" i="11"/>
  <c r="BX60" i="11"/>
  <c r="BS60" i="11"/>
  <c r="BN60" i="11"/>
  <c r="BI60" i="11"/>
  <c r="BD60" i="11"/>
  <c r="AY60" i="11"/>
  <c r="DK59" i="11"/>
  <c r="DJ59" i="11"/>
  <c r="DI59" i="11"/>
  <c r="DH59" i="11"/>
  <c r="DG59" i="11"/>
  <c r="DB59" i="11"/>
  <c r="CW59" i="11"/>
  <c r="CR59" i="11"/>
  <c r="CM59" i="11"/>
  <c r="CH59" i="11"/>
  <c r="CC59" i="11"/>
  <c r="BX59" i="11"/>
  <c r="BS59" i="11"/>
  <c r="BN59" i="11"/>
  <c r="BI59" i="11"/>
  <c r="BD59" i="11"/>
  <c r="AY59" i="11"/>
  <c r="AY62" i="11" s="1"/>
  <c r="DF57" i="11"/>
  <c r="DE57" i="11"/>
  <c r="DD57" i="11"/>
  <c r="DC57" i="11"/>
  <c r="DA57" i="11"/>
  <c r="CZ57" i="11"/>
  <c r="CY57" i="11"/>
  <c r="CX57" i="11"/>
  <c r="CV57" i="11"/>
  <c r="CU57" i="11"/>
  <c r="CT57" i="11"/>
  <c r="CS57" i="11"/>
  <c r="CQ57" i="11"/>
  <c r="CP57" i="11"/>
  <c r="CO57" i="11"/>
  <c r="CN57" i="11"/>
  <c r="CL57" i="11"/>
  <c r="CK57" i="11"/>
  <c r="CJ57" i="11"/>
  <c r="CI57" i="11"/>
  <c r="CG57" i="11"/>
  <c r="CF57" i="11"/>
  <c r="CE57" i="11"/>
  <c r="CD57" i="11"/>
  <c r="CB57" i="11"/>
  <c r="CA57" i="11"/>
  <c r="BZ57" i="11"/>
  <c r="BY57" i="11"/>
  <c r="BW57" i="11"/>
  <c r="BV57" i="11"/>
  <c r="BU57" i="11"/>
  <c r="BT57" i="11"/>
  <c r="BR57" i="11"/>
  <c r="BQ57" i="11"/>
  <c r="BP57" i="11"/>
  <c r="BO57" i="11"/>
  <c r="BM57" i="11"/>
  <c r="BL57" i="11"/>
  <c r="BK57" i="11"/>
  <c r="BJ57" i="11"/>
  <c r="BH57" i="11"/>
  <c r="BG57" i="11"/>
  <c r="BF57" i="11"/>
  <c r="BE57" i="11"/>
  <c r="BC57" i="11"/>
  <c r="BB57" i="11"/>
  <c r="BA57" i="11"/>
  <c r="AZ57" i="11"/>
  <c r="AX57" i="11"/>
  <c r="AW57" i="11"/>
  <c r="AV57" i="11"/>
  <c r="AU57" i="11"/>
  <c r="DF56" i="11"/>
  <c r="DE56" i="11"/>
  <c r="DD56" i="11"/>
  <c r="DC56" i="11"/>
  <c r="DA56" i="11"/>
  <c r="CZ56" i="11"/>
  <c r="CY56" i="11"/>
  <c r="CX56" i="11"/>
  <c r="CV56" i="11"/>
  <c r="CU56" i="11"/>
  <c r="CT56" i="11"/>
  <c r="CS56" i="11"/>
  <c r="CQ56" i="11"/>
  <c r="CP56" i="11"/>
  <c r="CO56" i="11"/>
  <c r="CN56" i="11"/>
  <c r="CL56" i="11"/>
  <c r="CK56" i="11"/>
  <c r="CJ56" i="11"/>
  <c r="CI56" i="11"/>
  <c r="CG56" i="11"/>
  <c r="CF56" i="11"/>
  <c r="CE56" i="11"/>
  <c r="CD56" i="11"/>
  <c r="CB56" i="11"/>
  <c r="CA56" i="11"/>
  <c r="BZ56" i="11"/>
  <c r="BY56" i="11"/>
  <c r="BW56" i="11"/>
  <c r="BV56" i="11"/>
  <c r="BU56" i="11"/>
  <c r="BT56" i="11"/>
  <c r="BR56" i="11"/>
  <c r="BQ56" i="11"/>
  <c r="BP56" i="11"/>
  <c r="BO56" i="11"/>
  <c r="BM56" i="11"/>
  <c r="BL56" i="11"/>
  <c r="BK56" i="11"/>
  <c r="BJ56" i="11"/>
  <c r="BH56" i="11"/>
  <c r="BG56" i="11"/>
  <c r="BF56" i="11"/>
  <c r="BE56" i="11"/>
  <c r="BC56" i="11"/>
  <c r="BB56" i="11"/>
  <c r="BA56" i="11"/>
  <c r="AZ56" i="11"/>
  <c r="AX56" i="11"/>
  <c r="AW56" i="11"/>
  <c r="AV56" i="11"/>
  <c r="AU56" i="11"/>
  <c r="DF55" i="11"/>
  <c r="DE55" i="11"/>
  <c r="DD55" i="11"/>
  <c r="DC55" i="11"/>
  <c r="DA55" i="11"/>
  <c r="CZ55" i="11"/>
  <c r="CY55" i="11"/>
  <c r="CX55" i="11"/>
  <c r="CV55" i="11"/>
  <c r="CU55" i="11"/>
  <c r="CT55" i="11"/>
  <c r="CS55" i="11"/>
  <c r="CQ55" i="11"/>
  <c r="CP55" i="11"/>
  <c r="CO55" i="11"/>
  <c r="CN55" i="11"/>
  <c r="CL55" i="11"/>
  <c r="CK55" i="11"/>
  <c r="CJ55" i="11"/>
  <c r="CI55" i="11"/>
  <c r="CG55" i="11"/>
  <c r="CF55" i="11"/>
  <c r="CE55" i="11"/>
  <c r="CD55" i="11"/>
  <c r="CB55" i="11"/>
  <c r="CA55" i="11"/>
  <c r="BZ55" i="11"/>
  <c r="BY55" i="11"/>
  <c r="BW55" i="11"/>
  <c r="BV55" i="11"/>
  <c r="BU55" i="11"/>
  <c r="BT55" i="11"/>
  <c r="BR55" i="11"/>
  <c r="BQ55" i="11"/>
  <c r="BP55" i="11"/>
  <c r="BO55" i="11"/>
  <c r="BM55" i="11"/>
  <c r="BL55" i="11"/>
  <c r="BQ58" i="11" s="1"/>
  <c r="BK55" i="11"/>
  <c r="BJ55" i="11"/>
  <c r="BH55" i="11"/>
  <c r="BG55" i="11"/>
  <c r="BF55" i="11"/>
  <c r="BE55" i="11"/>
  <c r="BC55" i="11"/>
  <c r="BB55" i="11"/>
  <c r="BA55" i="11"/>
  <c r="AZ55" i="11"/>
  <c r="AX55" i="11"/>
  <c r="AW55" i="11"/>
  <c r="AV55" i="11"/>
  <c r="AU55" i="11"/>
  <c r="AS55" i="11"/>
  <c r="AR55" i="11"/>
  <c r="AQ55" i="11"/>
  <c r="AP55" i="11"/>
  <c r="AN55" i="11"/>
  <c r="AM55" i="11"/>
  <c r="AL55" i="11"/>
  <c r="AK55" i="11"/>
  <c r="AI55" i="11"/>
  <c r="AH55" i="11"/>
  <c r="AG55" i="11"/>
  <c r="AF55" i="11"/>
  <c r="DK54" i="11"/>
  <c r="DJ54" i="11"/>
  <c r="DI54" i="11"/>
  <c r="DH54" i="11"/>
  <c r="DG54" i="11"/>
  <c r="DB54" i="11"/>
  <c r="CW54" i="11"/>
  <c r="CR54" i="11"/>
  <c r="CM54" i="11"/>
  <c r="CH54" i="11"/>
  <c r="CC54" i="11"/>
  <c r="BX54" i="11"/>
  <c r="BS54" i="11"/>
  <c r="BN54" i="11"/>
  <c r="BI54" i="11"/>
  <c r="BI57" i="11" s="1"/>
  <c r="BD54" i="11"/>
  <c r="AY54" i="11"/>
  <c r="AT54" i="11"/>
  <c r="AO54" i="11"/>
  <c r="AJ54" i="11"/>
  <c r="AE54" i="11"/>
  <c r="DK53" i="11"/>
  <c r="DJ53" i="11"/>
  <c r="DI53" i="11"/>
  <c r="DH53" i="11"/>
  <c r="DG53" i="11"/>
  <c r="DB53" i="11"/>
  <c r="CW53" i="11"/>
  <c r="CR53" i="11"/>
  <c r="CM53" i="11"/>
  <c r="CH53" i="11"/>
  <c r="CC53" i="11"/>
  <c r="BX53" i="11"/>
  <c r="BS53" i="11"/>
  <c r="BN53" i="11"/>
  <c r="BI53" i="11"/>
  <c r="BD53" i="11"/>
  <c r="AY53" i="11"/>
  <c r="AT53" i="11"/>
  <c r="AO53" i="11"/>
  <c r="AJ53" i="11"/>
  <c r="AE53" i="11"/>
  <c r="DF51" i="11"/>
  <c r="DE51" i="11"/>
  <c r="DD51" i="11"/>
  <c r="DC51" i="11"/>
  <c r="DA51" i="11"/>
  <c r="CZ51" i="11"/>
  <c r="CY51" i="11"/>
  <c r="CX51" i="11"/>
  <c r="CV51" i="11"/>
  <c r="CU51" i="11"/>
  <c r="CS51" i="11"/>
  <c r="CQ51" i="11"/>
  <c r="CP51" i="11"/>
  <c r="CN51" i="11"/>
  <c r="CL51" i="11"/>
  <c r="CK51" i="11"/>
  <c r="CJ51" i="11"/>
  <c r="CI51" i="11"/>
  <c r="CG51" i="11"/>
  <c r="CF51" i="11"/>
  <c r="CE51" i="11"/>
  <c r="CD51" i="11"/>
  <c r="CB51" i="11"/>
  <c r="CA51" i="11"/>
  <c r="BZ51" i="11"/>
  <c r="BY51" i="11"/>
  <c r="BW51" i="11"/>
  <c r="BV51" i="11"/>
  <c r="BU51" i="11"/>
  <c r="BT51" i="11"/>
  <c r="BR51" i="11"/>
  <c r="BQ51" i="11"/>
  <c r="BP51" i="11"/>
  <c r="BO51" i="11"/>
  <c r="BM51" i="11"/>
  <c r="BL51" i="11"/>
  <c r="BK51" i="11"/>
  <c r="BJ51" i="11"/>
  <c r="BH51" i="11"/>
  <c r="BG51" i="11"/>
  <c r="BF51" i="11"/>
  <c r="BE51" i="11"/>
  <c r="BC51" i="11"/>
  <c r="BB51" i="11"/>
  <c r="BA51" i="11"/>
  <c r="AZ51" i="11"/>
  <c r="AX51" i="11"/>
  <c r="AW51" i="11"/>
  <c r="AV51" i="11"/>
  <c r="AU51" i="11"/>
  <c r="AS51" i="11"/>
  <c r="AR51" i="11"/>
  <c r="AQ51" i="11"/>
  <c r="AP51" i="11"/>
  <c r="AN51" i="11"/>
  <c r="AM51" i="11"/>
  <c r="AL51" i="11"/>
  <c r="AK51" i="11"/>
  <c r="AI51" i="11"/>
  <c r="AH51" i="11"/>
  <c r="AG51" i="11"/>
  <c r="AF51" i="11"/>
  <c r="AD51" i="11"/>
  <c r="AC51" i="11"/>
  <c r="AB51" i="11"/>
  <c r="AA51" i="11"/>
  <c r="Y51" i="11"/>
  <c r="X51" i="11"/>
  <c r="W51" i="11"/>
  <c r="V51" i="11"/>
  <c r="T51" i="11"/>
  <c r="S51" i="11"/>
  <c r="R51" i="11"/>
  <c r="Q51" i="11"/>
  <c r="O51" i="11"/>
  <c r="N51" i="11"/>
  <c r="M51" i="11"/>
  <c r="L51" i="11"/>
  <c r="J51" i="11"/>
  <c r="I51" i="11"/>
  <c r="H51" i="11"/>
  <c r="G51" i="11"/>
  <c r="DF50" i="11"/>
  <c r="DE50" i="11"/>
  <c r="DD50" i="11"/>
  <c r="DC50" i="11"/>
  <c r="DA50" i="11"/>
  <c r="CZ50" i="11"/>
  <c r="CY50" i="11"/>
  <c r="CX50" i="11"/>
  <c r="CV50" i="11"/>
  <c r="CU50" i="11"/>
  <c r="CT50" i="11"/>
  <c r="CS50" i="11"/>
  <c r="CQ50" i="11"/>
  <c r="CP50" i="11"/>
  <c r="CO50" i="11"/>
  <c r="CN50" i="11"/>
  <c r="CL50" i="11"/>
  <c r="CK50" i="11"/>
  <c r="CJ50" i="11"/>
  <c r="CI50" i="11"/>
  <c r="CG50" i="11"/>
  <c r="CF50" i="11"/>
  <c r="CE50" i="11"/>
  <c r="CD50" i="11"/>
  <c r="CB50" i="11"/>
  <c r="CA50" i="11"/>
  <c r="BZ50" i="11"/>
  <c r="BY50" i="11"/>
  <c r="BW50" i="11"/>
  <c r="BV50" i="11"/>
  <c r="BU50" i="11"/>
  <c r="BT50" i="11"/>
  <c r="BR50" i="11"/>
  <c r="BQ50" i="11"/>
  <c r="BP50" i="11"/>
  <c r="BO50" i="11"/>
  <c r="BM50" i="11"/>
  <c r="BL50" i="11"/>
  <c r="BK50" i="11"/>
  <c r="BJ50" i="11"/>
  <c r="BH50" i="11"/>
  <c r="BG50" i="11"/>
  <c r="BF50" i="11"/>
  <c r="BE50" i="11"/>
  <c r="BC50" i="11"/>
  <c r="BB50" i="11"/>
  <c r="BA50" i="11"/>
  <c r="AZ50" i="11"/>
  <c r="AX50" i="11"/>
  <c r="AW50" i="11"/>
  <c r="AV50" i="11"/>
  <c r="AU50" i="11"/>
  <c r="AS50" i="11"/>
  <c r="AR50" i="11"/>
  <c r="AQ50" i="11"/>
  <c r="AP50" i="11"/>
  <c r="AN50" i="11"/>
  <c r="AM50" i="11"/>
  <c r="AA50" i="11"/>
  <c r="Y50" i="11"/>
  <c r="X50" i="11"/>
  <c r="W50" i="11"/>
  <c r="V50" i="11"/>
  <c r="T50" i="11"/>
  <c r="S50" i="11"/>
  <c r="R50" i="11"/>
  <c r="Q50" i="11"/>
  <c r="O50" i="11"/>
  <c r="N50" i="11"/>
  <c r="M50" i="11"/>
  <c r="L50" i="11"/>
  <c r="J50" i="11"/>
  <c r="I50" i="11"/>
  <c r="H50" i="11"/>
  <c r="G50" i="11"/>
  <c r="DF49" i="11"/>
  <c r="DE49" i="11"/>
  <c r="DD49" i="11"/>
  <c r="DC49" i="11"/>
  <c r="DA49" i="11"/>
  <c r="CZ49" i="11"/>
  <c r="CY49" i="11"/>
  <c r="CX49" i="11"/>
  <c r="CV49" i="11"/>
  <c r="CU49" i="11"/>
  <c r="CT49" i="11"/>
  <c r="CS49" i="11"/>
  <c r="CQ49" i="11"/>
  <c r="CP49" i="11"/>
  <c r="CN49" i="11"/>
  <c r="CL49" i="11"/>
  <c r="CK49" i="11"/>
  <c r="CJ49" i="11"/>
  <c r="CI49" i="11"/>
  <c r="CG49" i="11"/>
  <c r="CF49" i="11"/>
  <c r="CE49" i="11"/>
  <c r="CD49" i="11"/>
  <c r="CB49" i="11"/>
  <c r="CA49" i="11"/>
  <c r="BZ49" i="11"/>
  <c r="BY49" i="11"/>
  <c r="BW49" i="11"/>
  <c r="BV49" i="11"/>
  <c r="BU49" i="11"/>
  <c r="BT49" i="11"/>
  <c r="BR49" i="11"/>
  <c r="BQ49" i="11"/>
  <c r="BP49" i="11"/>
  <c r="BO49" i="11"/>
  <c r="BM49" i="11"/>
  <c r="BL49" i="11"/>
  <c r="BK49" i="11"/>
  <c r="BJ49" i="11"/>
  <c r="BH49" i="11"/>
  <c r="BG49" i="11"/>
  <c r="BF49" i="11"/>
  <c r="BE49" i="11"/>
  <c r="BC49" i="11"/>
  <c r="BB49" i="11"/>
  <c r="BA49" i="11"/>
  <c r="AZ49" i="11"/>
  <c r="BE52" i="11" s="1"/>
  <c r="AX49" i="11"/>
  <c r="AW49" i="11"/>
  <c r="AV49" i="11"/>
  <c r="AU49" i="11"/>
  <c r="AS49" i="11"/>
  <c r="AR49" i="11"/>
  <c r="AQ49" i="11"/>
  <c r="AP49" i="11"/>
  <c r="AN49" i="11"/>
  <c r="AM49" i="11"/>
  <c r="AL49" i="11"/>
  <c r="AK49" i="11"/>
  <c r="AI49" i="11"/>
  <c r="AH49" i="11"/>
  <c r="AA49" i="11"/>
  <c r="Y49" i="11"/>
  <c r="X49" i="11"/>
  <c r="W49" i="11"/>
  <c r="V49" i="11"/>
  <c r="T49" i="11"/>
  <c r="S49" i="11"/>
  <c r="R49" i="11"/>
  <c r="Q49" i="11"/>
  <c r="O49" i="11"/>
  <c r="N49" i="11"/>
  <c r="M49" i="11"/>
  <c r="L49" i="11"/>
  <c r="J49" i="11"/>
  <c r="I49" i="11"/>
  <c r="H49" i="11"/>
  <c r="G49" i="11"/>
  <c r="F49" i="11"/>
  <c r="E49" i="11"/>
  <c r="D49" i="11"/>
  <c r="C49" i="11"/>
  <c r="B49" i="11"/>
  <c r="DK48" i="11"/>
  <c r="DJ48" i="11"/>
  <c r="DI48" i="11"/>
  <c r="DH48" i="11"/>
  <c r="DG48" i="11"/>
  <c r="DB48" i="11"/>
  <c r="CW48" i="11"/>
  <c r="CO48" i="11"/>
  <c r="CO51" i="11" s="1"/>
  <c r="CM48" i="11"/>
  <c r="CH48" i="11"/>
  <c r="CC48" i="11"/>
  <c r="BX48" i="11"/>
  <c r="BS48" i="11"/>
  <c r="BN48" i="11"/>
  <c r="BI48" i="11"/>
  <c r="BD48" i="11"/>
  <c r="AY48" i="11"/>
  <c r="AT48" i="11"/>
  <c r="AO48" i="11"/>
  <c r="AJ48" i="11"/>
  <c r="AE48" i="11"/>
  <c r="Z48" i="11"/>
  <c r="U48" i="11"/>
  <c r="P48" i="11"/>
  <c r="K48" i="11"/>
  <c r="K51" i="11" s="1"/>
  <c r="DK47" i="11"/>
  <c r="DJ47" i="11"/>
  <c r="DI47" i="11"/>
  <c r="DH47" i="11"/>
  <c r="DG47" i="11"/>
  <c r="DB47" i="11"/>
  <c r="DB50" i="11" s="1"/>
  <c r="CW47" i="11"/>
  <c r="CR47" i="11"/>
  <c r="CM47" i="11"/>
  <c r="CH47" i="11"/>
  <c r="CC47" i="11"/>
  <c r="BX47" i="11"/>
  <c r="BS47" i="11"/>
  <c r="BN47" i="11"/>
  <c r="BI47" i="11"/>
  <c r="BD47" i="11"/>
  <c r="AY47" i="11"/>
  <c r="AT47" i="11"/>
  <c r="AO47" i="11"/>
  <c r="AG47" i="11"/>
  <c r="AL50" i="11" s="1"/>
  <c r="AF47" i="11"/>
  <c r="AK50" i="11" s="1"/>
  <c r="AD47" i="11"/>
  <c r="AI50" i="11" s="1"/>
  <c r="AC47" i="11"/>
  <c r="AC49" i="11" s="1"/>
  <c r="AB47" i="11"/>
  <c r="AB49" i="11" s="1"/>
  <c r="Z47" i="11"/>
  <c r="U47" i="11"/>
  <c r="P47" i="11"/>
  <c r="K47" i="11"/>
  <c r="K50" i="11" s="1"/>
  <c r="DF45" i="11"/>
  <c r="DE45" i="11"/>
  <c r="DD45" i="11"/>
  <c r="DC45" i="11"/>
  <c r="DA45" i="11"/>
  <c r="CZ45" i="11"/>
  <c r="CY45" i="11"/>
  <c r="CX45" i="11"/>
  <c r="CV45" i="11"/>
  <c r="CU45" i="11"/>
  <c r="CT45" i="11"/>
  <c r="CS45" i="11"/>
  <c r="CQ45" i="11"/>
  <c r="CP45" i="11"/>
  <c r="CO45" i="11"/>
  <c r="CN45" i="11"/>
  <c r="CL45" i="11"/>
  <c r="CK45" i="11"/>
  <c r="CJ45" i="11"/>
  <c r="CI45" i="11"/>
  <c r="CG45" i="11"/>
  <c r="CF45" i="11"/>
  <c r="CE45" i="11"/>
  <c r="CD45" i="11"/>
  <c r="CB45" i="11"/>
  <c r="CA45" i="11"/>
  <c r="BZ45" i="11"/>
  <c r="BY45" i="11"/>
  <c r="BW45" i="11"/>
  <c r="BV45" i="11"/>
  <c r="BU45" i="11"/>
  <c r="BT45" i="11"/>
  <c r="BR45" i="11"/>
  <c r="BQ45" i="11"/>
  <c r="BP45" i="11"/>
  <c r="BO45" i="11"/>
  <c r="BM45" i="11"/>
  <c r="BL45" i="11"/>
  <c r="BK45" i="11"/>
  <c r="BJ45" i="11"/>
  <c r="BH45" i="11"/>
  <c r="BG45" i="11"/>
  <c r="BF45" i="11"/>
  <c r="BE45" i="11"/>
  <c r="BC45" i="11"/>
  <c r="BB45" i="11"/>
  <c r="BA45" i="11"/>
  <c r="AZ45" i="11"/>
  <c r="AX45" i="11"/>
  <c r="AW45" i="11"/>
  <c r="AV45" i="11"/>
  <c r="AU45" i="11"/>
  <c r="DF44" i="11"/>
  <c r="DE44" i="11"/>
  <c r="DD44" i="11"/>
  <c r="DC44" i="11"/>
  <c r="DA44" i="11"/>
  <c r="CZ44" i="11"/>
  <c r="CY44" i="11"/>
  <c r="CX44" i="11"/>
  <c r="CV44" i="11"/>
  <c r="CU44" i="11"/>
  <c r="CT44" i="11"/>
  <c r="CS44" i="11"/>
  <c r="CQ44" i="11"/>
  <c r="CP44" i="11"/>
  <c r="CO44" i="11"/>
  <c r="CN44" i="11"/>
  <c r="CL44" i="11"/>
  <c r="CK44" i="11"/>
  <c r="CJ44" i="11"/>
  <c r="CI44" i="11"/>
  <c r="CG44" i="11"/>
  <c r="CF44" i="11"/>
  <c r="CE44" i="11"/>
  <c r="CD44" i="11"/>
  <c r="CB44" i="11"/>
  <c r="CA44" i="11"/>
  <c r="BZ44" i="11"/>
  <c r="BY44" i="11"/>
  <c r="BW44" i="11"/>
  <c r="BV44" i="11"/>
  <c r="BU44" i="11"/>
  <c r="BT44" i="11"/>
  <c r="BR44" i="11"/>
  <c r="BQ44" i="11"/>
  <c r="BP44" i="11"/>
  <c r="BO44" i="11"/>
  <c r="BM44" i="11"/>
  <c r="BL44" i="11"/>
  <c r="BK44" i="11"/>
  <c r="BJ44" i="11"/>
  <c r="BH44" i="11"/>
  <c r="BG44" i="11"/>
  <c r="BF44" i="11"/>
  <c r="BE44" i="11"/>
  <c r="BC44" i="11"/>
  <c r="BB44" i="11"/>
  <c r="BA44" i="11"/>
  <c r="AZ44" i="11"/>
  <c r="AX44" i="11"/>
  <c r="AW44" i="11"/>
  <c r="AV44" i="11"/>
  <c r="AU44" i="11"/>
  <c r="DF43" i="11"/>
  <c r="AD10" i="13" s="1"/>
  <c r="DE43" i="11"/>
  <c r="AC10" i="13" s="1"/>
  <c r="DD43" i="11"/>
  <c r="AB10" i="13" s="1"/>
  <c r="DC43" i="11"/>
  <c r="AA10" i="13" s="1"/>
  <c r="DA43" i="11"/>
  <c r="Y10" i="13" s="1"/>
  <c r="CZ43" i="11"/>
  <c r="X10" i="13" s="1"/>
  <c r="CY43" i="11"/>
  <c r="W10" i="13" s="1"/>
  <c r="CX43" i="11"/>
  <c r="V10" i="13" s="1"/>
  <c r="CV43" i="11"/>
  <c r="T10" i="13" s="1"/>
  <c r="CU43" i="11"/>
  <c r="CT43" i="11"/>
  <c r="R10" i="13" s="1"/>
  <c r="CS43" i="11"/>
  <c r="Q10" i="13" s="1"/>
  <c r="CQ43" i="11"/>
  <c r="O10" i="13" s="1"/>
  <c r="CP43" i="11"/>
  <c r="N10" i="13" s="1"/>
  <c r="CO43" i="11"/>
  <c r="M10" i="13" s="1"/>
  <c r="CN43" i="11"/>
  <c r="L10" i="13" s="1"/>
  <c r="CL43" i="11"/>
  <c r="J10" i="13" s="1"/>
  <c r="CK43" i="11"/>
  <c r="I10" i="13" s="1"/>
  <c r="CJ43" i="11"/>
  <c r="H10" i="13" s="1"/>
  <c r="CI43" i="11"/>
  <c r="G10" i="13" s="1"/>
  <c r="CG43" i="11"/>
  <c r="CF43" i="11"/>
  <c r="CE43" i="11"/>
  <c r="CD43" i="11"/>
  <c r="CB43" i="11"/>
  <c r="CA43" i="11"/>
  <c r="BZ43" i="11"/>
  <c r="BY43" i="11"/>
  <c r="BW43" i="11"/>
  <c r="BV43" i="11"/>
  <c r="BU43" i="11"/>
  <c r="BT43" i="11"/>
  <c r="BR43" i="11"/>
  <c r="BQ43" i="11"/>
  <c r="BP43" i="11"/>
  <c r="BO43" i="11"/>
  <c r="BM43" i="11"/>
  <c r="BL43" i="11"/>
  <c r="BL46" i="11" s="1"/>
  <c r="BK43" i="11"/>
  <c r="BJ43" i="11"/>
  <c r="BH43" i="11"/>
  <c r="BG43" i="11"/>
  <c r="BF43" i="11"/>
  <c r="BE43" i="11"/>
  <c r="BC43" i="11"/>
  <c r="BB43" i="11"/>
  <c r="BA43" i="11"/>
  <c r="AZ43" i="11"/>
  <c r="AX43" i="11"/>
  <c r="AW43" i="11"/>
  <c r="AV43" i="11"/>
  <c r="AU43" i="11"/>
  <c r="AS43" i="11"/>
  <c r="AR43" i="11"/>
  <c r="AQ43" i="11"/>
  <c r="AP43" i="11"/>
  <c r="AN43" i="11"/>
  <c r="AM43" i="11"/>
  <c r="AL43" i="11"/>
  <c r="AK43" i="11"/>
  <c r="AI43" i="11"/>
  <c r="AH43" i="11"/>
  <c r="AG43" i="11"/>
  <c r="AF43" i="11"/>
  <c r="DK42" i="11"/>
  <c r="DJ42" i="11"/>
  <c r="DI42" i="11"/>
  <c r="DH42" i="11"/>
  <c r="DG42" i="11"/>
  <c r="DB42" i="11"/>
  <c r="CW42" i="11"/>
  <c r="CR42" i="11"/>
  <c r="CM42" i="11"/>
  <c r="CH42" i="11"/>
  <c r="CC42" i="11"/>
  <c r="BX42" i="11"/>
  <c r="BS42" i="11"/>
  <c r="BN42" i="11"/>
  <c r="BI42" i="11"/>
  <c r="BD42" i="11"/>
  <c r="AY42" i="11"/>
  <c r="AT42" i="11"/>
  <c r="AO42" i="11"/>
  <c r="AJ42" i="11"/>
  <c r="AD42" i="11"/>
  <c r="AC42" i="11"/>
  <c r="DK41" i="11"/>
  <c r="DJ41" i="11"/>
  <c r="DI41" i="11"/>
  <c r="DH41" i="11"/>
  <c r="DG41" i="11"/>
  <c r="DB41" i="11"/>
  <c r="CW41" i="11"/>
  <c r="CR41" i="11"/>
  <c r="CM41" i="11"/>
  <c r="CH41" i="11"/>
  <c r="CC41" i="11"/>
  <c r="BX41" i="11"/>
  <c r="BS41" i="11"/>
  <c r="BN41" i="11"/>
  <c r="BI41" i="11"/>
  <c r="BD41" i="11"/>
  <c r="AY41" i="11"/>
  <c r="AT41" i="11"/>
  <c r="AO41" i="11"/>
  <c r="AJ41" i="11"/>
  <c r="AE41" i="11"/>
  <c r="CL38" i="11"/>
  <c r="CK38" i="11"/>
  <c r="CJ38" i="11"/>
  <c r="CI38" i="11"/>
  <c r="CG38" i="11"/>
  <c r="CF38" i="11"/>
  <c r="CE38" i="11"/>
  <c r="CD38" i="11"/>
  <c r="CB38" i="11"/>
  <c r="CA38" i="11"/>
  <c r="BZ38" i="11"/>
  <c r="BY38" i="11"/>
  <c r="BW38" i="11"/>
  <c r="BV38" i="11"/>
  <c r="BU38" i="11"/>
  <c r="BT38" i="11"/>
  <c r="BR38" i="11"/>
  <c r="BQ38" i="11"/>
  <c r="BP38" i="11"/>
  <c r="BO38" i="11"/>
  <c r="BM38" i="11"/>
  <c r="BL38" i="11"/>
  <c r="BK38" i="11"/>
  <c r="BJ38" i="11"/>
  <c r="BH38" i="11"/>
  <c r="BG38" i="11"/>
  <c r="BF38" i="11"/>
  <c r="BE38" i="11"/>
  <c r="BC38" i="11"/>
  <c r="BB38" i="11"/>
  <c r="BA38" i="11"/>
  <c r="AZ38" i="11"/>
  <c r="AX38" i="11"/>
  <c r="AW38" i="11"/>
  <c r="AV38" i="11"/>
  <c r="AU38" i="11"/>
  <c r="AS38" i="11"/>
  <c r="AR38" i="11"/>
  <c r="AQ38" i="11"/>
  <c r="AP38" i="11"/>
  <c r="AN38" i="11"/>
  <c r="AM38" i="11"/>
  <c r="AL38" i="11"/>
  <c r="AK38" i="11"/>
  <c r="AI38" i="11"/>
  <c r="AH38" i="11"/>
  <c r="AG38" i="11"/>
  <c r="AF38" i="11"/>
  <c r="AD38" i="11"/>
  <c r="AC38" i="11"/>
  <c r="AB38" i="11"/>
  <c r="AA38" i="11"/>
  <c r="Y38" i="11"/>
  <c r="X38" i="11"/>
  <c r="W38" i="11"/>
  <c r="V38" i="11"/>
  <c r="T38" i="11"/>
  <c r="S38" i="11"/>
  <c r="R38" i="11"/>
  <c r="Q38" i="11"/>
  <c r="O38" i="11"/>
  <c r="N38" i="11"/>
  <c r="M38" i="11"/>
  <c r="L38" i="11"/>
  <c r="CL37" i="11"/>
  <c r="CJ37" i="11"/>
  <c r="CI37" i="11"/>
  <c r="CG37" i="11"/>
  <c r="CF37" i="11"/>
  <c r="CE37" i="11"/>
  <c r="CD37" i="11"/>
  <c r="CB37" i="11"/>
  <c r="CA37" i="11"/>
  <c r="BZ37" i="11"/>
  <c r="BW37" i="11"/>
  <c r="BV37" i="11"/>
  <c r="BU37" i="11"/>
  <c r="BR37" i="11"/>
  <c r="BQ37" i="11"/>
  <c r="BP37" i="11"/>
  <c r="BM37" i="11"/>
  <c r="BL37" i="11"/>
  <c r="BK37" i="11"/>
  <c r="BJ37" i="11"/>
  <c r="BH37" i="11"/>
  <c r="BG37" i="11"/>
  <c r="BF37" i="11"/>
  <c r="BE37" i="11"/>
  <c r="BC37" i="11"/>
  <c r="BB37" i="11"/>
  <c r="BA37" i="11"/>
  <c r="AZ37" i="11"/>
  <c r="AX37" i="11"/>
  <c r="AW37" i="11"/>
  <c r="AV37" i="11"/>
  <c r="AU37" i="11"/>
  <c r="AS37" i="11"/>
  <c r="AR37" i="11"/>
  <c r="AQ37" i="11"/>
  <c r="AP37" i="11"/>
  <c r="AN37" i="11"/>
  <c r="AM37" i="11"/>
  <c r="AL37" i="11"/>
  <c r="AK37" i="11"/>
  <c r="AI37" i="11"/>
  <c r="AH37" i="11"/>
  <c r="AG37" i="11"/>
  <c r="AF37" i="11"/>
  <c r="AD37" i="11"/>
  <c r="AC37" i="11"/>
  <c r="AB37" i="11"/>
  <c r="AA37" i="11"/>
  <c r="Y37" i="11"/>
  <c r="X37" i="11"/>
  <c r="W37" i="11"/>
  <c r="V37" i="11"/>
  <c r="T37" i="11"/>
  <c r="S37" i="11"/>
  <c r="R37" i="11"/>
  <c r="Q37" i="11"/>
  <c r="O37" i="11"/>
  <c r="N37" i="11"/>
  <c r="M37" i="11"/>
  <c r="L37" i="11"/>
  <c r="CL36" i="11"/>
  <c r="CK36" i="11"/>
  <c r="CJ36" i="11"/>
  <c r="CI36" i="11"/>
  <c r="CG36" i="11"/>
  <c r="CF36" i="11"/>
  <c r="CE36" i="11"/>
  <c r="CD36" i="11"/>
  <c r="CB36" i="11"/>
  <c r="CA36" i="11"/>
  <c r="BZ36" i="11"/>
  <c r="BY36" i="11"/>
  <c r="BW36" i="11"/>
  <c r="BV36" i="11"/>
  <c r="BU36" i="11"/>
  <c r="BT36" i="11"/>
  <c r="BR36" i="11"/>
  <c r="BQ36" i="11"/>
  <c r="BP36" i="11"/>
  <c r="BO36" i="11"/>
  <c r="BM36" i="11"/>
  <c r="BL36" i="11"/>
  <c r="BK36" i="11"/>
  <c r="BJ36" i="11"/>
  <c r="BH36" i="11"/>
  <c r="BG36" i="11"/>
  <c r="BF36" i="11"/>
  <c r="BE36" i="11"/>
  <c r="BC36" i="11"/>
  <c r="BB36" i="11"/>
  <c r="BA36" i="11"/>
  <c r="AZ36" i="11"/>
  <c r="AX36" i="11"/>
  <c r="AW36" i="11"/>
  <c r="AV36" i="11"/>
  <c r="AU36" i="11"/>
  <c r="AS36" i="11"/>
  <c r="AR36" i="11"/>
  <c r="AQ36" i="11"/>
  <c r="AP36" i="11"/>
  <c r="AN36" i="11"/>
  <c r="AM36" i="11"/>
  <c r="AL36" i="11"/>
  <c r="AK36" i="11"/>
  <c r="AI36" i="11"/>
  <c r="AH36" i="11"/>
  <c r="AH39" i="11" s="1"/>
  <c r="AG36" i="11"/>
  <c r="AG39" i="11" s="1"/>
  <c r="AF36" i="11"/>
  <c r="AD36" i="11"/>
  <c r="AC36" i="11"/>
  <c r="AB36" i="11"/>
  <c r="AA36" i="11"/>
  <c r="Y36" i="11"/>
  <c r="X36" i="11"/>
  <c r="W36" i="11"/>
  <c r="V36" i="11"/>
  <c r="T36" i="11"/>
  <c r="S36" i="11"/>
  <c r="R36" i="11"/>
  <c r="Q36" i="11"/>
  <c r="O36" i="11"/>
  <c r="N36" i="11"/>
  <c r="N39" i="11" s="1"/>
  <c r="M36" i="11"/>
  <c r="M39" i="11" s="1"/>
  <c r="L36" i="11"/>
  <c r="L39" i="11" s="1"/>
  <c r="CM35" i="11"/>
  <c r="CH35" i="11"/>
  <c r="CC35" i="11"/>
  <c r="BX35" i="11"/>
  <c r="BS35" i="11"/>
  <c r="BN35" i="11"/>
  <c r="BI35" i="11"/>
  <c r="BD35" i="11"/>
  <c r="AY35" i="11"/>
  <c r="AT35" i="11"/>
  <c r="AT38" i="11" s="1"/>
  <c r="AO35" i="11"/>
  <c r="AJ35" i="11"/>
  <c r="AE35" i="11"/>
  <c r="Z35" i="11"/>
  <c r="U35" i="11"/>
  <c r="P35" i="11"/>
  <c r="CM34" i="11"/>
  <c r="CH34" i="11"/>
  <c r="CC34" i="11"/>
  <c r="BX34" i="11"/>
  <c r="BS34" i="11"/>
  <c r="BN34" i="11"/>
  <c r="BI34" i="11"/>
  <c r="BD34" i="11"/>
  <c r="AY34" i="11"/>
  <c r="AT34" i="11"/>
  <c r="AO34" i="11"/>
  <c r="AJ34" i="11"/>
  <c r="AE34" i="11"/>
  <c r="Z34" i="11"/>
  <c r="U34" i="11"/>
  <c r="Z37" i="11" s="1"/>
  <c r="P34" i="11"/>
  <c r="DF30" i="11"/>
  <c r="DE30" i="11"/>
  <c r="DD30" i="11"/>
  <c r="DC30" i="11"/>
  <c r="DN29" i="11"/>
  <c r="DO29" i="11" s="1"/>
  <c r="DL29" i="11"/>
  <c r="DG29" i="11"/>
  <c r="DK28" i="11"/>
  <c r="DK30" i="11" s="1"/>
  <c r="DJ28" i="11"/>
  <c r="DJ30" i="11" s="1"/>
  <c r="DI28" i="11"/>
  <c r="DI30" i="11" s="1"/>
  <c r="DH28" i="11"/>
  <c r="DG28" i="11"/>
  <c r="DF26" i="11"/>
  <c r="DE26" i="11"/>
  <c r="DD26" i="11"/>
  <c r="DC26" i="11"/>
  <c r="DA26" i="11"/>
  <c r="CZ26" i="11"/>
  <c r="CY26" i="11"/>
  <c r="CX26" i="11"/>
  <c r="CV26" i="11"/>
  <c r="CU26" i="11"/>
  <c r="CT26" i="11"/>
  <c r="DO25" i="11"/>
  <c r="DF25" i="11"/>
  <c r="DE25" i="11"/>
  <c r="DD25" i="11"/>
  <c r="DC25" i="11"/>
  <c r="DA25" i="11"/>
  <c r="CZ25" i="11"/>
  <c r="CY25" i="11"/>
  <c r="CX25" i="11"/>
  <c r="CV25" i="11"/>
  <c r="CU25" i="11"/>
  <c r="CT25" i="11"/>
  <c r="DF24" i="11"/>
  <c r="DE24" i="11"/>
  <c r="DD24" i="11"/>
  <c r="DC24" i="11"/>
  <c r="DA24" i="11"/>
  <c r="CZ24" i="11"/>
  <c r="CY24" i="11"/>
  <c r="CX24" i="11"/>
  <c r="CV24" i="11"/>
  <c r="CU24" i="11"/>
  <c r="CT24" i="11"/>
  <c r="CS24" i="11"/>
  <c r="CS27" i="11" s="1"/>
  <c r="CQ24" i="11"/>
  <c r="CP24" i="11"/>
  <c r="CO24" i="11"/>
  <c r="CN24" i="11"/>
  <c r="DK23" i="11"/>
  <c r="DJ23" i="11"/>
  <c r="DI23" i="11"/>
  <c r="DH23" i="11"/>
  <c r="DG23" i="11"/>
  <c r="DB23" i="11"/>
  <c r="CW23" i="11"/>
  <c r="CR23" i="11"/>
  <c r="DK22" i="11"/>
  <c r="DJ22" i="11"/>
  <c r="DI22" i="11"/>
  <c r="DH22" i="11"/>
  <c r="DG22" i="11"/>
  <c r="DB22" i="11"/>
  <c r="CW22" i="11"/>
  <c r="CR22" i="11"/>
  <c r="DP21" i="11"/>
  <c r="DO21" i="11"/>
  <c r="DN21" i="11"/>
  <c r="DM21" i="11"/>
  <c r="DK21" i="11"/>
  <c r="DJ21" i="11"/>
  <c r="DI21" i="11"/>
  <c r="DH21" i="11"/>
  <c r="DF21" i="11"/>
  <c r="DE21" i="11"/>
  <c r="DD21" i="11"/>
  <c r="DC21" i="11"/>
  <c r="DA21" i="11"/>
  <c r="CZ21" i="11"/>
  <c r="CY21" i="11"/>
  <c r="CX21" i="11"/>
  <c r="CV21" i="11"/>
  <c r="CU21" i="11"/>
  <c r="CT21" i="11"/>
  <c r="CS21" i="11"/>
  <c r="CQ21" i="11"/>
  <c r="CP21" i="11"/>
  <c r="CO21" i="11"/>
  <c r="CN21" i="11"/>
  <c r="DL20" i="11"/>
  <c r="DG20" i="11"/>
  <c r="DB20" i="11"/>
  <c r="CW20" i="11"/>
  <c r="CR20" i="11"/>
  <c r="DL19" i="11"/>
  <c r="DG19" i="11"/>
  <c r="DB19" i="11"/>
  <c r="CW19" i="11"/>
  <c r="CR19" i="11"/>
  <c r="CV17" i="11"/>
  <c r="CU17" i="11"/>
  <c r="CT17" i="11"/>
  <c r="CS17" i="11"/>
  <c r="CQ17" i="11"/>
  <c r="CP17" i="11"/>
  <c r="CO17" i="11"/>
  <c r="CN17" i="11"/>
  <c r="CL17" i="11"/>
  <c r="CK17" i="11"/>
  <c r="CJ17" i="11"/>
  <c r="CI17" i="11"/>
  <c r="CG17" i="11"/>
  <c r="CF17" i="11"/>
  <c r="CE17" i="11"/>
  <c r="CD17" i="11"/>
  <c r="CB17" i="11"/>
  <c r="CA17" i="11"/>
  <c r="BZ17" i="11"/>
  <c r="BY17" i="11"/>
  <c r="BW17" i="11"/>
  <c r="BV17" i="11"/>
  <c r="BU17" i="11"/>
  <c r="BT17" i="11"/>
  <c r="BR17" i="11"/>
  <c r="BQ17" i="11"/>
  <c r="BP17" i="11"/>
  <c r="BO17" i="11"/>
  <c r="BM17" i="11"/>
  <c r="BL17" i="11"/>
  <c r="BK17" i="11"/>
  <c r="BJ17" i="11"/>
  <c r="BH17" i="11"/>
  <c r="BG17" i="11"/>
  <c r="BF17" i="11"/>
  <c r="BE17" i="11"/>
  <c r="BC17" i="11"/>
  <c r="BB17" i="11"/>
  <c r="BA17" i="11"/>
  <c r="AZ17" i="11"/>
  <c r="AX17" i="11"/>
  <c r="AW17" i="11"/>
  <c r="AV17" i="11"/>
  <c r="AU17" i="11"/>
  <c r="AS17" i="11"/>
  <c r="AR17" i="11"/>
  <c r="AQ17" i="11"/>
  <c r="AP17" i="11"/>
  <c r="AN17" i="11"/>
  <c r="AM17" i="11"/>
  <c r="AL17" i="11"/>
  <c r="AK17" i="11"/>
  <c r="AI17" i="11"/>
  <c r="AH17" i="11"/>
  <c r="AG17" i="11"/>
  <c r="AF17" i="11"/>
  <c r="AE17" i="11"/>
  <c r="AD17" i="11"/>
  <c r="AC17" i="11"/>
  <c r="AB17" i="11"/>
  <c r="AA17" i="11"/>
  <c r="Y17" i="11"/>
  <c r="X17" i="11"/>
  <c r="W17" i="11"/>
  <c r="CV16" i="11"/>
  <c r="CU16" i="11"/>
  <c r="CT16" i="11"/>
  <c r="CS16" i="11"/>
  <c r="CQ16" i="11"/>
  <c r="CP16" i="11"/>
  <c r="CO16" i="11"/>
  <c r="CN16" i="11"/>
  <c r="CL16" i="11"/>
  <c r="CK16" i="11"/>
  <c r="CJ16" i="11"/>
  <c r="CI16" i="11"/>
  <c r="CG16" i="11"/>
  <c r="CF16" i="11"/>
  <c r="CE16" i="11"/>
  <c r="CD16" i="11"/>
  <c r="CB16" i="11"/>
  <c r="CA16" i="11"/>
  <c r="BZ16" i="11"/>
  <c r="BY16" i="11"/>
  <c r="BW16" i="11"/>
  <c r="BV16" i="11"/>
  <c r="BU16" i="11"/>
  <c r="BT16" i="11"/>
  <c r="BR16" i="11"/>
  <c r="BQ16" i="11"/>
  <c r="BP16" i="11"/>
  <c r="BO16" i="11"/>
  <c r="BM16" i="11"/>
  <c r="BL16" i="11"/>
  <c r="BK16" i="11"/>
  <c r="BJ16" i="11"/>
  <c r="BH16" i="11"/>
  <c r="BG16" i="11"/>
  <c r="BF16" i="11"/>
  <c r="BE16" i="11"/>
  <c r="BC16" i="11"/>
  <c r="BB16" i="11"/>
  <c r="BA16" i="11"/>
  <c r="AZ16" i="11"/>
  <c r="AX16" i="11"/>
  <c r="AW16" i="11"/>
  <c r="AV16" i="11"/>
  <c r="AU16" i="11"/>
  <c r="AS16" i="11"/>
  <c r="AR16" i="11"/>
  <c r="AQ16" i="11"/>
  <c r="AP16" i="11"/>
  <c r="AN16" i="11"/>
  <c r="AM16" i="11"/>
  <c r="AL16" i="11"/>
  <c r="AK16" i="11"/>
  <c r="AI16" i="11"/>
  <c r="AH16" i="11"/>
  <c r="AG16" i="11"/>
  <c r="AF16" i="11"/>
  <c r="AD16" i="11"/>
  <c r="AC16" i="11"/>
  <c r="AB16" i="11"/>
  <c r="AA16" i="11"/>
  <c r="Y16" i="11"/>
  <c r="X16" i="11"/>
  <c r="W16" i="11"/>
  <c r="V16" i="11"/>
  <c r="CV15" i="11"/>
  <c r="CU15" i="11"/>
  <c r="CT15" i="11"/>
  <c r="CS15" i="11"/>
  <c r="CQ15" i="11"/>
  <c r="CP15" i="11"/>
  <c r="CO15" i="11"/>
  <c r="CN15" i="11"/>
  <c r="CN18" i="11" s="1"/>
  <c r="CM15" i="11"/>
  <c r="CL15" i="11"/>
  <c r="CK15" i="11"/>
  <c r="CJ15" i="11"/>
  <c r="CI15" i="11"/>
  <c r="CG15" i="11"/>
  <c r="CF15" i="11"/>
  <c r="CE15" i="11"/>
  <c r="CD15" i="11"/>
  <c r="CB15" i="11"/>
  <c r="CA15" i="11"/>
  <c r="BZ15" i="11"/>
  <c r="BY15" i="11"/>
  <c r="BW15" i="11"/>
  <c r="BV15" i="11"/>
  <c r="BU15" i="11"/>
  <c r="BT15" i="11"/>
  <c r="BT18" i="11" s="1"/>
  <c r="BR15" i="11"/>
  <c r="BQ15" i="11"/>
  <c r="BP15" i="11"/>
  <c r="BO15" i="11"/>
  <c r="BM15" i="11"/>
  <c r="BL15" i="11"/>
  <c r="BK15" i="11"/>
  <c r="BJ15" i="11"/>
  <c r="BH15" i="11"/>
  <c r="BG15" i="11"/>
  <c r="BF15" i="11"/>
  <c r="BE15" i="11"/>
  <c r="BC15" i="11"/>
  <c r="BB15" i="11"/>
  <c r="BA15" i="11"/>
  <c r="AZ15" i="11"/>
  <c r="AX15" i="11"/>
  <c r="AW15" i="11"/>
  <c r="AV15" i="11"/>
  <c r="AU15" i="11"/>
  <c r="AS15" i="11"/>
  <c r="AR15" i="11"/>
  <c r="AQ15" i="11"/>
  <c r="AP15" i="11"/>
  <c r="AN15" i="11"/>
  <c r="AM15" i="11"/>
  <c r="AL15" i="11"/>
  <c r="AK15" i="11"/>
  <c r="AI15" i="11"/>
  <c r="AH15" i="11"/>
  <c r="AG15" i="11"/>
  <c r="AL18" i="11" s="1"/>
  <c r="AF15" i="11"/>
  <c r="AK18" i="11" s="1"/>
  <c r="AD15" i="11"/>
  <c r="AC15" i="11"/>
  <c r="AB15" i="11"/>
  <c r="AA15" i="11"/>
  <c r="Y15" i="11"/>
  <c r="X15" i="11"/>
  <c r="W15" i="11"/>
  <c r="V15" i="11"/>
  <c r="T15" i="11"/>
  <c r="S15" i="11"/>
  <c r="R15" i="11"/>
  <c r="Q15" i="11"/>
  <c r="O15" i="11"/>
  <c r="N15" i="11"/>
  <c r="M15" i="11"/>
  <c r="L15" i="11"/>
  <c r="J15" i="11"/>
  <c r="I15" i="11"/>
  <c r="H15" i="11"/>
  <c r="G15" i="11"/>
  <c r="F15" i="11"/>
  <c r="CW14" i="11"/>
  <c r="CR14" i="11"/>
  <c r="CM14" i="11"/>
  <c r="CH14" i="11"/>
  <c r="CC14" i="11"/>
  <c r="BX14" i="11"/>
  <c r="BS14" i="11"/>
  <c r="BN14" i="11"/>
  <c r="BI14" i="11"/>
  <c r="BD14" i="11"/>
  <c r="AY14" i="11"/>
  <c r="AT14" i="11"/>
  <c r="AO14" i="11"/>
  <c r="AJ14" i="11"/>
  <c r="AE14" i="11"/>
  <c r="Z14" i="11"/>
  <c r="U14" i="11"/>
  <c r="P14" i="11"/>
  <c r="K14" i="11"/>
  <c r="CW13" i="11"/>
  <c r="CR13" i="11"/>
  <c r="CM13" i="11"/>
  <c r="CH13" i="11"/>
  <c r="CC13" i="11"/>
  <c r="BX13" i="11"/>
  <c r="BS13" i="11"/>
  <c r="BN13" i="11"/>
  <c r="BI13" i="11"/>
  <c r="BD13" i="11"/>
  <c r="AY13" i="11"/>
  <c r="AT13" i="11"/>
  <c r="AO13" i="11"/>
  <c r="AJ13" i="11"/>
  <c r="AE13" i="11"/>
  <c r="Z13" i="11"/>
  <c r="U13" i="11"/>
  <c r="P13" i="11"/>
  <c r="K13" i="11"/>
  <c r="DF11" i="11"/>
  <c r="DE11" i="11"/>
  <c r="DD11" i="11"/>
  <c r="DC11" i="11"/>
  <c r="DA11" i="11"/>
  <c r="CZ11" i="11"/>
  <c r="CY11" i="11"/>
  <c r="CX11" i="11"/>
  <c r="CV11" i="11"/>
  <c r="CU11" i="11"/>
  <c r="CT11" i="11"/>
  <c r="CS11" i="11"/>
  <c r="CQ11" i="11"/>
  <c r="CP11" i="11"/>
  <c r="CO11" i="11"/>
  <c r="CN11" i="11"/>
  <c r="CL11" i="11"/>
  <c r="CK11" i="11"/>
  <c r="CJ11" i="11"/>
  <c r="CI11" i="11"/>
  <c r="CG11" i="11"/>
  <c r="CF11" i="11"/>
  <c r="CE11" i="11"/>
  <c r="CD11" i="11"/>
  <c r="CB11" i="11"/>
  <c r="CA11" i="11"/>
  <c r="BZ11" i="11"/>
  <c r="BY11" i="11"/>
  <c r="DF10" i="11"/>
  <c r="DE10" i="11"/>
  <c r="DD10" i="11"/>
  <c r="DC10" i="11"/>
  <c r="DA10" i="11"/>
  <c r="CZ10" i="11"/>
  <c r="CY10" i="11"/>
  <c r="CX10" i="11"/>
  <c r="CV10" i="11"/>
  <c r="CU10" i="11"/>
  <c r="CT10" i="11"/>
  <c r="CS10" i="11"/>
  <c r="CQ10" i="11"/>
  <c r="CP10" i="11"/>
  <c r="CO10" i="11"/>
  <c r="CN10" i="11"/>
  <c r="CL10" i="11"/>
  <c r="CK10" i="11"/>
  <c r="CJ10" i="11"/>
  <c r="CI10" i="11"/>
  <c r="CG10" i="11"/>
  <c r="CF10" i="11"/>
  <c r="CE10" i="11"/>
  <c r="CD10" i="11"/>
  <c r="CB10" i="11"/>
  <c r="CA10" i="11"/>
  <c r="BZ10" i="11"/>
  <c r="DF9" i="11"/>
  <c r="AD12" i="13" s="1"/>
  <c r="DE9" i="11"/>
  <c r="AC12" i="13" s="1"/>
  <c r="DD9" i="11"/>
  <c r="AB12" i="13" s="1"/>
  <c r="DC9" i="11"/>
  <c r="Y12" i="13"/>
  <c r="CZ9" i="11"/>
  <c r="X12" i="13" s="1"/>
  <c r="CY9" i="11"/>
  <c r="W12" i="13" s="1"/>
  <c r="CX9" i="11"/>
  <c r="V12" i="13" s="1"/>
  <c r="CV9" i="11"/>
  <c r="T12" i="13" s="1"/>
  <c r="CU9" i="11"/>
  <c r="S12" i="13" s="1"/>
  <c r="CT9" i="11"/>
  <c r="CS9" i="11"/>
  <c r="Q12" i="13" s="1"/>
  <c r="CQ9" i="11"/>
  <c r="O12" i="13" s="1"/>
  <c r="CP9" i="11"/>
  <c r="N12" i="13" s="1"/>
  <c r="CO9" i="11"/>
  <c r="M12" i="13" s="1"/>
  <c r="CN9" i="11"/>
  <c r="L12" i="13" s="1"/>
  <c r="CL9" i="11"/>
  <c r="J12" i="13" s="1"/>
  <c r="CK9" i="11"/>
  <c r="I12" i="13" s="1"/>
  <c r="CJ9" i="11"/>
  <c r="H12" i="13" s="1"/>
  <c r="CI9" i="11"/>
  <c r="G12" i="13" s="1"/>
  <c r="CG9" i="11"/>
  <c r="CF9" i="11"/>
  <c r="CE9" i="11"/>
  <c r="CD9" i="11"/>
  <c r="CB9" i="11"/>
  <c r="CA9" i="11"/>
  <c r="BZ9" i="11"/>
  <c r="BY9" i="11"/>
  <c r="BW9" i="11"/>
  <c r="BV9" i="11"/>
  <c r="BU9" i="11"/>
  <c r="BT9" i="11"/>
  <c r="BS9" i="11"/>
  <c r="BR9" i="11"/>
  <c r="DK8" i="11"/>
  <c r="DJ8" i="11"/>
  <c r="DI8" i="11"/>
  <c r="DH8" i="11"/>
  <c r="DH9" i="11" s="1"/>
  <c r="AF12" i="13" s="1"/>
  <c r="DG8" i="11"/>
  <c r="DB8" i="11"/>
  <c r="CW8" i="11"/>
  <c r="CR8" i="11"/>
  <c r="CM8" i="11"/>
  <c r="CH8" i="11"/>
  <c r="CC8" i="11"/>
  <c r="BX8" i="11"/>
  <c r="DK7" i="11"/>
  <c r="DJ7" i="11"/>
  <c r="DI7" i="11"/>
  <c r="DH7" i="11"/>
  <c r="DG7" i="11"/>
  <c r="DB7" i="11"/>
  <c r="DG10" i="11" s="1"/>
  <c r="CW7" i="11"/>
  <c r="CR7" i="11"/>
  <c r="CM7" i="11"/>
  <c r="CH7" i="11"/>
  <c r="CC7" i="11"/>
  <c r="BX7" i="11"/>
  <c r="AE6" i="13" l="1"/>
  <c r="C19" i="4"/>
  <c r="C26" i="4" s="1"/>
  <c r="I117" i="7"/>
  <c r="C43" i="2"/>
  <c r="J117" i="7"/>
  <c r="D43" i="2"/>
  <c r="J12" i="7"/>
  <c r="D55" i="2"/>
  <c r="L117" i="7"/>
  <c r="F43" i="2"/>
  <c r="K12" i="7"/>
  <c r="E55" i="2"/>
  <c r="L12" i="7"/>
  <c r="F55" i="2"/>
  <c r="F30" i="2"/>
  <c r="F29" i="2"/>
  <c r="J139" i="7"/>
  <c r="C38" i="2"/>
  <c r="K117" i="7"/>
  <c r="E43" i="2"/>
  <c r="K139" i="7"/>
  <c r="D38" i="2"/>
  <c r="C14" i="2"/>
  <c r="C15" i="2"/>
  <c r="L139" i="7"/>
  <c r="E38" i="2"/>
  <c r="M139" i="7"/>
  <c r="F38" i="2"/>
  <c r="I12" i="7"/>
  <c r="C55" i="2"/>
  <c r="L11" i="6"/>
  <c r="L12" i="6" s="1"/>
  <c r="BD176" i="11"/>
  <c r="CR226" i="11"/>
  <c r="U117" i="11"/>
  <c r="CW117" i="11"/>
  <c r="DL120" i="11"/>
  <c r="DM120" i="11" s="1"/>
  <c r="DN120" i="11" s="1"/>
  <c r="DO120" i="11" s="1"/>
  <c r="DP120" i="11" s="1"/>
  <c r="DP499" i="11"/>
  <c r="CC219" i="11"/>
  <c r="DD119" i="11"/>
  <c r="BZ12" i="11"/>
  <c r="CT12" i="11"/>
  <c r="AM18" i="11"/>
  <c r="CV27" i="11"/>
  <c r="CK119" i="11"/>
  <c r="BZ131" i="11"/>
  <c r="BL209" i="11"/>
  <c r="CF209" i="11"/>
  <c r="BG297" i="11"/>
  <c r="CQ119" i="11"/>
  <c r="BN162" i="11"/>
  <c r="AA183" i="11"/>
  <c r="AZ183" i="11"/>
  <c r="CT189" i="11"/>
  <c r="AK240" i="11"/>
  <c r="BH297" i="11"/>
  <c r="AO305" i="11"/>
  <c r="BE335" i="11"/>
  <c r="AJ353" i="11"/>
  <c r="R355" i="11"/>
  <c r="BD15" i="11"/>
  <c r="CO12" i="11"/>
  <c r="CP52" i="11"/>
  <c r="AJ73" i="11"/>
  <c r="AJ76" i="11" s="1"/>
  <c r="BS99" i="11"/>
  <c r="BH113" i="11"/>
  <c r="BE164" i="11"/>
  <c r="H323" i="11"/>
  <c r="BA199" i="11"/>
  <c r="DL47" i="11"/>
  <c r="J52" i="11"/>
  <c r="BW52" i="11"/>
  <c r="Y271" i="11"/>
  <c r="AR302" i="11"/>
  <c r="BA18" i="11"/>
  <c r="AZ113" i="11"/>
  <c r="AV119" i="11"/>
  <c r="K116" i="11"/>
  <c r="CM116" i="11"/>
  <c r="AI39" i="11"/>
  <c r="BX111" i="11"/>
  <c r="U118" i="11"/>
  <c r="CW118" i="11"/>
  <c r="BY12" i="11"/>
  <c r="CJ95" i="11"/>
  <c r="CI448" i="11"/>
  <c r="BU18" i="11"/>
  <c r="L113" i="11"/>
  <c r="BD181" i="11"/>
  <c r="X308" i="11"/>
  <c r="BM200" i="11"/>
  <c r="BN227" i="11"/>
  <c r="BN239" i="11"/>
  <c r="BN245" i="11"/>
  <c r="P269" i="11"/>
  <c r="AE268" i="11"/>
  <c r="BP355" i="11"/>
  <c r="CH432" i="11"/>
  <c r="AE15" i="11"/>
  <c r="BT200" i="11"/>
  <c r="DF199" i="11"/>
  <c r="AD8" i="13" s="1"/>
  <c r="CW207" i="11"/>
  <c r="BD221" i="11"/>
  <c r="AV277" i="11"/>
  <c r="AF418" i="11"/>
  <c r="AZ418" i="11"/>
  <c r="BT418" i="11"/>
  <c r="CN418" i="11"/>
  <c r="CL46" i="11"/>
  <c r="Z117" i="11"/>
  <c r="DB117" i="11"/>
  <c r="BN175" i="11"/>
  <c r="BY252" i="11"/>
  <c r="Z422" i="11"/>
  <c r="R12" i="13"/>
  <c r="BI51" i="11"/>
  <c r="DI61" i="11"/>
  <c r="CH80" i="11"/>
  <c r="AE290" i="11"/>
  <c r="AJ422" i="11"/>
  <c r="CM81" i="11"/>
  <c r="CM82" i="11"/>
  <c r="BX162" i="11"/>
  <c r="CC212" i="11"/>
  <c r="BP428" i="11"/>
  <c r="BX99" i="11"/>
  <c r="BS111" i="11"/>
  <c r="CC129" i="11"/>
  <c r="AY75" i="11"/>
  <c r="CM250" i="11"/>
  <c r="BD269" i="11"/>
  <c r="BF271" i="11"/>
  <c r="DH449" i="11"/>
  <c r="M9" i="13"/>
  <c r="CV12" i="11"/>
  <c r="CV18" i="11"/>
  <c r="AH52" i="11"/>
  <c r="DF158" i="11"/>
  <c r="BH201" i="11"/>
  <c r="CD252" i="11"/>
  <c r="BJ258" i="11"/>
  <c r="S271" i="11"/>
  <c r="BA277" i="11"/>
  <c r="N9" i="13"/>
  <c r="DG9" i="11"/>
  <c r="AE12" i="13" s="1"/>
  <c r="BR64" i="11"/>
  <c r="CB138" i="11"/>
  <c r="BK252" i="11"/>
  <c r="O9" i="13"/>
  <c r="CH11" i="11"/>
  <c r="DK9" i="11"/>
  <c r="DG30" i="11"/>
  <c r="BW83" i="11"/>
  <c r="AQ113" i="11"/>
  <c r="AM119" i="11"/>
  <c r="CS151" i="11"/>
  <c r="BQ164" i="11"/>
  <c r="DE164" i="11"/>
  <c r="BH199" i="11"/>
  <c r="BR209" i="11"/>
  <c r="AC228" i="11"/>
  <c r="BQ258" i="11"/>
  <c r="BD361" i="11"/>
  <c r="U111" i="11"/>
  <c r="DD200" i="11"/>
  <c r="BT209" i="11"/>
  <c r="CF448" i="11"/>
  <c r="AA12" i="13"/>
  <c r="CC17" i="11"/>
  <c r="CR206" i="11"/>
  <c r="BI257" i="11"/>
  <c r="Z321" i="11"/>
  <c r="BQ436" i="11"/>
  <c r="CG448" i="11"/>
  <c r="DB123" i="11"/>
  <c r="CH128" i="11"/>
  <c r="DF138" i="11"/>
  <c r="CW149" i="11"/>
  <c r="CO164" i="11"/>
  <c r="Z181" i="11"/>
  <c r="CG200" i="11"/>
  <c r="BX432" i="11"/>
  <c r="CB12" i="11"/>
  <c r="CJ46" i="11"/>
  <c r="BN112" i="11"/>
  <c r="BD144" i="11"/>
  <c r="BV164" i="11"/>
  <c r="CP164" i="11"/>
  <c r="BI175" i="11"/>
  <c r="CW174" i="11"/>
  <c r="AE181" i="11"/>
  <c r="BU201" i="11"/>
  <c r="BQ234" i="11"/>
  <c r="BI243" i="11"/>
  <c r="BH335" i="11"/>
  <c r="AI341" i="11"/>
  <c r="AE365" i="11"/>
  <c r="BQ418" i="11"/>
  <c r="CC432" i="11"/>
  <c r="BF424" i="11"/>
  <c r="BL428" i="11"/>
  <c r="BJ442" i="11"/>
  <c r="DH445" i="11"/>
  <c r="O107" i="7"/>
  <c r="O110" i="7"/>
  <c r="N152" i="7"/>
  <c r="O93" i="7"/>
  <c r="O142" i="7"/>
  <c r="N35" i="7"/>
  <c r="M127" i="7"/>
  <c r="AL23" i="13"/>
  <c r="AK23" i="13"/>
  <c r="AK22" i="13"/>
  <c r="AL22" i="13"/>
  <c r="AM22" i="13"/>
  <c r="AJ27" i="13"/>
  <c r="AF28" i="13"/>
  <c r="AH36" i="13"/>
  <c r="AG63" i="13"/>
  <c r="K57" i="13"/>
  <c r="AG28" i="13"/>
  <c r="AH28" i="13"/>
  <c r="AE59" i="13"/>
  <c r="AI28" i="13"/>
  <c r="U57" i="13"/>
  <c r="AE57" i="13"/>
  <c r="R21" i="13"/>
  <c r="W28" i="13"/>
  <c r="Z57" i="13"/>
  <c r="K24" i="13"/>
  <c r="G28" i="13"/>
  <c r="Z26" i="13"/>
  <c r="H28" i="13"/>
  <c r="K27" i="13"/>
  <c r="AA28" i="13"/>
  <c r="AA57" i="13"/>
  <c r="X28" i="13"/>
  <c r="K23" i="13"/>
  <c r="AB28" i="13"/>
  <c r="V60" i="13"/>
  <c r="AF63" i="13"/>
  <c r="AC28" i="13"/>
  <c r="I59" i="13"/>
  <c r="K19" i="13"/>
  <c r="L28" i="13"/>
  <c r="AD28" i="13"/>
  <c r="N57" i="13"/>
  <c r="AE27" i="13"/>
  <c r="AA59" i="13"/>
  <c r="I60" i="13"/>
  <c r="Z18" i="13"/>
  <c r="P19" i="13"/>
  <c r="L59" i="13"/>
  <c r="Q28" i="13"/>
  <c r="K26" i="13"/>
  <c r="M26" i="13"/>
  <c r="N26" i="13"/>
  <c r="W18" i="11"/>
  <c r="CD18" i="11"/>
  <c r="CC55" i="11"/>
  <c r="DK70" i="11"/>
  <c r="AE73" i="11"/>
  <c r="AE76" i="11" s="1"/>
  <c r="CW122" i="11"/>
  <c r="CT151" i="11"/>
  <c r="BX213" i="11"/>
  <c r="CP215" i="11"/>
  <c r="CK240" i="11"/>
  <c r="CW245" i="11"/>
  <c r="AJ269" i="11"/>
  <c r="BD301" i="11"/>
  <c r="U328" i="11"/>
  <c r="Q371" i="11"/>
  <c r="BM385" i="11"/>
  <c r="AG418" i="11"/>
  <c r="BA418" i="11"/>
  <c r="BU418" i="11"/>
  <c r="CO418" i="11"/>
  <c r="CJ12" i="11"/>
  <c r="CR15" i="11"/>
  <c r="CE18" i="11"/>
  <c r="CW68" i="11"/>
  <c r="CD83" i="11"/>
  <c r="CI131" i="11"/>
  <c r="DE138" i="11"/>
  <c r="CM181" i="11"/>
  <c r="CZ201" i="11"/>
  <c r="CM212" i="11"/>
  <c r="BR240" i="11"/>
  <c r="BI245" i="11"/>
  <c r="BW271" i="11"/>
  <c r="CJ389" i="11"/>
  <c r="BB418" i="11"/>
  <c r="BV418" i="11"/>
  <c r="CT448" i="11"/>
  <c r="CW446" i="11"/>
  <c r="AJ144" i="11"/>
  <c r="V52" i="11"/>
  <c r="CJ131" i="11"/>
  <c r="DH138" i="11"/>
  <c r="CJ209" i="11"/>
  <c r="CS215" i="11"/>
  <c r="P231" i="11"/>
  <c r="BZ234" i="11"/>
  <c r="CU234" i="11"/>
  <c r="AZ240" i="11"/>
  <c r="BT240" i="11"/>
  <c r="CN240" i="11"/>
  <c r="BC246" i="11"/>
  <c r="O271" i="11"/>
  <c r="AI271" i="11"/>
  <c r="BC271" i="11"/>
  <c r="AW277" i="11"/>
  <c r="BA302" i="11"/>
  <c r="L308" i="11"/>
  <c r="AZ308" i="11"/>
  <c r="AK323" i="11"/>
  <c r="L329" i="11"/>
  <c r="BM349" i="11"/>
  <c r="DK445" i="11"/>
  <c r="DK448" i="11" s="1"/>
  <c r="AO365" i="11"/>
  <c r="AY207" i="11"/>
  <c r="AJ416" i="11"/>
  <c r="DF52" i="11"/>
  <c r="CG64" i="11"/>
  <c r="BB101" i="11"/>
  <c r="AA119" i="11"/>
  <c r="AU119" i="11"/>
  <c r="BO119" i="11"/>
  <c r="CZ125" i="11"/>
  <c r="CR128" i="11"/>
  <c r="CF200" i="11"/>
  <c r="CM213" i="11"/>
  <c r="AN222" i="11"/>
  <c r="CB222" i="11"/>
  <c r="AX277" i="11"/>
  <c r="T291" i="11"/>
  <c r="CG389" i="11"/>
  <c r="CM11" i="11"/>
  <c r="BN417" i="11"/>
  <c r="BI144" i="11"/>
  <c r="DG163" i="11"/>
  <c r="BX181" i="11"/>
  <c r="CH112" i="11"/>
  <c r="CY194" i="11"/>
  <c r="AT227" i="11"/>
  <c r="P249" i="11"/>
  <c r="Z370" i="11"/>
  <c r="AO16" i="11"/>
  <c r="CF18" i="11"/>
  <c r="BS37" i="11"/>
  <c r="BS38" i="11"/>
  <c r="CR44" i="11"/>
  <c r="BN45" i="11"/>
  <c r="R101" i="11"/>
  <c r="K110" i="11"/>
  <c r="AO116" i="11"/>
  <c r="DI116" i="11"/>
  <c r="DI119" i="11" s="1"/>
  <c r="AX119" i="11"/>
  <c r="BR119" i="11"/>
  <c r="DF119" i="11"/>
  <c r="CZ194" i="11"/>
  <c r="CP195" i="11"/>
  <c r="CH207" i="11"/>
  <c r="X222" i="11"/>
  <c r="AT245" i="11"/>
  <c r="AR252" i="11"/>
  <c r="BR445" i="11"/>
  <c r="BW448" i="11" s="1"/>
  <c r="L185" i="7"/>
  <c r="CM237" i="11"/>
  <c r="CQ46" i="11"/>
  <c r="CF83" i="11"/>
  <c r="CY83" i="11"/>
  <c r="DK101" i="11"/>
  <c r="BG101" i="11"/>
  <c r="CI189" i="11"/>
  <c r="CQ195" i="11"/>
  <c r="V271" i="11"/>
  <c r="M335" i="11"/>
  <c r="CD418" i="11"/>
  <c r="BG429" i="11"/>
  <c r="BQ454" i="11"/>
  <c r="BS182" i="11"/>
  <c r="U238" i="11"/>
  <c r="CC45" i="11"/>
  <c r="BY46" i="11"/>
  <c r="CS46" i="11"/>
  <c r="DI55" i="11"/>
  <c r="DI58" i="11" s="1"/>
  <c r="BP58" i="11"/>
  <c r="BV76" i="11"/>
  <c r="CG83" i="11"/>
  <c r="CT95" i="11"/>
  <c r="DK104" i="11"/>
  <c r="DK107" i="11" s="1"/>
  <c r="BY113" i="11"/>
  <c r="CB131" i="11"/>
  <c r="BB200" i="11"/>
  <c r="DF395" i="11"/>
  <c r="CO201" i="11"/>
  <c r="AN234" i="11"/>
  <c r="CI231" i="11"/>
  <c r="CN234" i="11" s="1"/>
  <c r="BS238" i="11"/>
  <c r="BM258" i="11"/>
  <c r="AV271" i="11"/>
  <c r="AO346" i="11"/>
  <c r="CU415" i="11"/>
  <c r="DG500" i="11"/>
  <c r="CW17" i="11"/>
  <c r="CG18" i="11"/>
  <c r="BZ46" i="11"/>
  <c r="DJ55" i="11"/>
  <c r="DJ58" i="11" s="1"/>
  <c r="BC76" i="11"/>
  <c r="DA83" i="11"/>
  <c r="CF177" i="11"/>
  <c r="CX194" i="11"/>
  <c r="BC200" i="11"/>
  <c r="H222" i="11"/>
  <c r="AY231" i="11"/>
  <c r="J271" i="11"/>
  <c r="DC439" i="11"/>
  <c r="BN73" i="11"/>
  <c r="AB101" i="11"/>
  <c r="AQ101" i="11"/>
  <c r="BH119" i="11"/>
  <c r="BF164" i="11"/>
  <c r="BZ164" i="11"/>
  <c r="CT164" i="11"/>
  <c r="BM177" i="11"/>
  <c r="CN228" i="11"/>
  <c r="AD271" i="11"/>
  <c r="BB341" i="11"/>
  <c r="BB427" i="11"/>
  <c r="AY347" i="11"/>
  <c r="BI417" i="11"/>
  <c r="AT16" i="11"/>
  <c r="CQ12" i="11"/>
  <c r="BC18" i="11"/>
  <c r="CL18" i="11"/>
  <c r="CM45" i="11"/>
  <c r="AM52" i="11"/>
  <c r="CC56" i="11"/>
  <c r="AZ58" i="11"/>
  <c r="CN58" i="11"/>
  <c r="BD74" i="11"/>
  <c r="BF76" i="11"/>
  <c r="BZ76" i="11"/>
  <c r="CO83" i="11"/>
  <c r="BG164" i="11"/>
  <c r="CA164" i="11"/>
  <c r="CU164" i="11"/>
  <c r="BI181" i="11"/>
  <c r="BD182" i="11"/>
  <c r="CL183" i="11"/>
  <c r="M228" i="11"/>
  <c r="BI233" i="11"/>
  <c r="BS239" i="11"/>
  <c r="BS255" i="11"/>
  <c r="AF265" i="11"/>
  <c r="Z268" i="11"/>
  <c r="U369" i="11"/>
  <c r="BD439" i="11"/>
  <c r="BX118" i="11"/>
  <c r="BX163" i="11"/>
  <c r="U175" i="11"/>
  <c r="CW175" i="11"/>
  <c r="CM176" i="11"/>
  <c r="Z238" i="11"/>
  <c r="AY275" i="11"/>
  <c r="U368" i="11"/>
  <c r="CE388" i="11"/>
  <c r="AO416" i="11"/>
  <c r="CW25" i="11"/>
  <c r="AT50" i="11"/>
  <c r="CC51" i="11"/>
  <c r="DG81" i="11"/>
  <c r="DG82" i="11"/>
  <c r="Z175" i="11"/>
  <c r="P174" i="11"/>
  <c r="CR176" i="11"/>
  <c r="AY227" i="11"/>
  <c r="CR233" i="11"/>
  <c r="U263" i="11"/>
  <c r="AJ264" i="11"/>
  <c r="AT416" i="11"/>
  <c r="CC10" i="11"/>
  <c r="CW11" i="11"/>
  <c r="CO18" i="11"/>
  <c r="DG44" i="11"/>
  <c r="AG49" i="11"/>
  <c r="AL52" i="11" s="1"/>
  <c r="BS74" i="11"/>
  <c r="DL78" i="11"/>
  <c r="DL81" i="11" s="1"/>
  <c r="BN98" i="11"/>
  <c r="BL101" i="11"/>
  <c r="CW233" i="11"/>
  <c r="AT249" i="11"/>
  <c r="BN275" i="11"/>
  <c r="P320" i="11"/>
  <c r="P333" i="11"/>
  <c r="AH335" i="11"/>
  <c r="AT354" i="11"/>
  <c r="BD360" i="11"/>
  <c r="CD12" i="11"/>
  <c r="Z12" i="13"/>
  <c r="V18" i="11"/>
  <c r="BH18" i="11"/>
  <c r="BG46" i="11"/>
  <c r="CA46" i="11"/>
  <c r="BJ64" i="11"/>
  <c r="BY83" i="11"/>
  <c r="CX95" i="11"/>
  <c r="AC101" i="11"/>
  <c r="BG119" i="11"/>
  <c r="DJ138" i="11"/>
  <c r="CU151" i="11"/>
  <c r="BM164" i="11"/>
  <c r="AF177" i="11"/>
  <c r="BX180" i="11"/>
  <c r="CQ189" i="11"/>
  <c r="CJ222" i="11"/>
  <c r="BQ228" i="11"/>
  <c r="CV234" i="11"/>
  <c r="BP258" i="11"/>
  <c r="BK265" i="11"/>
  <c r="X323" i="11"/>
  <c r="AW323" i="11"/>
  <c r="BL323" i="11"/>
  <c r="X329" i="11"/>
  <c r="BC349" i="11"/>
  <c r="AJ352" i="11"/>
  <c r="N355" i="11"/>
  <c r="AH355" i="11"/>
  <c r="CI389" i="11"/>
  <c r="BC443" i="11"/>
  <c r="BH446" i="11" s="1"/>
  <c r="CB46" i="11"/>
  <c r="CV46" i="11"/>
  <c r="CT51" i="11"/>
  <c r="CF64" i="11"/>
  <c r="CZ64" i="11"/>
  <c r="CE76" i="11"/>
  <c r="CZ144" i="11"/>
  <c r="CV151" i="11"/>
  <c r="CN189" i="11"/>
  <c r="BX220" i="11"/>
  <c r="BI221" i="11"/>
  <c r="CD234" i="11"/>
  <c r="CX234" i="11"/>
  <c r="BD250" i="11"/>
  <c r="T308" i="11"/>
  <c r="AN308" i="11"/>
  <c r="U321" i="11"/>
  <c r="Z322" i="11"/>
  <c r="Y323" i="11"/>
  <c r="AS323" i="11"/>
  <c r="AP329" i="11"/>
  <c r="AJ348" i="11"/>
  <c r="O355" i="11"/>
  <c r="AB371" i="11"/>
  <c r="CC429" i="11"/>
  <c r="BE443" i="11"/>
  <c r="BE446" i="11" s="1"/>
  <c r="BM454" i="11"/>
  <c r="CR10" i="11"/>
  <c r="CD46" i="11"/>
  <c r="DB43" i="11"/>
  <c r="Z10" i="13" s="1"/>
  <c r="AE55" i="11"/>
  <c r="CF76" i="11"/>
  <c r="G101" i="11"/>
  <c r="AA101" i="11"/>
  <c r="BP101" i="11"/>
  <c r="CB113" i="11"/>
  <c r="CV113" i="11"/>
  <c r="BN144" i="11"/>
  <c r="DB141" i="11"/>
  <c r="Z9" i="13" s="1"/>
  <c r="CX151" i="11"/>
  <c r="CW163" i="11"/>
  <c r="CM168" i="11"/>
  <c r="AT175" i="11"/>
  <c r="BB177" i="11"/>
  <c r="CO183" i="11"/>
  <c r="DL190" i="11"/>
  <c r="DM190" i="11" s="1"/>
  <c r="DN190" i="11" s="1"/>
  <c r="DO190" i="11" s="1"/>
  <c r="DP190" i="11" s="1"/>
  <c r="CR211" i="11"/>
  <c r="CH226" i="11"/>
  <c r="CL258" i="11"/>
  <c r="AY294" i="11"/>
  <c r="AP308" i="11"/>
  <c r="AE322" i="11"/>
  <c r="G323" i="11"/>
  <c r="BA349" i="11"/>
  <c r="AE422" i="11"/>
  <c r="BO454" i="11"/>
  <c r="DI9" i="11"/>
  <c r="AG12" i="13" s="1"/>
  <c r="CU27" i="11"/>
  <c r="BB39" i="11"/>
  <c r="BK46" i="11"/>
  <c r="CY46" i="11"/>
  <c r="DH55" i="11"/>
  <c r="AU58" i="11"/>
  <c r="BO58" i="11"/>
  <c r="BM64" i="11"/>
  <c r="DF101" i="11"/>
  <c r="BS117" i="11"/>
  <c r="DB118" i="11"/>
  <c r="AL119" i="11"/>
  <c r="BS144" i="11"/>
  <c r="CN170" i="11"/>
  <c r="BB183" i="11"/>
  <c r="BV183" i="11"/>
  <c r="BS221" i="11"/>
  <c r="AZ222" i="11"/>
  <c r="BT222" i="11"/>
  <c r="CN222" i="11"/>
  <c r="AJ281" i="11"/>
  <c r="AX291" i="11"/>
  <c r="BR291" i="11"/>
  <c r="AV341" i="11"/>
  <c r="BS415" i="11"/>
  <c r="BO428" i="11"/>
  <c r="BP454" i="11"/>
  <c r="CC214" i="11"/>
  <c r="AG222" i="11"/>
  <c r="N228" i="11"/>
  <c r="BV246" i="11"/>
  <c r="CH255" i="11"/>
  <c r="Q39" i="11"/>
  <c r="CB52" i="11"/>
  <c r="DE58" i="11"/>
  <c r="BP64" i="11"/>
  <c r="DF107" i="11"/>
  <c r="DI144" i="11"/>
  <c r="DE144" i="11"/>
  <c r="BF209" i="11"/>
  <c r="AH222" i="11"/>
  <c r="BB222" i="11"/>
  <c r="BV222" i="11"/>
  <c r="U226" i="11"/>
  <c r="O228" i="11"/>
  <c r="AI228" i="11"/>
  <c r="BX251" i="11"/>
  <c r="BL277" i="11"/>
  <c r="BM297" i="11"/>
  <c r="AO301" i="11"/>
  <c r="AT322" i="11"/>
  <c r="T335" i="11"/>
  <c r="BJ335" i="11"/>
  <c r="CE418" i="11"/>
  <c r="BM502" i="11"/>
  <c r="DL7" i="11"/>
  <c r="AJ16" i="11"/>
  <c r="AO37" i="11"/>
  <c r="AQ39" i="11"/>
  <c r="BS44" i="11"/>
  <c r="AO51" i="11"/>
  <c r="DI49" i="11"/>
  <c r="DI52" i="11" s="1"/>
  <c r="BO52" i="11"/>
  <c r="CC49" i="11"/>
  <c r="CL58" i="11"/>
  <c r="DF58" i="11"/>
  <c r="BS62" i="11"/>
  <c r="BN63" i="11"/>
  <c r="BQ64" i="11"/>
  <c r="BM113" i="11"/>
  <c r="CG113" i="11"/>
  <c r="CD119" i="11"/>
  <c r="CH129" i="11"/>
  <c r="CQ138" i="11"/>
  <c r="Z180" i="11"/>
  <c r="AL183" i="11"/>
  <c r="BF183" i="11"/>
  <c r="CA215" i="11"/>
  <c r="CU215" i="11"/>
  <c r="U220" i="11"/>
  <c r="O222" i="11"/>
  <c r="AI222" i="11"/>
  <c r="BC222" i="11"/>
  <c r="BW222" i="11"/>
  <c r="Q228" i="11"/>
  <c r="BF246" i="11"/>
  <c r="BD255" i="11"/>
  <c r="CB258" i="11"/>
  <c r="BI263" i="11"/>
  <c r="AK283" i="11"/>
  <c r="BE283" i="11"/>
  <c r="AH291" i="11"/>
  <c r="AT301" i="11"/>
  <c r="V335" i="11"/>
  <c r="AQ335" i="11"/>
  <c r="Z365" i="11"/>
  <c r="CZ415" i="11"/>
  <c r="AY422" i="11"/>
  <c r="BD434" i="11"/>
  <c r="CB437" i="11"/>
  <c r="CG437" i="11" s="1"/>
  <c r="CG449" i="11" s="1"/>
  <c r="DC449" i="11"/>
  <c r="AY37" i="11"/>
  <c r="S39" i="11"/>
  <c r="CA39" i="11"/>
  <c r="AY51" i="11"/>
  <c r="BX62" i="11"/>
  <c r="AT75" i="11"/>
  <c r="CB83" i="11"/>
  <c r="CL95" i="11"/>
  <c r="CQ101" i="11"/>
  <c r="AA113" i="11"/>
  <c r="AU113" i="11"/>
  <c r="BO113" i="11"/>
  <c r="CN113" i="11"/>
  <c r="AQ119" i="11"/>
  <c r="CM129" i="11"/>
  <c r="BE138" i="11"/>
  <c r="BY138" i="11"/>
  <c r="CS138" i="11"/>
  <c r="CM167" i="11"/>
  <c r="AM183" i="11"/>
  <c r="BH215" i="11"/>
  <c r="CV215" i="11"/>
  <c r="V222" i="11"/>
  <c r="R228" i="11"/>
  <c r="CP234" i="11"/>
  <c r="BX237" i="11"/>
  <c r="BG246" i="11"/>
  <c r="BZ246" i="11"/>
  <c r="CD258" i="11"/>
  <c r="BD281" i="11"/>
  <c r="BA323" i="11"/>
  <c r="I355" i="11"/>
  <c r="BM418" i="11"/>
  <c r="CG418" i="11"/>
  <c r="CS502" i="11"/>
  <c r="DF27" i="11"/>
  <c r="U36" i="11"/>
  <c r="AS39" i="11"/>
  <c r="BH39" i="11"/>
  <c r="CB39" i="11"/>
  <c r="BA58" i="11"/>
  <c r="BU58" i="11"/>
  <c r="CO58" i="11"/>
  <c r="CC57" i="11"/>
  <c r="BE64" i="11"/>
  <c r="BT64" i="11"/>
  <c r="CO64" i="11"/>
  <c r="AB113" i="11"/>
  <c r="BP113" i="11"/>
  <c r="BZ138" i="11"/>
  <c r="CT138" i="11"/>
  <c r="BW164" i="11"/>
  <c r="CD177" i="11"/>
  <c r="CV183" i="11"/>
  <c r="CN195" i="11"/>
  <c r="CC197" i="11"/>
  <c r="BJ209" i="11"/>
  <c r="CX209" i="11"/>
  <c r="CI214" i="11"/>
  <c r="AL222" i="11"/>
  <c r="AU277" i="11"/>
  <c r="AM283" i="11"/>
  <c r="BL283" i="11"/>
  <c r="BE291" i="11"/>
  <c r="AW308" i="11"/>
  <c r="AF371" i="11"/>
  <c r="BI394" i="11"/>
  <c r="BJ427" i="11"/>
  <c r="BG454" i="11"/>
  <c r="BE452" i="11"/>
  <c r="BX75" i="11"/>
  <c r="DK33" i="11"/>
  <c r="AA39" i="11"/>
  <c r="AT36" i="11"/>
  <c r="CW50" i="11"/>
  <c r="BD51" i="11"/>
  <c r="CR56" i="11"/>
  <c r="BV58" i="11"/>
  <c r="CH61" i="11"/>
  <c r="CX83" i="11"/>
  <c r="AE100" i="11"/>
  <c r="DH101" i="11"/>
  <c r="BS110" i="11"/>
  <c r="BQ113" i="11"/>
  <c r="AS119" i="11"/>
  <c r="DA119" i="11"/>
  <c r="BG138" i="11"/>
  <c r="CA138" i="11"/>
  <c r="BS162" i="11"/>
  <c r="BD163" i="11"/>
  <c r="AT213" i="11"/>
  <c r="AT212" i="11"/>
  <c r="AT215" i="11" s="1"/>
  <c r="BK215" i="11"/>
  <c r="CD212" i="11"/>
  <c r="CD215" i="11" s="1"/>
  <c r="AJ219" i="11"/>
  <c r="G228" i="11"/>
  <c r="AS228" i="11"/>
  <c r="K231" i="11"/>
  <c r="BS256" i="11"/>
  <c r="BB271" i="11"/>
  <c r="BM283" i="11"/>
  <c r="R291" i="11"/>
  <c r="BK291" i="11"/>
  <c r="AD308" i="11"/>
  <c r="Z328" i="11"/>
  <c r="Y335" i="11"/>
  <c r="AU335" i="11"/>
  <c r="AH341" i="11"/>
  <c r="BN394" i="11"/>
  <c r="BP418" i="11"/>
  <c r="BS443" i="11"/>
  <c r="BX446" i="11" s="1"/>
  <c r="BW450" i="11"/>
  <c r="BW453" i="11" s="1"/>
  <c r="BC451" i="11"/>
  <c r="BD451" i="11" s="1"/>
  <c r="BD98" i="11"/>
  <c r="AP101" i="11"/>
  <c r="DG116" i="11"/>
  <c r="CH174" i="11"/>
  <c r="CJ183" i="11"/>
  <c r="CK195" i="11"/>
  <c r="BI206" i="11"/>
  <c r="AW209" i="11"/>
  <c r="CM231" i="11"/>
  <c r="CG258" i="11"/>
  <c r="AO275" i="11"/>
  <c r="BL291" i="11"/>
  <c r="U352" i="11"/>
  <c r="DK388" i="11"/>
  <c r="BP446" i="11"/>
  <c r="BE451" i="11"/>
  <c r="AT17" i="11"/>
  <c r="CR21" i="11"/>
  <c r="AC39" i="11"/>
  <c r="BI45" i="11"/>
  <c r="DG50" i="11"/>
  <c r="AY73" i="11"/>
  <c r="CR82" i="11"/>
  <c r="DJ101" i="11"/>
  <c r="BK101" i="11"/>
  <c r="AT110" i="11"/>
  <c r="DJ110" i="11"/>
  <c r="DJ113" i="11" s="1"/>
  <c r="AK113" i="11"/>
  <c r="AE117" i="11"/>
  <c r="DG117" i="11"/>
  <c r="AE144" i="11"/>
  <c r="CX144" i="11"/>
  <c r="BN161" i="11"/>
  <c r="CI170" i="11"/>
  <c r="CH176" i="11"/>
  <c r="BQ183" i="11"/>
  <c r="AU222" i="11"/>
  <c r="CR231" i="11"/>
  <c r="CH239" i="11"/>
  <c r="U264" i="11"/>
  <c r="AV283" i="11"/>
  <c r="AM302" i="11"/>
  <c r="Y317" i="11"/>
  <c r="BC424" i="11"/>
  <c r="BB436" i="11"/>
  <c r="BW439" i="11"/>
  <c r="BQ446" i="11"/>
  <c r="BR447" i="11"/>
  <c r="H117" i="7"/>
  <c r="H129" i="7" s="1"/>
  <c r="C154" i="7"/>
  <c r="C155" i="7" s="1"/>
  <c r="F37" i="7"/>
  <c r="G37" i="7"/>
  <c r="H35" i="7"/>
  <c r="F129" i="7"/>
  <c r="F154" i="7"/>
  <c r="F155" i="7" s="1"/>
  <c r="K185" i="7"/>
  <c r="K77" i="7"/>
  <c r="L77" i="7"/>
  <c r="M77" i="7"/>
  <c r="E191" i="7"/>
  <c r="C24" i="7"/>
  <c r="C32" i="7" s="1"/>
  <c r="C79" i="7" s="1"/>
  <c r="C81" i="7" s="1"/>
  <c r="G185" i="7"/>
  <c r="E37" i="7"/>
  <c r="D24" i="7"/>
  <c r="D32" i="7" s="1"/>
  <c r="D39" i="7" s="1"/>
  <c r="D43" i="7" s="1"/>
  <c r="F24" i="7"/>
  <c r="F32" i="7" s="1"/>
  <c r="F79" i="7" s="1"/>
  <c r="F81" i="7" s="1"/>
  <c r="J175" i="7"/>
  <c r="J185" i="7"/>
  <c r="D37" i="7"/>
  <c r="D191" i="7"/>
  <c r="D96" i="7"/>
  <c r="D104" i="7" s="1"/>
  <c r="D129" i="7" s="1"/>
  <c r="C185" i="7"/>
  <c r="G191" i="7"/>
  <c r="D185" i="7"/>
  <c r="E185" i="7"/>
  <c r="E154" i="7"/>
  <c r="E155" i="7" s="1"/>
  <c r="C129" i="7"/>
  <c r="M24" i="7"/>
  <c r="I24" i="7"/>
  <c r="M111" i="7"/>
  <c r="J24" i="7"/>
  <c r="J25" i="7" s="1"/>
  <c r="E77" i="7"/>
  <c r="L104" i="7"/>
  <c r="K24" i="7"/>
  <c r="J159" i="7"/>
  <c r="H24" i="7"/>
  <c r="K159" i="7"/>
  <c r="D154" i="7"/>
  <c r="D155" i="7" s="1"/>
  <c r="L159" i="7"/>
  <c r="I77" i="7"/>
  <c r="M159" i="7"/>
  <c r="J77" i="7"/>
  <c r="E129" i="7"/>
  <c r="G154" i="7"/>
  <c r="G155" i="7" s="1"/>
  <c r="F185" i="7"/>
  <c r="L158" i="7"/>
  <c r="I96" i="7"/>
  <c r="I37" i="7"/>
  <c r="J96" i="7"/>
  <c r="J37" i="7"/>
  <c r="L37" i="7"/>
  <c r="K37" i="7"/>
  <c r="L191" i="7"/>
  <c r="K191" i="7"/>
  <c r="M37" i="7"/>
  <c r="M191" i="7"/>
  <c r="E24" i="7"/>
  <c r="K96" i="7"/>
  <c r="D175" i="7"/>
  <c r="F191" i="7"/>
  <c r="H37" i="7"/>
  <c r="G24" i="7"/>
  <c r="M96" i="7"/>
  <c r="E175" i="7"/>
  <c r="H191" i="7"/>
  <c r="K154" i="7"/>
  <c r="F175" i="7"/>
  <c r="I191" i="7"/>
  <c r="L154" i="7"/>
  <c r="G175" i="7"/>
  <c r="J191" i="7"/>
  <c r="M154" i="7"/>
  <c r="L24" i="7"/>
  <c r="K175" i="7"/>
  <c r="M12" i="7"/>
  <c r="G129" i="7"/>
  <c r="H154" i="7"/>
  <c r="L175" i="7"/>
  <c r="I154" i="7"/>
  <c r="D77" i="7"/>
  <c r="J154" i="7"/>
  <c r="F77" i="7"/>
  <c r="G77" i="7"/>
  <c r="H77" i="7"/>
  <c r="BV64" i="11"/>
  <c r="BI111" i="11"/>
  <c r="DL155" i="11"/>
  <c r="CW162" i="11"/>
  <c r="BN182" i="11"/>
  <c r="BI182" i="11"/>
  <c r="AT233" i="11"/>
  <c r="CM10" i="11"/>
  <c r="CC74" i="11"/>
  <c r="BD38" i="11"/>
  <c r="AS199" i="11"/>
  <c r="V228" i="11"/>
  <c r="BN249" i="11"/>
  <c r="P270" i="11"/>
  <c r="AO376" i="11"/>
  <c r="BS383" i="11"/>
  <c r="BD37" i="11"/>
  <c r="CF46" i="11"/>
  <c r="CZ46" i="11"/>
  <c r="W52" i="11"/>
  <c r="CX52" i="11"/>
  <c r="BW58" i="11"/>
  <c r="CG76" i="11"/>
  <c r="DA107" i="11"/>
  <c r="S113" i="11"/>
  <c r="BN118" i="11"/>
  <c r="CO138" i="11"/>
  <c r="BU164" i="11"/>
  <c r="BP164" i="11"/>
  <c r="DD164" i="11"/>
  <c r="W228" i="11"/>
  <c r="BS250" i="11"/>
  <c r="AO353" i="11"/>
  <c r="BD354" i="11"/>
  <c r="CG390" i="11"/>
  <c r="CM16" i="11"/>
  <c r="BX17" i="11"/>
  <c r="DB21" i="11"/>
  <c r="BI44" i="11"/>
  <c r="DG45" i="11"/>
  <c r="AJ47" i="11"/>
  <c r="AJ49" i="11" s="1"/>
  <c r="X52" i="11"/>
  <c r="AR52" i="11"/>
  <c r="BK52" i="11"/>
  <c r="CY52" i="11"/>
  <c r="CW56" i="11"/>
  <c r="BX55" i="11"/>
  <c r="CC58" i="11" s="1"/>
  <c r="BY58" i="11"/>
  <c r="CC63" i="11"/>
  <c r="BA64" i="11"/>
  <c r="AJ117" i="11"/>
  <c r="AY175" i="11"/>
  <c r="CH181" i="11"/>
  <c r="BX250" i="11"/>
  <c r="Q355" i="11"/>
  <c r="AY361" i="11"/>
  <c r="BG363" i="11"/>
  <c r="BC388" i="11"/>
  <c r="BC391" i="11" s="1"/>
  <c r="CI388" i="11"/>
  <c r="CN390" i="11"/>
  <c r="CI390" i="11"/>
  <c r="AR39" i="11"/>
  <c r="BL39" i="11"/>
  <c r="AJ43" i="11"/>
  <c r="DH43" i="11"/>
  <c r="AF10" i="13" s="1"/>
  <c r="AU46" i="11"/>
  <c r="BO46" i="11"/>
  <c r="AS52" i="11"/>
  <c r="BL52" i="11"/>
  <c r="CZ52" i="11"/>
  <c r="BF58" i="11"/>
  <c r="CE58" i="11"/>
  <c r="CM63" i="11"/>
  <c r="CI151" i="11"/>
  <c r="BD174" i="11"/>
  <c r="CQ177" i="11"/>
  <c r="CJ199" i="11"/>
  <c r="H8" i="13" s="1"/>
  <c r="CC249" i="11"/>
  <c r="CJ390" i="11"/>
  <c r="AR18" i="11"/>
  <c r="Y39" i="11"/>
  <c r="AX39" i="11"/>
  <c r="CG39" i="11"/>
  <c r="AO43" i="11"/>
  <c r="DI43" i="11"/>
  <c r="AG10" i="13" s="1"/>
  <c r="DJ49" i="11"/>
  <c r="DJ52" i="11" s="1"/>
  <c r="G52" i="11"/>
  <c r="BM52" i="11"/>
  <c r="DA52" i="11"/>
  <c r="BG58" i="11"/>
  <c r="CA58" i="11"/>
  <c r="CY70" i="11"/>
  <c r="AO99" i="11"/>
  <c r="AJ99" i="11"/>
  <c r="U100" i="11"/>
  <c r="AF119" i="11"/>
  <c r="AZ119" i="11"/>
  <c r="CN119" i="11"/>
  <c r="DK144" i="11"/>
  <c r="AY174" i="11"/>
  <c r="AY176" i="11"/>
  <c r="BJ177" i="11"/>
  <c r="BA200" i="11"/>
  <c r="CK200" i="11"/>
  <c r="AY245" i="11"/>
  <c r="DE12" i="11"/>
  <c r="CW15" i="11"/>
  <c r="CL12" i="11"/>
  <c r="CU18" i="11"/>
  <c r="DJ33" i="11"/>
  <c r="BO39" i="11"/>
  <c r="BX43" i="11"/>
  <c r="AT43" i="11"/>
  <c r="AY49" i="11"/>
  <c r="H52" i="11"/>
  <c r="DC52" i="11"/>
  <c r="AJ55" i="11"/>
  <c r="DL53" i="11"/>
  <c r="DL56" i="11" s="1"/>
  <c r="BH58" i="11"/>
  <c r="CC111" i="11"/>
  <c r="DL114" i="11"/>
  <c r="DL117" i="11" s="1"/>
  <c r="AG119" i="11"/>
  <c r="BZ119" i="11"/>
  <c r="CH169" i="11"/>
  <c r="CS170" i="11"/>
  <c r="AM177" i="11"/>
  <c r="BF177" i="11"/>
  <c r="AY225" i="11"/>
  <c r="AT244" i="11"/>
  <c r="BJ246" i="11"/>
  <c r="BG252" i="11"/>
  <c r="CC431" i="11"/>
  <c r="CC433" i="11" s="1"/>
  <c r="BR436" i="11"/>
  <c r="BN17" i="11"/>
  <c r="K15" i="11"/>
  <c r="CB18" i="11"/>
  <c r="CI39" i="11"/>
  <c r="DJ9" i="11"/>
  <c r="AH12" i="13" s="1"/>
  <c r="CR17" i="11"/>
  <c r="AP18" i="11"/>
  <c r="CI18" i="11"/>
  <c r="AB39" i="11"/>
  <c r="AV39" i="11"/>
  <c r="CJ39" i="11"/>
  <c r="AY43" i="11"/>
  <c r="DK43" i="11"/>
  <c r="AI10" i="13" s="1"/>
  <c r="I52" i="11"/>
  <c r="BB52" i="11"/>
  <c r="AO55" i="11"/>
  <c r="CV58" i="11"/>
  <c r="BF64" i="11"/>
  <c r="DG100" i="11"/>
  <c r="CB101" i="11"/>
  <c r="BW101" i="11"/>
  <c r="BD117" i="11"/>
  <c r="CP119" i="11"/>
  <c r="U144" i="11"/>
  <c r="BS175" i="11"/>
  <c r="T177" i="11"/>
  <c r="CU189" i="11"/>
  <c r="AN252" i="11"/>
  <c r="CH10" i="11"/>
  <c r="BI49" i="11"/>
  <c r="CM17" i="11"/>
  <c r="BM18" i="11"/>
  <c r="CC36" i="11"/>
  <c r="DJ43" i="11"/>
  <c r="AH10" i="13" s="1"/>
  <c r="U15" i="11"/>
  <c r="X18" i="11"/>
  <c r="BP18" i="11"/>
  <c r="DI24" i="11"/>
  <c r="DI27" i="11" s="1"/>
  <c r="CT27" i="11"/>
  <c r="CM38" i="11"/>
  <c r="P49" i="11"/>
  <c r="AD49" i="11"/>
  <c r="BC52" i="11"/>
  <c r="AV58" i="11"/>
  <c r="BG64" i="11"/>
  <c r="BH101" i="11"/>
  <c r="BC101" i="11"/>
  <c r="BY101" i="11"/>
  <c r="BI110" i="11"/>
  <c r="BN110" i="11"/>
  <c r="CW137" i="11"/>
  <c r="CU170" i="11"/>
  <c r="BF258" i="11"/>
  <c r="BK258" i="11"/>
  <c r="AF341" i="11"/>
  <c r="CM43" i="11"/>
  <c r="K10" i="13" s="1"/>
  <c r="AF49" i="11"/>
  <c r="AF52" i="11" s="1"/>
  <c r="BJ101" i="11"/>
  <c r="BE101" i="11"/>
  <c r="BN111" i="11"/>
  <c r="CC128" i="11"/>
  <c r="CC130" i="11"/>
  <c r="CM220" i="11"/>
  <c r="BM335" i="11"/>
  <c r="BY39" i="11"/>
  <c r="BF52" i="11"/>
  <c r="BD55" i="11"/>
  <c r="DE83" i="11"/>
  <c r="BB113" i="11"/>
  <c r="Z116" i="11"/>
  <c r="CT113" i="11"/>
  <c r="CO113" i="11"/>
  <c r="P50" i="11"/>
  <c r="S52" i="11"/>
  <c r="BG52" i="11"/>
  <c r="AT51" i="11"/>
  <c r="CW81" i="11"/>
  <c r="BN99" i="11"/>
  <c r="AT98" i="11"/>
  <c r="AT100" i="11"/>
  <c r="AO111" i="11"/>
  <c r="BX110" i="11"/>
  <c r="BX113" i="11" s="1"/>
  <c r="AI113" i="11"/>
  <c r="BC113" i="11"/>
  <c r="BS112" i="11"/>
  <c r="AO180" i="11"/>
  <c r="AO182" i="11"/>
  <c r="AT208" i="11"/>
  <c r="AJ238" i="11"/>
  <c r="BD16" i="11"/>
  <c r="AO17" i="11"/>
  <c r="DB26" i="11"/>
  <c r="DL28" i="11"/>
  <c r="DM28" i="11" s="1"/>
  <c r="DM30" i="11" s="1"/>
  <c r="AE38" i="11"/>
  <c r="BX45" i="11"/>
  <c r="CM44" i="11"/>
  <c r="U50" i="11"/>
  <c r="CC50" i="11"/>
  <c r="AJ51" i="11"/>
  <c r="CL64" i="11"/>
  <c r="DG67" i="11"/>
  <c r="CN83" i="11"/>
  <c r="CW104" i="11"/>
  <c r="CC112" i="11"/>
  <c r="CP131" i="11"/>
  <c r="DG155" i="11"/>
  <c r="AT182" i="11"/>
  <c r="AT207" i="11"/>
  <c r="BD208" i="11"/>
  <c r="CW220" i="11"/>
  <c r="CH221" i="11"/>
  <c r="BF234" i="11"/>
  <c r="BA240" i="11"/>
  <c r="BU240" i="11"/>
  <c r="AT275" i="11"/>
  <c r="BA308" i="11"/>
  <c r="AT415" i="11"/>
  <c r="BL418" i="11"/>
  <c r="CW9" i="11"/>
  <c r="U12" i="13" s="1"/>
  <c r="CR9" i="11"/>
  <c r="P12" i="13" s="1"/>
  <c r="CA12" i="11"/>
  <c r="CZ12" i="11"/>
  <c r="AW18" i="11"/>
  <c r="BQ18" i="11"/>
  <c r="CK18" i="11"/>
  <c r="DG26" i="11"/>
  <c r="DE27" i="11"/>
  <c r="DI33" i="11"/>
  <c r="AO38" i="11"/>
  <c r="BS56" i="11"/>
  <c r="CE101" i="11"/>
  <c r="CZ101" i="11"/>
  <c r="BO177" i="11"/>
  <c r="AO212" i="11"/>
  <c r="BJ215" i="11"/>
  <c r="Q222" i="11"/>
  <c r="BE222" i="11"/>
  <c r="CE234" i="11"/>
  <c r="AY233" i="11"/>
  <c r="BL271" i="11"/>
  <c r="BO76" i="11"/>
  <c r="DJ92" i="11"/>
  <c r="DJ95" i="11" s="1"/>
  <c r="CU95" i="11"/>
  <c r="CZ107" i="11"/>
  <c r="BE113" i="11"/>
  <c r="BV113" i="11"/>
  <c r="O119" i="11"/>
  <c r="BW119" i="11"/>
  <c r="DI138" i="11"/>
  <c r="CY144" i="11"/>
  <c r="CL151" i="11"/>
  <c r="CM163" i="11"/>
  <c r="CV170" i="11"/>
  <c r="V177" i="11"/>
  <c r="BI212" i="11"/>
  <c r="AE220" i="11"/>
  <c r="P219" i="11"/>
  <c r="BD233" i="11"/>
  <c r="BC240" i="11"/>
  <c r="CC256" i="11"/>
  <c r="BO265" i="11"/>
  <c r="U268" i="11"/>
  <c r="BJ317" i="11"/>
  <c r="AL323" i="11"/>
  <c r="AJ328" i="11"/>
  <c r="S338" i="11"/>
  <c r="S341" i="11" s="1"/>
  <c r="BD338" i="11"/>
  <c r="BD353" i="11"/>
  <c r="BS352" i="11"/>
  <c r="S355" i="11"/>
  <c r="BS384" i="11"/>
  <c r="DD389" i="11"/>
  <c r="AT417" i="11"/>
  <c r="DG414" i="11"/>
  <c r="BO418" i="11"/>
  <c r="CI418" i="11"/>
  <c r="CV416" i="11"/>
  <c r="BA436" i="11"/>
  <c r="CC445" i="11"/>
  <c r="CA64" i="11"/>
  <c r="CW67" i="11"/>
  <c r="BB76" i="11"/>
  <c r="CV95" i="11"/>
  <c r="DD101" i="11"/>
  <c r="BF113" i="11"/>
  <c r="BW113" i="11"/>
  <c r="U116" i="11"/>
  <c r="U119" i="11" s="1"/>
  <c r="BY119" i="11"/>
  <c r="CA131" i="11"/>
  <c r="CO131" i="11"/>
  <c r="AT144" i="11"/>
  <c r="CH148" i="11"/>
  <c r="DA151" i="11"/>
  <c r="CI164" i="11"/>
  <c r="W177" i="11"/>
  <c r="CB177" i="11"/>
  <c r="BS180" i="11"/>
  <c r="DD193" i="11"/>
  <c r="AZ395" i="11"/>
  <c r="AZ503" i="11" s="1"/>
  <c r="BU200" i="11"/>
  <c r="BG199" i="11"/>
  <c r="BO209" i="11"/>
  <c r="CI209" i="11"/>
  <c r="S222" i="11"/>
  <c r="BL222" i="11"/>
  <c r="BI226" i="11"/>
  <c r="AQ234" i="11"/>
  <c r="AX246" i="11"/>
  <c r="CK246" i="11"/>
  <c r="BD263" i="11"/>
  <c r="L271" i="11"/>
  <c r="BA283" i="11"/>
  <c r="BD295" i="11"/>
  <c r="BE297" i="11"/>
  <c r="R302" i="11"/>
  <c r="AQ302" i="11"/>
  <c r="AQ317" i="11"/>
  <c r="T323" i="11"/>
  <c r="P326" i="11"/>
  <c r="N329" i="11"/>
  <c r="T338" i="11"/>
  <c r="T341" i="11" s="1"/>
  <c r="T349" i="11"/>
  <c r="BG349" i="11"/>
  <c r="T355" i="11"/>
  <c r="Y371" i="11"/>
  <c r="BH390" i="11"/>
  <c r="AY394" i="11"/>
  <c r="CJ418" i="11"/>
  <c r="CX448" i="11"/>
  <c r="BF297" i="11"/>
  <c r="AW317" i="11"/>
  <c r="U320" i="11"/>
  <c r="U326" i="11"/>
  <c r="T329" i="11"/>
  <c r="V355" i="11"/>
  <c r="BO355" i="11"/>
  <c r="Z416" i="11"/>
  <c r="BD417" i="11"/>
  <c r="DE417" i="11"/>
  <c r="CK418" i="11"/>
  <c r="CY448" i="11"/>
  <c r="BH64" i="11"/>
  <c r="CU70" i="11"/>
  <c r="DG86" i="11"/>
  <c r="AR101" i="11"/>
  <c r="CF101" i="11"/>
  <c r="T113" i="11"/>
  <c r="AN113" i="11"/>
  <c r="BX116" i="11"/>
  <c r="CA119" i="11"/>
  <c r="DL159" i="11"/>
  <c r="DL162" i="11" s="1"/>
  <c r="AS177" i="11"/>
  <c r="BK177" i="11"/>
  <c r="CE177" i="11"/>
  <c r="CW188" i="11"/>
  <c r="AH199" i="11"/>
  <c r="BD197" i="11"/>
  <c r="Q234" i="11"/>
  <c r="CF258" i="11"/>
  <c r="BV271" i="11"/>
  <c r="AY280" i="11"/>
  <c r="BI295" i="11"/>
  <c r="P300" i="11"/>
  <c r="V323" i="11"/>
  <c r="BH329" i="11"/>
  <c r="J335" i="11"/>
  <c r="AK341" i="11"/>
  <c r="BI346" i="11"/>
  <c r="W355" i="11"/>
  <c r="CR387" i="11"/>
  <c r="AX418" i="11"/>
  <c r="BR418" i="11"/>
  <c r="CL418" i="11"/>
  <c r="CY451" i="11"/>
  <c r="DH61" i="11"/>
  <c r="DH64" i="11" s="1"/>
  <c r="CY64" i="11"/>
  <c r="DA70" i="11"/>
  <c r="CA83" i="11"/>
  <c r="CT83" i="11"/>
  <c r="CL101" i="11"/>
  <c r="AO110" i="11"/>
  <c r="V113" i="11"/>
  <c r="CF113" i="11"/>
  <c r="CZ113" i="11"/>
  <c r="CC117" i="11"/>
  <c r="AJ118" i="11"/>
  <c r="DH116" i="11"/>
  <c r="DH119" i="11" s="1"/>
  <c r="CV119" i="11"/>
  <c r="CK151" i="11"/>
  <c r="CX177" i="11"/>
  <c r="BU183" i="11"/>
  <c r="CN183" i="11"/>
  <c r="CW191" i="11"/>
  <c r="CW194" i="11" s="1"/>
  <c r="CO195" i="11"/>
  <c r="BE199" i="11"/>
  <c r="CT199" i="11"/>
  <c r="R8" i="13" s="1"/>
  <c r="BC209" i="11"/>
  <c r="CS234" i="11"/>
  <c r="CC243" i="11"/>
  <c r="AQ252" i="11"/>
  <c r="BJ252" i="11"/>
  <c r="Z269" i="11"/>
  <c r="BK277" i="11"/>
  <c r="W323" i="11"/>
  <c r="P368" i="11"/>
  <c r="U371" i="11" s="1"/>
  <c r="AY370" i="11"/>
  <c r="BU388" i="11"/>
  <c r="CQ151" i="11"/>
  <c r="BD162" i="11"/>
  <c r="DH161" i="11"/>
  <c r="AF11" i="13" s="1"/>
  <c r="CR208" i="11"/>
  <c r="BE209" i="11"/>
  <c r="CC213" i="11"/>
  <c r="J222" i="11"/>
  <c r="CP228" i="11"/>
  <c r="BA234" i="11"/>
  <c r="CG240" i="11"/>
  <c r="BF265" i="11"/>
  <c r="BN282" i="11"/>
  <c r="AB302" i="11"/>
  <c r="AV302" i="11"/>
  <c r="AG317" i="11"/>
  <c r="AF329" i="11"/>
  <c r="AO332" i="11"/>
  <c r="AM341" i="11"/>
  <c r="BD376" i="11"/>
  <c r="DA415" i="11"/>
  <c r="DA418" i="11" s="1"/>
  <c r="CR429" i="11"/>
  <c r="BG442" i="11"/>
  <c r="DB445" i="11"/>
  <c r="CC80" i="11"/>
  <c r="U98" i="11"/>
  <c r="DE101" i="11"/>
  <c r="AY110" i="11"/>
  <c r="AR113" i="11"/>
  <c r="DJ116" i="11"/>
  <c r="BK119" i="11"/>
  <c r="CE119" i="11"/>
  <c r="CU131" i="11"/>
  <c r="BC183" i="11"/>
  <c r="BW183" i="11"/>
  <c r="CU183" i="11"/>
  <c r="CK189" i="11"/>
  <c r="BG390" i="11"/>
  <c r="CL228" i="11"/>
  <c r="CI240" i="11"/>
  <c r="BE246" i="11"/>
  <c r="BW246" i="11"/>
  <c r="CL246" i="11"/>
  <c r="AS252" i="11"/>
  <c r="BL252" i="11"/>
  <c r="CJ258" i="11"/>
  <c r="BL258" i="11"/>
  <c r="AG271" i="11"/>
  <c r="BA271" i="11"/>
  <c r="AF291" i="11"/>
  <c r="AZ291" i="11"/>
  <c r="BD294" i="11"/>
  <c r="AE301" i="11"/>
  <c r="BI314" i="11"/>
  <c r="BX415" i="11"/>
  <c r="AV427" i="11"/>
  <c r="BD63" i="11"/>
  <c r="CI64" i="11"/>
  <c r="CB76" i="11"/>
  <c r="DB80" i="11"/>
  <c r="Z99" i="11"/>
  <c r="DB99" i="11"/>
  <c r="N101" i="11"/>
  <c r="BQ101" i="11"/>
  <c r="Y113" i="11"/>
  <c r="CJ113" i="11"/>
  <c r="DD113" i="11"/>
  <c r="AR119" i="11"/>
  <c r="BL119" i="11"/>
  <c r="CZ119" i="11"/>
  <c r="DB122" i="11"/>
  <c r="DB125" i="11" s="1"/>
  <c r="CR129" i="11"/>
  <c r="AY163" i="11"/>
  <c r="DJ161" i="11"/>
  <c r="AH11" i="13" s="1"/>
  <c r="AJ175" i="11"/>
  <c r="AD177" i="11"/>
  <c r="CI177" i="11"/>
  <c r="AK183" i="11"/>
  <c r="BE183" i="11"/>
  <c r="CQ183" i="11"/>
  <c r="CY192" i="11"/>
  <c r="CM207" i="11"/>
  <c r="CW208" i="11"/>
  <c r="BF215" i="11"/>
  <c r="G222" i="11"/>
  <c r="P233" i="11"/>
  <c r="BQ240" i="11"/>
  <c r="CR245" i="11"/>
  <c r="L252" i="11"/>
  <c r="BM252" i="11"/>
  <c r="BR258" i="11"/>
  <c r="BI270" i="11"/>
  <c r="BO277" i="11"/>
  <c r="BU291" i="11"/>
  <c r="BL297" i="11"/>
  <c r="W308" i="11"/>
  <c r="AQ308" i="11"/>
  <c r="BN316" i="11"/>
  <c r="AD317" i="11"/>
  <c r="AX317" i="11"/>
  <c r="AF323" i="11"/>
  <c r="V329" i="11"/>
  <c r="Z333" i="11"/>
  <c r="AJ357" i="11"/>
  <c r="AG371" i="11"/>
  <c r="BC418" i="11"/>
  <c r="BW418" i="11"/>
  <c r="BD422" i="11"/>
  <c r="BL442" i="11"/>
  <c r="DD83" i="11"/>
  <c r="DK161" i="11"/>
  <c r="AI11" i="13" s="1"/>
  <c r="CW180" i="11"/>
  <c r="CR212" i="11"/>
  <c r="BG215" i="11"/>
  <c r="BS219" i="11"/>
  <c r="BS220" i="11"/>
  <c r="P225" i="11"/>
  <c r="CC225" i="11"/>
  <c r="H252" i="11"/>
  <c r="AU252" i="11"/>
  <c r="Q317" i="11"/>
  <c r="AJ321" i="11"/>
  <c r="AO320" i="11"/>
  <c r="AV323" i="11"/>
  <c r="I329" i="11"/>
  <c r="AW355" i="11"/>
  <c r="BI362" i="11"/>
  <c r="BQ400" i="11"/>
  <c r="CH415" i="11"/>
  <c r="DL443" i="11"/>
  <c r="DL446" i="11" s="1"/>
  <c r="DC200" i="11"/>
  <c r="CW238" i="11"/>
  <c r="AP271" i="11"/>
  <c r="AZ329" i="11"/>
  <c r="AE346" i="11"/>
  <c r="AX355" i="11"/>
  <c r="BS362" i="11"/>
  <c r="AO369" i="11"/>
  <c r="BL385" i="11"/>
  <c r="BR400" i="11"/>
  <c r="BI415" i="11"/>
  <c r="BN422" i="11"/>
  <c r="CC428" i="11"/>
  <c r="AY451" i="11"/>
  <c r="CT502" i="11"/>
  <c r="BK504" i="11"/>
  <c r="BK505" i="11" s="1"/>
  <c r="BH502" i="11"/>
  <c r="DE502" i="11"/>
  <c r="CA502" i="11"/>
  <c r="CB502" i="11"/>
  <c r="CN502" i="11"/>
  <c r="DB500" i="11"/>
  <c r="AZ502" i="11"/>
  <c r="CK502" i="11"/>
  <c r="BA502" i="11"/>
  <c r="BS502" i="11"/>
  <c r="BU502" i="11"/>
  <c r="CO502" i="11"/>
  <c r="DI502" i="11"/>
  <c r="BV502" i="11"/>
  <c r="DJ502" i="11"/>
  <c r="BW502" i="11"/>
  <c r="DK502" i="11"/>
  <c r="BY502" i="11"/>
  <c r="DM502" i="11"/>
  <c r="DL500" i="11"/>
  <c r="BO502" i="11"/>
  <c r="CG502" i="11"/>
  <c r="AU445" i="11"/>
  <c r="AV445" i="11"/>
  <c r="CM423" i="11"/>
  <c r="BK427" i="11"/>
  <c r="BK429" i="11"/>
  <c r="BA445" i="11"/>
  <c r="BA448" i="11" s="1"/>
  <c r="AW445" i="11"/>
  <c r="BB448" i="11" s="1"/>
  <c r="CR432" i="11"/>
  <c r="BD425" i="11"/>
  <c r="CM428" i="11"/>
  <c r="BD443" i="11"/>
  <c r="BC436" i="11"/>
  <c r="BE428" i="11"/>
  <c r="CR427" i="11"/>
  <c r="BM429" i="11"/>
  <c r="BG436" i="11"/>
  <c r="BE442" i="11"/>
  <c r="CU451" i="11"/>
  <c r="BF428" i="11"/>
  <c r="AU427" i="11"/>
  <c r="BF442" i="11"/>
  <c r="BG427" i="11"/>
  <c r="BI440" i="11"/>
  <c r="BJ436" i="11"/>
  <c r="CX451" i="11"/>
  <c r="BK445" i="11"/>
  <c r="CH423" i="11"/>
  <c r="CR423" i="11"/>
  <c r="DC450" i="11"/>
  <c r="BI422" i="11"/>
  <c r="CH427" i="11"/>
  <c r="BR446" i="11"/>
  <c r="DD450" i="11"/>
  <c r="P268" i="11"/>
  <c r="AO352" i="11"/>
  <c r="BJ355" i="11"/>
  <c r="BD268" i="11"/>
  <c r="AO307" i="11"/>
  <c r="AJ320" i="11"/>
  <c r="BK355" i="11"/>
  <c r="BQ388" i="11"/>
  <c r="BM265" i="11"/>
  <c r="BI269" i="11"/>
  <c r="BX270" i="11"/>
  <c r="W271" i="11"/>
  <c r="AO274" i="11"/>
  <c r="AU283" i="11"/>
  <c r="AG291" i="11"/>
  <c r="BT291" i="11"/>
  <c r="M329" i="11"/>
  <c r="BD347" i="11"/>
  <c r="BD369" i="11"/>
  <c r="BI378" i="11"/>
  <c r="BP265" i="11"/>
  <c r="T271" i="11"/>
  <c r="Z282" i="11"/>
  <c r="AI291" i="11"/>
  <c r="I323" i="11"/>
  <c r="X349" i="11"/>
  <c r="BB355" i="11"/>
  <c r="AN371" i="11"/>
  <c r="BS262" i="11"/>
  <c r="AW265" i="11"/>
  <c r="I271" i="11"/>
  <c r="AU271" i="11"/>
  <c r="AR277" i="11"/>
  <c r="BM277" i="11"/>
  <c r="U290" i="11"/>
  <c r="Q291" i="11"/>
  <c r="AJ288" i="11"/>
  <c r="BW291" i="11"/>
  <c r="AI302" i="11"/>
  <c r="J323" i="11"/>
  <c r="AE326" i="11"/>
  <c r="AK329" i="11"/>
  <c r="H335" i="11"/>
  <c r="BB335" i="11"/>
  <c r="BL349" i="11"/>
  <c r="BC355" i="11"/>
  <c r="V371" i="11"/>
  <c r="BK385" i="11"/>
  <c r="BX262" i="11"/>
  <c r="AO282" i="11"/>
  <c r="AK291" i="11"/>
  <c r="K305" i="11"/>
  <c r="K308" i="11" s="1"/>
  <c r="I335" i="11"/>
  <c r="AJ339" i="11"/>
  <c r="AK355" i="11"/>
  <c r="BK271" i="11"/>
  <c r="BK297" i="11"/>
  <c r="AF308" i="11"/>
  <c r="AX308" i="11"/>
  <c r="AZ317" i="11"/>
  <c r="AD335" i="11"/>
  <c r="AL355" i="11"/>
  <c r="BX263" i="11"/>
  <c r="U281" i="11"/>
  <c r="S302" i="11"/>
  <c r="R338" i="11"/>
  <c r="R341" i="11" s="1"/>
  <c r="AV349" i="11"/>
  <c r="BN353" i="11"/>
  <c r="H355" i="11"/>
  <c r="AM355" i="11"/>
  <c r="BP385" i="11"/>
  <c r="BO271" i="11"/>
  <c r="AY274" i="11"/>
  <c r="BI289" i="11"/>
  <c r="BO297" i="11"/>
  <c r="BM323" i="11"/>
  <c r="AT376" i="11"/>
  <c r="CV398" i="11"/>
  <c r="AZ277" i="11"/>
  <c r="U306" i="11"/>
  <c r="AY307" i="11"/>
  <c r="Q308" i="11"/>
  <c r="AK308" i="11"/>
  <c r="BC308" i="11"/>
  <c r="AT320" i="11"/>
  <c r="AY322" i="11"/>
  <c r="L323" i="11"/>
  <c r="AD323" i="11"/>
  <c r="AU323" i="11"/>
  <c r="BD324" i="11"/>
  <c r="BD326" i="11" s="1"/>
  <c r="U347" i="11"/>
  <c r="AO348" i="11"/>
  <c r="AZ349" i="11"/>
  <c r="AW371" i="11"/>
  <c r="AG277" i="11"/>
  <c r="BG283" i="11"/>
  <c r="AW302" i="11"/>
  <c r="Z306" i="11"/>
  <c r="R308" i="11"/>
  <c r="AL308" i="11"/>
  <c r="AE320" i="11"/>
  <c r="Y329" i="11"/>
  <c r="AS329" i="11"/>
  <c r="AE333" i="11"/>
  <c r="BF335" i="11"/>
  <c r="U354" i="11"/>
  <c r="BQ355" i="11"/>
  <c r="M355" i="11"/>
  <c r="Z369" i="11"/>
  <c r="AY270" i="11"/>
  <c r="AZ271" i="11"/>
  <c r="AH277" i="11"/>
  <c r="AT281" i="11"/>
  <c r="BH283" i="11"/>
  <c r="BI290" i="11"/>
  <c r="S308" i="11"/>
  <c r="AM308" i="11"/>
  <c r="AR317" i="11"/>
  <c r="BL317" i="11"/>
  <c r="K326" i="11"/>
  <c r="K329" i="11" s="1"/>
  <c r="BG335" i="11"/>
  <c r="O349" i="11"/>
  <c r="Z352" i="11"/>
  <c r="AF355" i="11"/>
  <c r="AS355" i="11"/>
  <c r="BS382" i="11"/>
  <c r="BI282" i="11"/>
  <c r="AS317" i="11"/>
  <c r="BH317" i="11"/>
  <c r="AB329" i="11"/>
  <c r="AV329" i="11"/>
  <c r="S335" i="11"/>
  <c r="AJ346" i="11"/>
  <c r="Q349" i="11"/>
  <c r="BH349" i="11"/>
  <c r="P353" i="11"/>
  <c r="AE354" i="11"/>
  <c r="AG355" i="11"/>
  <c r="AZ355" i="11"/>
  <c r="AT361" i="11"/>
  <c r="BE363" i="11"/>
  <c r="AT269" i="11"/>
  <c r="AH271" i="11"/>
  <c r="AK277" i="11"/>
  <c r="AL283" i="11"/>
  <c r="BK283" i="11"/>
  <c r="AO306" i="11"/>
  <c r="V308" i="11"/>
  <c r="BN321" i="11"/>
  <c r="BX322" i="11"/>
  <c r="AP335" i="11"/>
  <c r="AL341" i="11"/>
  <c r="AQ349" i="11"/>
  <c r="AV355" i="11"/>
  <c r="BF363" i="11"/>
  <c r="BN362" i="11"/>
  <c r="DH58" i="11"/>
  <c r="CW12" i="11"/>
  <c r="CR166" i="11"/>
  <c r="CR169" i="11" s="1"/>
  <c r="CT169" i="11"/>
  <c r="CO169" i="11"/>
  <c r="BJ200" i="11"/>
  <c r="BN197" i="11"/>
  <c r="BX16" i="11"/>
  <c r="BI17" i="11"/>
  <c r="DG21" i="11"/>
  <c r="BI37" i="11"/>
  <c r="BX51" i="11"/>
  <c r="AA52" i="11"/>
  <c r="CM57" i="11"/>
  <c r="CM62" i="11"/>
  <c r="CW93" i="11"/>
  <c r="CW111" i="11"/>
  <c r="CR111" i="11"/>
  <c r="AC113" i="11"/>
  <c r="X113" i="11"/>
  <c r="AY117" i="11"/>
  <c r="AY116" i="11"/>
  <c r="CC116" i="11"/>
  <c r="CC118" i="11"/>
  <c r="AJ280" i="11"/>
  <c r="AI283" i="11"/>
  <c r="DB11" i="11"/>
  <c r="CC9" i="11"/>
  <c r="BZ58" i="11"/>
  <c r="DL65" i="11"/>
  <c r="DM65" i="11" s="1"/>
  <c r="DN65" i="11" s="1"/>
  <c r="DO65" i="11" s="1"/>
  <c r="DP65" i="11" s="1"/>
  <c r="BD112" i="11"/>
  <c r="BD110" i="11"/>
  <c r="CH118" i="11"/>
  <c r="CW167" i="11"/>
  <c r="DJ191" i="11"/>
  <c r="DJ192" i="11" s="1"/>
  <c r="DJ195" i="11" s="1"/>
  <c r="DE192" i="11"/>
  <c r="AY281" i="11"/>
  <c r="CT70" i="11"/>
  <c r="CW10" i="11"/>
  <c r="BX38" i="11"/>
  <c r="BE18" i="11"/>
  <c r="CQ18" i="11"/>
  <c r="AU18" i="11"/>
  <c r="CH37" i="11"/>
  <c r="CH38" i="11"/>
  <c r="CH36" i="11"/>
  <c r="BD45" i="11"/>
  <c r="BP46" i="11"/>
  <c r="CI46" i="11"/>
  <c r="BN50" i="11"/>
  <c r="U51" i="11"/>
  <c r="CR48" i="11"/>
  <c r="AC52" i="11"/>
  <c r="CI52" i="11"/>
  <c r="BN56" i="11"/>
  <c r="DB55" i="11"/>
  <c r="DG63" i="11"/>
  <c r="CW69" i="11"/>
  <c r="DC70" i="11"/>
  <c r="DB81" i="11"/>
  <c r="DB82" i="11"/>
  <c r="CI95" i="11"/>
  <c r="DG92" i="11"/>
  <c r="DC95" i="11"/>
  <c r="P99" i="11"/>
  <c r="CR99" i="11"/>
  <c r="CC98" i="11"/>
  <c r="CC100" i="11"/>
  <c r="DL108" i="11"/>
  <c r="DL111" i="11" s="1"/>
  <c r="AT111" i="11"/>
  <c r="BJ138" i="11"/>
  <c r="DL141" i="11"/>
  <c r="AJ9" i="13" s="1"/>
  <c r="CW212" i="11"/>
  <c r="R271" i="11"/>
  <c r="AT306" i="11"/>
  <c r="AE316" i="11"/>
  <c r="AU317" i="11"/>
  <c r="AP317" i="11"/>
  <c r="CI12" i="11"/>
  <c r="DA12" i="11"/>
  <c r="AE16" i="11"/>
  <c r="BF18" i="11"/>
  <c r="BZ18" i="11"/>
  <c r="CW21" i="11"/>
  <c r="DG24" i="11"/>
  <c r="AW39" i="11"/>
  <c r="AZ46" i="11"/>
  <c r="BQ46" i="11"/>
  <c r="BX50" i="11"/>
  <c r="BS50" i="11"/>
  <c r="DB51" i="11"/>
  <c r="L52" i="11"/>
  <c r="CJ52" i="11"/>
  <c r="CF58" i="11"/>
  <c r="DC83" i="11"/>
  <c r="DK92" i="11"/>
  <c r="DK95" i="11" s="1"/>
  <c r="AD101" i="11"/>
  <c r="Y101" i="11"/>
  <c r="DG98" i="11"/>
  <c r="DC101" i="11"/>
  <c r="DB104" i="11"/>
  <c r="S119" i="11"/>
  <c r="DG141" i="11"/>
  <c r="AE9" i="13" s="1"/>
  <c r="BQ265" i="11"/>
  <c r="AB317" i="11"/>
  <c r="BH388" i="11"/>
  <c r="BH389" i="11"/>
  <c r="CP389" i="11"/>
  <c r="CM386" i="11"/>
  <c r="CM443" i="11"/>
  <c r="CM445" i="11" s="1"/>
  <c r="CK445" i="11"/>
  <c r="CK448" i="11" s="1"/>
  <c r="CC15" i="11"/>
  <c r="AX46" i="11"/>
  <c r="P15" i="11"/>
  <c r="BG18" i="11"/>
  <c r="CA18" i="11"/>
  <c r="AX18" i="11"/>
  <c r="DD27" i="11"/>
  <c r="AD39" i="11"/>
  <c r="BR39" i="11"/>
  <c r="BQ39" i="11"/>
  <c r="BA46" i="11"/>
  <c r="BR46" i="11"/>
  <c r="CK46" i="11"/>
  <c r="DE46" i="11"/>
  <c r="M52" i="11"/>
  <c r="CG58" i="11"/>
  <c r="DH80" i="11"/>
  <c r="DH83" i="11" s="1"/>
  <c r="CK83" i="11"/>
  <c r="DE95" i="11"/>
  <c r="M101" i="11"/>
  <c r="H101" i="11"/>
  <c r="BO101" i="11"/>
  <c r="BT101" i="11"/>
  <c r="CY107" i="11"/>
  <c r="CM117" i="11"/>
  <c r="CH117" i="11"/>
  <c r="AJ116" i="11"/>
  <c r="AO119" i="11" s="1"/>
  <c r="AO118" i="11"/>
  <c r="BL138" i="11"/>
  <c r="DJ144" i="11"/>
  <c r="AR199" i="11"/>
  <c r="Z249" i="11"/>
  <c r="AX265" i="11"/>
  <c r="CY453" i="11"/>
  <c r="CT451" i="11"/>
  <c r="BS15" i="11"/>
  <c r="DB105" i="11"/>
  <c r="CM51" i="11"/>
  <c r="CU58" i="11"/>
  <c r="BY64" i="11"/>
  <c r="AU39" i="11"/>
  <c r="CC44" i="11"/>
  <c r="DG57" i="11"/>
  <c r="BP76" i="11"/>
  <c r="CK12" i="11"/>
  <c r="AN18" i="11"/>
  <c r="AF39" i="11"/>
  <c r="BS36" i="11"/>
  <c r="CK39" i="11"/>
  <c r="CW44" i="11"/>
  <c r="BS45" i="11"/>
  <c r="BB46" i="11"/>
  <c r="BS43" i="11"/>
  <c r="DF46" i="11"/>
  <c r="BT52" i="11"/>
  <c r="CH50" i="11"/>
  <c r="BK64" i="11"/>
  <c r="CH63" i="11"/>
  <c r="DH67" i="11"/>
  <c r="DH70" i="11" s="1"/>
  <c r="DL66" i="11"/>
  <c r="DM66" i="11" s="1"/>
  <c r="DD70" i="11"/>
  <c r="DI80" i="11"/>
  <c r="DI83" i="11" s="1"/>
  <c r="CL83" i="11"/>
  <c r="DF95" i="11"/>
  <c r="K98" i="11"/>
  <c r="K101" i="11" s="1"/>
  <c r="K100" i="11"/>
  <c r="CT100" i="11"/>
  <c r="CO98" i="11"/>
  <c r="CT101" i="11" s="1"/>
  <c r="AV101" i="11"/>
  <c r="CX215" i="11"/>
  <c r="AO360" i="11"/>
  <c r="CH51" i="11"/>
  <c r="BI112" i="11"/>
  <c r="CW82" i="11"/>
  <c r="BJ271" i="11"/>
  <c r="BE271" i="11"/>
  <c r="DA46" i="11"/>
  <c r="BI50" i="11"/>
  <c r="DA113" i="11"/>
  <c r="BM138" i="11"/>
  <c r="BH138" i="11"/>
  <c r="DD12" i="11"/>
  <c r="DB10" i="11"/>
  <c r="Z17" i="11"/>
  <c r="BJ18" i="11"/>
  <c r="BK18" i="11"/>
  <c r="DK24" i="11"/>
  <c r="DK27" i="11" s="1"/>
  <c r="Z38" i="11"/>
  <c r="AJ36" i="11"/>
  <c r="BD36" i="11"/>
  <c r="CL39" i="11"/>
  <c r="DB44" i="11"/>
  <c r="BC46" i="11"/>
  <c r="BT46" i="11"/>
  <c r="CH49" i="11"/>
  <c r="AO49" i="11"/>
  <c r="O52" i="11"/>
  <c r="BU52" i="11"/>
  <c r="DG49" i="11"/>
  <c r="P51" i="11"/>
  <c r="BD62" i="11"/>
  <c r="DK61" i="11"/>
  <c r="DK64" i="11" s="1"/>
  <c r="DA64" i="11"/>
  <c r="AW76" i="11"/>
  <c r="DJ80" i="11"/>
  <c r="DJ83" i="11" s="1"/>
  <c r="BU83" i="11"/>
  <c r="CR97" i="11"/>
  <c r="CR100" i="11" s="1"/>
  <c r="J101" i="11"/>
  <c r="AW101" i="11"/>
  <c r="CK101" i="11"/>
  <c r="CN131" i="11"/>
  <c r="DL140" i="11"/>
  <c r="DL143" i="11" s="1"/>
  <c r="AE174" i="11"/>
  <c r="AE175" i="11"/>
  <c r="Z176" i="11"/>
  <c r="U174" i="11"/>
  <c r="CW176" i="11"/>
  <c r="BC177" i="11"/>
  <c r="AX177" i="11"/>
  <c r="BP177" i="11"/>
  <c r="BY396" i="11"/>
  <c r="BY399" i="11" s="1"/>
  <c r="BY201" i="11"/>
  <c r="BY199" i="11"/>
  <c r="CQ199" i="11"/>
  <c r="O8" i="13" s="1"/>
  <c r="CQ201" i="11"/>
  <c r="AT206" i="11"/>
  <c r="AO249" i="11"/>
  <c r="CE252" i="11"/>
  <c r="CJ252" i="11"/>
  <c r="BD300" i="11"/>
  <c r="BB302" i="11"/>
  <c r="BI361" i="11"/>
  <c r="BM363" i="11"/>
  <c r="BH363" i="11"/>
  <c r="BM39" i="11"/>
  <c r="CY12" i="11"/>
  <c r="AI18" i="11"/>
  <c r="AG18" i="11"/>
  <c r="CN12" i="11"/>
  <c r="Y18" i="11"/>
  <c r="AQ18" i="11"/>
  <c r="CW26" i="11"/>
  <c r="AE37" i="11"/>
  <c r="P36" i="11"/>
  <c r="BU39" i="11"/>
  <c r="CM36" i="11"/>
  <c r="CC43" i="11"/>
  <c r="CC46" i="11" s="1"/>
  <c r="BE46" i="11"/>
  <c r="BU46" i="11"/>
  <c r="CO46" i="11"/>
  <c r="BV52" i="11"/>
  <c r="CU52" i="11"/>
  <c r="BT58" i="11"/>
  <c r="CK58" i="11"/>
  <c r="DD58" i="11"/>
  <c r="BI62" i="11"/>
  <c r="DJ67" i="11"/>
  <c r="DJ70" i="11" s="1"/>
  <c r="DF70" i="11"/>
  <c r="L101" i="11"/>
  <c r="AX101" i="11"/>
  <c r="BQ177" i="11"/>
  <c r="BZ201" i="11"/>
  <c r="BZ199" i="11"/>
  <c r="BN233" i="11"/>
  <c r="AT250" i="11"/>
  <c r="AA252" i="11"/>
  <c r="CF252" i="11"/>
  <c r="CK252" i="11"/>
  <c r="BC283" i="11"/>
  <c r="AT328" i="11"/>
  <c r="BN361" i="11"/>
  <c r="BS361" i="11"/>
  <c r="BV18" i="11"/>
  <c r="BN43" i="11"/>
  <c r="T234" i="11"/>
  <c r="AO75" i="11"/>
  <c r="AJ75" i="11"/>
  <c r="Z316" i="11"/>
  <c r="DF12" i="11"/>
  <c r="AY16" i="11"/>
  <c r="AJ15" i="11"/>
  <c r="AJ18" i="11" s="1"/>
  <c r="Z15" i="11"/>
  <c r="BO18" i="11"/>
  <c r="AJ37" i="11"/>
  <c r="BC39" i="11"/>
  <c r="BV39" i="11"/>
  <c r="BF46" i="11"/>
  <c r="BV46" i="11"/>
  <c r="CP46" i="11"/>
  <c r="BN44" i="11"/>
  <c r="AH50" i="11"/>
  <c r="CQ52" i="11"/>
  <c r="AY50" i="11"/>
  <c r="BN55" i="11"/>
  <c r="BN57" i="11"/>
  <c r="BN62" i="11"/>
  <c r="BI63" i="11"/>
  <c r="CJ64" i="11"/>
  <c r="DD64" i="11"/>
  <c r="BS75" i="11"/>
  <c r="CD76" i="11"/>
  <c r="CP83" i="11"/>
  <c r="AZ101" i="11"/>
  <c r="CN101" i="11"/>
  <c r="AD119" i="11"/>
  <c r="CR141" i="11"/>
  <c r="P9" i="13" s="1"/>
  <c r="CC162" i="11"/>
  <c r="AO175" i="11"/>
  <c r="AE176" i="11"/>
  <c r="AG177" i="11"/>
  <c r="Z182" i="11"/>
  <c r="CA201" i="11"/>
  <c r="CA199" i="11"/>
  <c r="BJ199" i="11"/>
  <c r="BN207" i="11"/>
  <c r="BF283" i="11"/>
  <c r="Z290" i="11"/>
  <c r="V302" i="11"/>
  <c r="Q302" i="11"/>
  <c r="AP302" i="11"/>
  <c r="AK302" i="11"/>
  <c r="DG11" i="11"/>
  <c r="CH16" i="11"/>
  <c r="BD50" i="11"/>
  <c r="DB57" i="11"/>
  <c r="CM118" i="11"/>
  <c r="DK191" i="11"/>
  <c r="DK192" i="11" s="1"/>
  <c r="DK195" i="11" s="1"/>
  <c r="CR18" i="11"/>
  <c r="CT18" i="11"/>
  <c r="CP12" i="11"/>
  <c r="AA18" i="11"/>
  <c r="BR18" i="11"/>
  <c r="DB25" i="11"/>
  <c r="R39" i="11"/>
  <c r="AK39" i="11"/>
  <c r="BJ39" i="11"/>
  <c r="BW39" i="11"/>
  <c r="DL41" i="11"/>
  <c r="DM41" i="11" s="1"/>
  <c r="DN41" i="11" s="1"/>
  <c r="DO41" i="11" s="1"/>
  <c r="DP41" i="11" s="1"/>
  <c r="BW46" i="11"/>
  <c r="AQ52" i="11"/>
  <c r="Z50" i="11"/>
  <c r="CM55" i="11"/>
  <c r="BN61" i="11"/>
  <c r="BU64" i="11"/>
  <c r="CK64" i="11"/>
  <c r="DE64" i="11"/>
  <c r="BL76" i="11"/>
  <c r="BG76" i="11"/>
  <c r="CQ83" i="11"/>
  <c r="AG101" i="11"/>
  <c r="BA101" i="11"/>
  <c r="BU101" i="11"/>
  <c r="CI119" i="11"/>
  <c r="CH162" i="11"/>
  <c r="BS161" i="11"/>
  <c r="BS163" i="11"/>
  <c r="CB164" i="11"/>
  <c r="CV164" i="11"/>
  <c r="AO176" i="11"/>
  <c r="AJ174" i="11"/>
  <c r="AH177" i="11"/>
  <c r="CB199" i="11"/>
  <c r="CB201" i="11"/>
  <c r="CK209" i="11"/>
  <c r="CI252" i="11"/>
  <c r="U288" i="11"/>
  <c r="S291" i="11"/>
  <c r="AL329" i="11"/>
  <c r="AQ329" i="11"/>
  <c r="AN355" i="11"/>
  <c r="AI355" i="11"/>
  <c r="CH137" i="11"/>
  <c r="CH135" i="11"/>
  <c r="CX12" i="11"/>
  <c r="BB18" i="11"/>
  <c r="AU52" i="11"/>
  <c r="CI76" i="11"/>
  <c r="CF12" i="11"/>
  <c r="AB52" i="11"/>
  <c r="DF151" i="11"/>
  <c r="BN269" i="11"/>
  <c r="CH9" i="11"/>
  <c r="BI16" i="11"/>
  <c r="AT15" i="11"/>
  <c r="AB18" i="11"/>
  <c r="AZ18" i="11"/>
  <c r="DG25" i="11"/>
  <c r="BF39" i="11"/>
  <c r="CR43" i="11"/>
  <c r="P10" i="13" s="1"/>
  <c r="BM46" i="11"/>
  <c r="BH46" i="11"/>
  <c r="CE52" i="11"/>
  <c r="CS52" i="11"/>
  <c r="DB56" i="11"/>
  <c r="DF64" i="11"/>
  <c r="BN74" i="11"/>
  <c r="CC75" i="11"/>
  <c r="BM76" i="11"/>
  <c r="BZ83" i="11"/>
  <c r="CE83" i="11"/>
  <c r="CR80" i="11"/>
  <c r="CI83" i="11"/>
  <c r="CW92" i="11"/>
  <c r="AJ100" i="11"/>
  <c r="O101" i="11"/>
  <c r="AH101" i="11"/>
  <c r="CA101" i="11"/>
  <c r="BV101" i="11"/>
  <c r="CG101" i="11"/>
  <c r="CC110" i="11"/>
  <c r="BL113" i="11"/>
  <c r="BG113" i="11"/>
  <c r="CW110" i="11"/>
  <c r="CX113" i="11"/>
  <c r="CS113" i="11"/>
  <c r="M119" i="11"/>
  <c r="BP119" i="11"/>
  <c r="CJ119" i="11"/>
  <c r="CS131" i="11"/>
  <c r="BX161" i="11"/>
  <c r="BX164" i="11" s="1"/>
  <c r="BJ164" i="11"/>
  <c r="CD164" i="11"/>
  <c r="CX164" i="11"/>
  <c r="AO174" i="11"/>
  <c r="AO177" i="11" s="1"/>
  <c r="AJ181" i="11"/>
  <c r="BZ183" i="11"/>
  <c r="CC198" i="11"/>
  <c r="CL209" i="11"/>
  <c r="CF234" i="11"/>
  <c r="AM329" i="11"/>
  <c r="CS18" i="11"/>
  <c r="BX37" i="11"/>
  <c r="AV52" i="11"/>
  <c r="BS16" i="11"/>
  <c r="BD17" i="11"/>
  <c r="CJ18" i="11"/>
  <c r="Z16" i="11"/>
  <c r="DH24" i="11"/>
  <c r="DH27" i="11" s="1"/>
  <c r="CW24" i="11"/>
  <c r="AY38" i="11"/>
  <c r="AM39" i="11"/>
  <c r="BG39" i="11"/>
  <c r="CE39" i="11"/>
  <c r="O39" i="11"/>
  <c r="CW45" i="11"/>
  <c r="AV46" i="11"/>
  <c r="BI43" i="11"/>
  <c r="CT46" i="11"/>
  <c r="CR45" i="11"/>
  <c r="BJ46" i="11"/>
  <c r="BE58" i="11"/>
  <c r="CC62" i="11"/>
  <c r="BX61" i="11"/>
  <c r="AY61" i="11"/>
  <c r="AY64" i="11" s="1"/>
  <c r="CN64" i="11"/>
  <c r="CV70" i="11"/>
  <c r="BJ76" i="11"/>
  <c r="BN80" i="11"/>
  <c r="CV83" i="11"/>
  <c r="CM93" i="11"/>
  <c r="DI92" i="11"/>
  <c r="DI95" i="11" s="1"/>
  <c r="BI99" i="11"/>
  <c r="AO100" i="11"/>
  <c r="DI101" i="11"/>
  <c r="P98" i="11"/>
  <c r="AI101" i="11"/>
  <c r="DD107" i="11"/>
  <c r="N119" i="11"/>
  <c r="AW119" i="11"/>
  <c r="BQ119" i="11"/>
  <c r="DE119" i="11"/>
  <c r="DC119" i="11"/>
  <c r="CR162" i="11"/>
  <c r="BK164" i="11"/>
  <c r="AN183" i="11"/>
  <c r="Z332" i="11"/>
  <c r="Z334" i="11"/>
  <c r="Z111" i="11"/>
  <c r="DB111" i="11"/>
  <c r="AS113" i="11"/>
  <c r="CD113" i="11"/>
  <c r="BY131" i="11"/>
  <c r="DB137" i="11"/>
  <c r="BK138" i="11"/>
  <c r="CD138" i="11"/>
  <c r="CW150" i="11"/>
  <c r="BL164" i="11"/>
  <c r="CJ164" i="11"/>
  <c r="AT181" i="11"/>
  <c r="CA183" i="11"/>
  <c r="CM206" i="11"/>
  <c r="CE215" i="11"/>
  <c r="CJ234" i="11"/>
  <c r="AY250" i="11"/>
  <c r="AB252" i="11"/>
  <c r="AV252" i="11"/>
  <c r="BO252" i="11"/>
  <c r="BT252" i="11"/>
  <c r="CG252" i="11"/>
  <c r="AZ265" i="11"/>
  <c r="BT265" i="11"/>
  <c r="BI281" i="11"/>
  <c r="AO316" i="11"/>
  <c r="AT316" i="11"/>
  <c r="X317" i="11"/>
  <c r="Q338" i="11"/>
  <c r="Q341" i="11" s="1"/>
  <c r="DN500" i="11"/>
  <c r="CR501" i="11"/>
  <c r="CQ502" i="11"/>
  <c r="DK80" i="11"/>
  <c r="DK83" i="11" s="1"/>
  <c r="BV83" i="11"/>
  <c r="DF83" i="11"/>
  <c r="P116" i="11"/>
  <c r="AH119" i="11"/>
  <c r="DG137" i="11"/>
  <c r="CE138" i="11"/>
  <c r="Z144" i="11"/>
  <c r="DB150" i="11"/>
  <c r="CO151" i="11"/>
  <c r="DB162" i="11"/>
  <c r="CF164" i="11"/>
  <c r="AY181" i="11"/>
  <c r="AT180" i="11"/>
  <c r="W183" i="11"/>
  <c r="AP183" i="11"/>
  <c r="BJ183" i="11"/>
  <c r="AU395" i="11"/>
  <c r="AU503" i="11" s="1"/>
  <c r="BS212" i="11"/>
  <c r="BM215" i="11"/>
  <c r="CF215" i="11"/>
  <c r="BX233" i="11"/>
  <c r="BS231" i="11"/>
  <c r="BP234" i="11"/>
  <c r="BD249" i="11"/>
  <c r="J252" i="11"/>
  <c r="AW252" i="11"/>
  <c r="BP252" i="11"/>
  <c r="AG265" i="11"/>
  <c r="BN281" i="11"/>
  <c r="T283" i="11"/>
  <c r="AO280" i="11"/>
  <c r="AY321" i="11"/>
  <c r="AX341" i="11"/>
  <c r="H349" i="11"/>
  <c r="BD435" i="11"/>
  <c r="DO476" i="11"/>
  <c r="DO500" i="11" s="1"/>
  <c r="BO505" i="11"/>
  <c r="DL102" i="11"/>
  <c r="DL105" i="11" s="1"/>
  <c r="Q119" i="11"/>
  <c r="AI119" i="11"/>
  <c r="BA119" i="11"/>
  <c r="Z118" i="11"/>
  <c r="BB119" i="11"/>
  <c r="DL135" i="11"/>
  <c r="CY138" i="11"/>
  <c r="CP151" i="11"/>
  <c r="DB161" i="11"/>
  <c r="Z11" i="13" s="1"/>
  <c r="R177" i="11"/>
  <c r="BK183" i="11"/>
  <c r="CX183" i="11"/>
  <c r="CI195" i="11"/>
  <c r="CZ200" i="11"/>
  <c r="CN201" i="11"/>
  <c r="BS213" i="11"/>
  <c r="BX212" i="11"/>
  <c r="BX214" i="11"/>
  <c r="BO215" i="11"/>
  <c r="CG215" i="11"/>
  <c r="BX231" i="11"/>
  <c r="S234" i="11"/>
  <c r="CL234" i="11"/>
  <c r="AO238" i="11"/>
  <c r="AE239" i="11"/>
  <c r="V283" i="11"/>
  <c r="BJ283" i="11"/>
  <c r="Y302" i="11"/>
  <c r="T302" i="11"/>
  <c r="AO300" i="11"/>
  <c r="BM317" i="11"/>
  <c r="AR329" i="11"/>
  <c r="AT334" i="11"/>
  <c r="AZ341" i="11"/>
  <c r="BP505" i="11"/>
  <c r="R119" i="11"/>
  <c r="CO119" i="11"/>
  <c r="CT131" i="11"/>
  <c r="CG138" i="11"/>
  <c r="CW141" i="11"/>
  <c r="U9" i="13" s="1"/>
  <c r="BO164" i="11"/>
  <c r="DC164" i="11"/>
  <c r="AL177" i="11"/>
  <c r="Y183" i="11"/>
  <c r="AR183" i="11"/>
  <c r="CI199" i="11"/>
  <c r="G8" i="13" s="1"/>
  <c r="CN200" i="11"/>
  <c r="DA200" i="11"/>
  <c r="BP215" i="11"/>
  <c r="CO221" i="11"/>
  <c r="CC233" i="11"/>
  <c r="AJ239" i="11"/>
  <c r="BD237" i="11"/>
  <c r="BB240" i="11"/>
  <c r="BW265" i="11"/>
  <c r="AT274" i="11"/>
  <c r="AS277" i="11"/>
  <c r="AB283" i="11"/>
  <c r="W283" i="11"/>
  <c r="Z301" i="11"/>
  <c r="AK119" i="11"/>
  <c r="CT144" i="11"/>
  <c r="DI148" i="11"/>
  <c r="DI151" i="11" s="1"/>
  <c r="AS183" i="11"/>
  <c r="CW226" i="11"/>
  <c r="CO228" i="11"/>
  <c r="P226" i="11"/>
  <c r="CH231" i="11"/>
  <c r="CM234" i="11" s="1"/>
  <c r="V234" i="11"/>
  <c r="P237" i="11"/>
  <c r="AJ237" i="11"/>
  <c r="CO240" i="11"/>
  <c r="Q323" i="11"/>
  <c r="BQ323" i="11"/>
  <c r="CH92" i="11"/>
  <c r="CH95" i="11" s="1"/>
  <c r="CP95" i="11"/>
  <c r="Q101" i="11"/>
  <c r="DB106" i="11"/>
  <c r="AY111" i="11"/>
  <c r="DK110" i="11"/>
  <c r="DK113" i="11" s="1"/>
  <c r="M113" i="11"/>
  <c r="AG113" i="11"/>
  <c r="Y119" i="11"/>
  <c r="CY125" i="11"/>
  <c r="CW129" i="11"/>
  <c r="CD131" i="11"/>
  <c r="CV131" i="11"/>
  <c r="BP138" i="11"/>
  <c r="CU144" i="11"/>
  <c r="CR149" i="11"/>
  <c r="DJ148" i="11"/>
  <c r="DJ151" i="11" s="1"/>
  <c r="DM155" i="11"/>
  <c r="BO183" i="11"/>
  <c r="U221" i="11"/>
  <c r="CR218" i="11"/>
  <c r="CR219" i="11" s="1"/>
  <c r="P14" i="13" s="1"/>
  <c r="CO219" i="11"/>
  <c r="M14" i="13" s="1"/>
  <c r="AJ220" i="11"/>
  <c r="Z226" i="11"/>
  <c r="BV228" i="11"/>
  <c r="Q240" i="11"/>
  <c r="BE240" i="11"/>
  <c r="CP240" i="11"/>
  <c r="AY244" i="11"/>
  <c r="AT243" i="11"/>
  <c r="BU252" i="11"/>
  <c r="AI323" i="11"/>
  <c r="AY320" i="11"/>
  <c r="AO333" i="11"/>
  <c r="AJ333" i="11"/>
  <c r="BI332" i="11"/>
  <c r="BI334" i="11"/>
  <c r="R335" i="11"/>
  <c r="BQ76" i="11"/>
  <c r="CM94" i="11"/>
  <c r="CQ95" i="11"/>
  <c r="CR94" i="11"/>
  <c r="AY98" i="11"/>
  <c r="BD101" i="11" s="1"/>
  <c r="BZ101" i="11"/>
  <c r="DG106" i="11"/>
  <c r="BD111" i="11"/>
  <c r="CM112" i="11"/>
  <c r="N113" i="11"/>
  <c r="AM113" i="11"/>
  <c r="BA113" i="11"/>
  <c r="CK113" i="11"/>
  <c r="DE113" i="11"/>
  <c r="P117" i="11"/>
  <c r="CR117" i="11"/>
  <c r="CR116" i="11"/>
  <c r="BX128" i="11"/>
  <c r="CE131" i="11"/>
  <c r="BQ138" i="11"/>
  <c r="AY144" i="11"/>
  <c r="CV144" i="11"/>
  <c r="DK148" i="11"/>
  <c r="DK151" i="11" s="1"/>
  <c r="CW148" i="11"/>
  <c r="DN154" i="11"/>
  <c r="CC175" i="11"/>
  <c r="BS176" i="11"/>
  <c r="BS174" i="11"/>
  <c r="BZ177" i="11"/>
  <c r="CS177" i="11"/>
  <c r="AC183" i="11"/>
  <c r="BP183" i="11"/>
  <c r="CI183" i="11"/>
  <c r="CL395" i="11"/>
  <c r="CQ398" i="11" s="1"/>
  <c r="CL200" i="11"/>
  <c r="DE395" i="11"/>
  <c r="DE200" i="11"/>
  <c r="DJ197" i="11"/>
  <c r="DC201" i="11"/>
  <c r="AO220" i="11"/>
  <c r="CP222" i="11"/>
  <c r="AE226" i="11"/>
  <c r="P227" i="11"/>
  <c r="CR225" i="11"/>
  <c r="P13" i="13" s="1"/>
  <c r="BW228" i="11"/>
  <c r="CQ228" i="11"/>
  <c r="AD231" i="11"/>
  <c r="AI234" i="11" s="1"/>
  <c r="BI238" i="11"/>
  <c r="AY239" i="11"/>
  <c r="R240" i="11"/>
  <c r="AL240" i="11"/>
  <c r="BD244" i="11"/>
  <c r="AY268" i="11"/>
  <c r="BV291" i="11"/>
  <c r="BN289" i="11"/>
  <c r="CC320" i="11"/>
  <c r="CC322" i="11"/>
  <c r="BX56" i="11"/>
  <c r="AT55" i="11"/>
  <c r="DL54" i="11"/>
  <c r="DL57" i="11" s="1"/>
  <c r="CR62" i="11"/>
  <c r="BB64" i="11"/>
  <c r="CP64" i="11"/>
  <c r="AJ74" i="11"/>
  <c r="AZ76" i="11"/>
  <c r="BR76" i="11"/>
  <c r="CL76" i="11"/>
  <c r="BO83" i="11"/>
  <c r="CM92" i="11"/>
  <c r="BD100" i="11"/>
  <c r="S101" i="11"/>
  <c r="CU101" i="11"/>
  <c r="DL103" i="11"/>
  <c r="DL106" i="11" s="1"/>
  <c r="DC107" i="11"/>
  <c r="P110" i="11"/>
  <c r="P113" i="11" s="1"/>
  <c r="CR110" i="11"/>
  <c r="O113" i="11"/>
  <c r="BR113" i="11"/>
  <c r="CL113" i="11"/>
  <c r="DF113" i="11"/>
  <c r="DK116" i="11"/>
  <c r="DK119" i="11" s="1"/>
  <c r="CS119" i="11"/>
  <c r="DI122" i="11"/>
  <c r="DI125" i="11" s="1"/>
  <c r="CF131" i="11"/>
  <c r="BR138" i="11"/>
  <c r="DB149" i="11"/>
  <c r="BY164" i="11"/>
  <c r="CS164" i="11"/>
  <c r="CR168" i="11"/>
  <c r="AU177" i="11"/>
  <c r="BL177" i="11"/>
  <c r="CA177" i="11"/>
  <c r="CT177" i="11"/>
  <c r="BX182" i="11"/>
  <c r="AW183" i="11"/>
  <c r="CM197" i="11"/>
  <c r="AX201" i="11"/>
  <c r="BE200" i="11"/>
  <c r="BY222" i="11"/>
  <c r="CQ222" i="11"/>
  <c r="AJ226" i="11"/>
  <c r="U227" i="11"/>
  <c r="CW227" i="11"/>
  <c r="BJ228" i="11"/>
  <c r="BE228" i="11"/>
  <c r="BY228" i="11"/>
  <c r="BN237" i="11"/>
  <c r="BN238" i="11"/>
  <c r="BD239" i="11"/>
  <c r="S240" i="11"/>
  <c r="AM240" i="11"/>
  <c r="BI244" i="11"/>
  <c r="AU246" i="11"/>
  <c r="BV258" i="11"/>
  <c r="CA258" i="11"/>
  <c r="AO269" i="11"/>
  <c r="BD270" i="11"/>
  <c r="AY288" i="11"/>
  <c r="BD307" i="11"/>
  <c r="CF390" i="11"/>
  <c r="CK390" i="11"/>
  <c r="AY55" i="11"/>
  <c r="DK55" i="11"/>
  <c r="DK58" i="11" s="1"/>
  <c r="CW62" i="11"/>
  <c r="CR63" i="11"/>
  <c r="BD61" i="11"/>
  <c r="BW64" i="11"/>
  <c r="CQ64" i="11"/>
  <c r="AO74" i="11"/>
  <c r="BA76" i="11"/>
  <c r="CW94" i="11"/>
  <c r="CC99" i="11"/>
  <c r="AS101" i="11"/>
  <c r="CV101" i="11"/>
  <c r="Q113" i="11"/>
  <c r="BT113" i="11"/>
  <c r="BD116" i="11"/>
  <c r="CB119" i="11"/>
  <c r="CT119" i="11"/>
  <c r="DJ122" i="11"/>
  <c r="DJ125" i="11" s="1"/>
  <c r="CG131" i="11"/>
  <c r="BN137" i="11"/>
  <c r="CM175" i="11"/>
  <c r="CU177" i="11"/>
  <c r="CJ189" i="11"/>
  <c r="DE194" i="11"/>
  <c r="DK197" i="11"/>
  <c r="DK395" i="11" s="1"/>
  <c r="BP200" i="11"/>
  <c r="Y222" i="11"/>
  <c r="T222" i="11"/>
  <c r="BF222" i="11"/>
  <c r="BZ222" i="11"/>
  <c r="BF228" i="11"/>
  <c r="BZ228" i="11"/>
  <c r="BO246" i="11"/>
  <c r="CI246" i="11"/>
  <c r="BI268" i="11"/>
  <c r="AF277" i="11"/>
  <c r="BX289" i="11"/>
  <c r="BS288" i="11"/>
  <c r="AE306" i="11"/>
  <c r="BB329" i="11"/>
  <c r="BG329" i="11"/>
  <c r="CW16" i="11"/>
  <c r="CH15" i="11"/>
  <c r="BW18" i="11"/>
  <c r="CP18" i="11"/>
  <c r="DL21" i="11"/>
  <c r="CR24" i="11"/>
  <c r="DB24" i="11"/>
  <c r="BN37" i="11"/>
  <c r="BN36" i="11"/>
  <c r="W39" i="11"/>
  <c r="BK39" i="11"/>
  <c r="CD39" i="11"/>
  <c r="BD44" i="11"/>
  <c r="DB45" i="11"/>
  <c r="AW46" i="11"/>
  <c r="CU46" i="11"/>
  <c r="BN49" i="11"/>
  <c r="AN52" i="11"/>
  <c r="CA52" i="11"/>
  <c r="CM56" i="11"/>
  <c r="CJ58" i="11"/>
  <c r="DB63" i="11"/>
  <c r="AT73" i="11"/>
  <c r="CR81" i="11"/>
  <c r="CM80" i="11"/>
  <c r="CM83" i="11" s="1"/>
  <c r="CJ83" i="11"/>
  <c r="CO95" i="11"/>
  <c r="CM99" i="11"/>
  <c r="AU101" i="11"/>
  <c r="CD101" i="11"/>
  <c r="DE107" i="11"/>
  <c r="Z112" i="11"/>
  <c r="DB112" i="11"/>
  <c r="AL113" i="11"/>
  <c r="BU113" i="11"/>
  <c r="L119" i="11"/>
  <c r="AC119" i="11"/>
  <c r="BJ119" i="11"/>
  <c r="CU119" i="11"/>
  <c r="DG122" i="11"/>
  <c r="BS137" i="11"/>
  <c r="CN138" i="11"/>
  <c r="DL146" i="11"/>
  <c r="CY151" i="11"/>
  <c r="AY161" i="11"/>
  <c r="BH164" i="11"/>
  <c r="CV177" i="11"/>
  <c r="BW200" i="11"/>
  <c r="CO395" i="11"/>
  <c r="CO199" i="11"/>
  <c r="M8" i="13" s="1"/>
  <c r="AQ199" i="11"/>
  <c r="U219" i="11"/>
  <c r="U222" i="11" s="1"/>
  <c r="CA222" i="11"/>
  <c r="AE225" i="11"/>
  <c r="CC227" i="11"/>
  <c r="BS244" i="11"/>
  <c r="CJ246" i="11"/>
  <c r="AY269" i="11"/>
  <c r="BN268" i="11"/>
  <c r="BN270" i="11"/>
  <c r="BD275" i="11"/>
  <c r="AJ275" i="11"/>
  <c r="P288" i="11"/>
  <c r="AJ306" i="11"/>
  <c r="CH387" i="11"/>
  <c r="BH222" i="11"/>
  <c r="AJ225" i="11"/>
  <c r="BG228" i="11"/>
  <c r="BI239" i="11"/>
  <c r="U237" i="11"/>
  <c r="U240" i="11" s="1"/>
  <c r="AO237" i="11"/>
  <c r="CQ240" i="11"/>
  <c r="BX244" i="11"/>
  <c r="BI250" i="11"/>
  <c r="BI251" i="11"/>
  <c r="AD252" i="11"/>
  <c r="BQ252" i="11"/>
  <c r="AI265" i="11"/>
  <c r="BB265" i="11"/>
  <c r="BU265" i="11"/>
  <c r="BI275" i="11"/>
  <c r="X283" i="11"/>
  <c r="AR283" i="11"/>
  <c r="U289" i="11"/>
  <c r="AJ290" i="11"/>
  <c r="AM291" i="11"/>
  <c r="AJ295" i="11"/>
  <c r="AJ301" i="11"/>
  <c r="X302" i="11"/>
  <c r="AV317" i="11"/>
  <c r="AN329" i="11"/>
  <c r="BN334" i="11"/>
  <c r="AW349" i="11"/>
  <c r="BD352" i="11"/>
  <c r="AT360" i="11"/>
  <c r="BS422" i="11"/>
  <c r="CH213" i="11"/>
  <c r="BR215" i="11"/>
  <c r="CN215" i="11"/>
  <c r="BD219" i="11"/>
  <c r="BJ222" i="11"/>
  <c r="CU222" i="11"/>
  <c r="AO227" i="11"/>
  <c r="AP228" i="11"/>
  <c r="BH228" i="11"/>
  <c r="CA228" i="11"/>
  <c r="AJ227" i="11"/>
  <c r="X234" i="11"/>
  <c r="BX238" i="11"/>
  <c r="V240" i="11"/>
  <c r="BI237" i="11"/>
  <c r="M252" i="11"/>
  <c r="AJ262" i="11"/>
  <c r="BV265" i="11"/>
  <c r="BG265" i="11"/>
  <c r="BB277" i="11"/>
  <c r="AE282" i="11"/>
  <c r="Z289" i="11"/>
  <c r="AO290" i="11"/>
  <c r="AN291" i="11"/>
  <c r="AO295" i="11"/>
  <c r="Z300" i="11"/>
  <c r="BI316" i="11"/>
  <c r="BN314" i="11"/>
  <c r="K320" i="11"/>
  <c r="K323" i="11" s="1"/>
  <c r="BV323" i="11"/>
  <c r="AP323" i="11"/>
  <c r="AT333" i="11"/>
  <c r="AF349" i="11"/>
  <c r="U357" i="11"/>
  <c r="BN376" i="11"/>
  <c r="BN378" i="11"/>
  <c r="U415" i="11"/>
  <c r="T418" i="11"/>
  <c r="BR424" i="11"/>
  <c r="CJ215" i="11"/>
  <c r="AQ222" i="11"/>
  <c r="BK222" i="11"/>
  <c r="CD222" i="11"/>
  <c r="CV222" i="11"/>
  <c r="AQ228" i="11"/>
  <c r="CB228" i="11"/>
  <c r="CT228" i="11"/>
  <c r="AK229" i="11"/>
  <c r="AO229" i="11" s="1"/>
  <c r="AO231" i="11" s="1"/>
  <c r="Y234" i="11"/>
  <c r="CK234" i="11"/>
  <c r="BS237" i="11"/>
  <c r="W240" i="11"/>
  <c r="BJ240" i="11"/>
  <c r="BT246" i="11"/>
  <c r="CN246" i="11"/>
  <c r="R265" i="11"/>
  <c r="BD262" i="11"/>
  <c r="BH271" i="11"/>
  <c r="AL277" i="11"/>
  <c r="BC277" i="11"/>
  <c r="AA302" i="11"/>
  <c r="I308" i="11"/>
  <c r="AB308" i="11"/>
  <c r="AU308" i="11"/>
  <c r="AE314" i="11"/>
  <c r="BO317" i="11"/>
  <c r="AM323" i="11"/>
  <c r="BC323" i="11"/>
  <c r="BC341" i="11"/>
  <c r="AG349" i="11"/>
  <c r="AE357" i="11"/>
  <c r="Z357" i="11"/>
  <c r="BX416" i="11"/>
  <c r="AZ424" i="11"/>
  <c r="AW177" i="11"/>
  <c r="CG177" i="11"/>
  <c r="AB183" i="11"/>
  <c r="AU183" i="11"/>
  <c r="CS195" i="11"/>
  <c r="CR197" i="11"/>
  <c r="CR200" i="11" s="1"/>
  <c r="CJ201" i="11"/>
  <c r="DD199" i="11"/>
  <c r="AB8" i="13" s="1"/>
  <c r="DD201" i="11"/>
  <c r="CW213" i="11"/>
  <c r="CW214" i="11"/>
  <c r="BT215" i="11"/>
  <c r="CK215" i="11"/>
  <c r="CC220" i="11"/>
  <c r="BN221" i="11"/>
  <c r="AR222" i="11"/>
  <c r="CE222" i="11"/>
  <c r="BS226" i="11"/>
  <c r="Y228" i="11"/>
  <c r="AR228" i="11"/>
  <c r="BK228" i="11"/>
  <c r="CU228" i="11"/>
  <c r="Z233" i="11"/>
  <c r="AX234" i="11"/>
  <c r="BT234" i="11"/>
  <c r="BX239" i="11"/>
  <c r="X240" i="11"/>
  <c r="AR240" i="11"/>
  <c r="BK240" i="11"/>
  <c r="BU246" i="11"/>
  <c r="BX249" i="11"/>
  <c r="AI252" i="11"/>
  <c r="CM256" i="11"/>
  <c r="AR271" i="11"/>
  <c r="AJ276" i="11"/>
  <c r="AM277" i="11"/>
  <c r="BF277" i="11"/>
  <c r="AT282" i="11"/>
  <c r="BO283" i="11"/>
  <c r="AY290" i="11"/>
  <c r="U305" i="11"/>
  <c r="J308" i="11"/>
  <c r="AV308" i="11"/>
  <c r="AY314" i="11"/>
  <c r="L317" i="11"/>
  <c r="P321" i="11"/>
  <c r="U322" i="11"/>
  <c r="AN323" i="11"/>
  <c r="BE323" i="11"/>
  <c r="BI326" i="11"/>
  <c r="AR335" i="11"/>
  <c r="Z347" i="11"/>
  <c r="AT348" i="11"/>
  <c r="AT346" i="11"/>
  <c r="BB349" i="11"/>
  <c r="BS353" i="11"/>
  <c r="DE396" i="11"/>
  <c r="DE201" i="11"/>
  <c r="BD206" i="11"/>
  <c r="BU215" i="11"/>
  <c r="CL215" i="11"/>
  <c r="CO214" i="11"/>
  <c r="AA222" i="11"/>
  <c r="AS222" i="11"/>
  <c r="BM222" i="11"/>
  <c r="CF222" i="11"/>
  <c r="AA228" i="11"/>
  <c r="BL228" i="11"/>
  <c r="CD228" i="11"/>
  <c r="CC237" i="11"/>
  <c r="CC240" i="11" s="1"/>
  <c r="Y240" i="11"/>
  <c r="AS240" i="11"/>
  <c r="CV240" i="11"/>
  <c r="AK252" i="11"/>
  <c r="BC252" i="11"/>
  <c r="CE258" i="11"/>
  <c r="AS271" i="11"/>
  <c r="AW283" i="11"/>
  <c r="BF323" i="11"/>
  <c r="BZ323" i="11"/>
  <c r="G329" i="11"/>
  <c r="X335" i="11"/>
  <c r="AS335" i="11"/>
  <c r="CM186" i="11"/>
  <c r="BY200" i="11"/>
  <c r="CL199" i="11"/>
  <c r="J8" i="13" s="1"/>
  <c r="BW209" i="11"/>
  <c r="BV215" i="11"/>
  <c r="BX219" i="11"/>
  <c r="K219" i="11"/>
  <c r="K222" i="11" s="1"/>
  <c r="AB222" i="11"/>
  <c r="BO222" i="11"/>
  <c r="CG222" i="11"/>
  <c r="I228" i="11"/>
  <c r="AB228" i="11"/>
  <c r="BM228" i="11"/>
  <c r="CE228" i="11"/>
  <c r="CX228" i="11"/>
  <c r="CC226" i="11"/>
  <c r="N234" i="11"/>
  <c r="AZ234" i="11"/>
  <c r="BV234" i="11"/>
  <c r="AA240" i="11"/>
  <c r="CW244" i="11"/>
  <c r="CH250" i="11"/>
  <c r="V252" i="11"/>
  <c r="CH256" i="11"/>
  <c r="Z263" i="11"/>
  <c r="V265" i="11"/>
  <c r="BL265" i="11"/>
  <c r="AF271" i="11"/>
  <c r="AT276" i="11"/>
  <c r="BH277" i="11"/>
  <c r="Z281" i="11"/>
  <c r="AE280" i="11"/>
  <c r="AT288" i="11"/>
  <c r="BI294" i="11"/>
  <c r="AD302" i="11"/>
  <c r="AI308" i="11"/>
  <c r="AH317" i="11"/>
  <c r="CA323" i="11"/>
  <c r="BN332" i="11"/>
  <c r="BD348" i="11"/>
  <c r="BD346" i="11"/>
  <c r="BI348" i="11"/>
  <c r="CS448" i="11"/>
  <c r="Q177" i="11"/>
  <c r="AI177" i="11"/>
  <c r="AZ177" i="11"/>
  <c r="BR177" i="11"/>
  <c r="AF183" i="11"/>
  <c r="AX183" i="11"/>
  <c r="BR183" i="11"/>
  <c r="CR186" i="11"/>
  <c r="BZ200" i="11"/>
  <c r="BV199" i="11"/>
  <c r="BV202" i="11" s="1"/>
  <c r="DI198" i="11"/>
  <c r="DI199" i="11" s="1"/>
  <c r="AG8" i="13" s="1"/>
  <c r="CP199" i="11"/>
  <c r="N8" i="13" s="1"/>
  <c r="BE215" i="11"/>
  <c r="P220" i="11"/>
  <c r="CR220" i="11"/>
  <c r="CC221" i="11"/>
  <c r="L222" i="11"/>
  <c r="AC222" i="11"/>
  <c r="AV222" i="11"/>
  <c r="BP222" i="11"/>
  <c r="CH219" i="11"/>
  <c r="CH222" i="11" s="1"/>
  <c r="CH220" i="11"/>
  <c r="J228" i="11"/>
  <c r="BN225" i="11"/>
  <c r="AG231" i="11"/>
  <c r="BW234" i="11"/>
  <c r="AB240" i="11"/>
  <c r="BY246" i="11"/>
  <c r="CR243" i="11"/>
  <c r="CM251" i="11"/>
  <c r="W252" i="11"/>
  <c r="BO258" i="11"/>
  <c r="W265" i="11"/>
  <c r="AU265" i="11"/>
  <c r="U269" i="11"/>
  <c r="AJ270" i="11"/>
  <c r="AJ268" i="11"/>
  <c r="N271" i="11"/>
  <c r="AB271" i="11"/>
  <c r="AE269" i="11"/>
  <c r="AY276" i="11"/>
  <c r="AP277" i="11"/>
  <c r="AU291" i="11"/>
  <c r="AE300" i="11"/>
  <c r="BC302" i="11"/>
  <c r="AJ305" i="11"/>
  <c r="AO308" i="11" s="1"/>
  <c r="AJ307" i="11"/>
  <c r="AG308" i="11"/>
  <c r="P314" i="11"/>
  <c r="O317" i="11"/>
  <c r="AE321" i="11"/>
  <c r="AJ322" i="11"/>
  <c r="CB323" i="11"/>
  <c r="BK323" i="11"/>
  <c r="BE349" i="11"/>
  <c r="DB388" i="11"/>
  <c r="CR413" i="11"/>
  <c r="CR416" i="11" s="1"/>
  <c r="CP416" i="11"/>
  <c r="CC447" i="11"/>
  <c r="CJ170" i="11"/>
  <c r="BA177" i="11"/>
  <c r="CK177" i="11"/>
  <c r="BD175" i="11"/>
  <c r="CH182" i="11"/>
  <c r="AG183" i="11"/>
  <c r="CK183" i="11"/>
  <c r="CV189" i="11"/>
  <c r="CA200" i="11"/>
  <c r="AI199" i="11"/>
  <c r="DJ198" i="11"/>
  <c r="M222" i="11"/>
  <c r="AD222" i="11"/>
  <c r="AW222" i="11"/>
  <c r="BQ222" i="11"/>
  <c r="L228" i="11"/>
  <c r="AD228" i="11"/>
  <c r="BO228" i="11"/>
  <c r="CG228" i="11"/>
  <c r="CI228" i="11"/>
  <c r="AT231" i="11"/>
  <c r="L234" i="11"/>
  <c r="BC234" i="11"/>
  <c r="AC240" i="11"/>
  <c r="CH237" i="11"/>
  <c r="G252" i="11"/>
  <c r="X252" i="11"/>
  <c r="BZ252" i="11"/>
  <c r="BN255" i="11"/>
  <c r="AC265" i="11"/>
  <c r="AV265" i="11"/>
  <c r="AO270" i="11"/>
  <c r="AW271" i="11"/>
  <c r="BM271" i="11"/>
  <c r="BG271" i="11"/>
  <c r="AG283" i="11"/>
  <c r="AZ283" i="11"/>
  <c r="AF302" i="11"/>
  <c r="N308" i="11"/>
  <c r="AH308" i="11"/>
  <c r="AK317" i="11"/>
  <c r="BJ323" i="11"/>
  <c r="K328" i="11"/>
  <c r="S349" i="11"/>
  <c r="BF349" i="11"/>
  <c r="BS354" i="11"/>
  <c r="AU371" i="11"/>
  <c r="DE391" i="11"/>
  <c r="BS397" i="11"/>
  <c r="BS440" i="11"/>
  <c r="BE447" i="11"/>
  <c r="AZ445" i="11"/>
  <c r="DL90" i="11"/>
  <c r="DM90" i="11" s="1"/>
  <c r="DN90" i="11" s="1"/>
  <c r="DO90" i="11" s="1"/>
  <c r="DP90" i="11" s="1"/>
  <c r="DB92" i="11"/>
  <c r="AT99" i="11"/>
  <c r="Z100" i="11"/>
  <c r="DB100" i="11"/>
  <c r="AF101" i="11"/>
  <c r="P111" i="11"/>
  <c r="CM111" i="11"/>
  <c r="W113" i="11"/>
  <c r="AP113" i="11"/>
  <c r="BZ113" i="11"/>
  <c r="CY113" i="11"/>
  <c r="AB119" i="11"/>
  <c r="BM119" i="11"/>
  <c r="CF119" i="11"/>
  <c r="DB124" i="11"/>
  <c r="BV138" i="11"/>
  <c r="DG143" i="11"/>
  <c r="DD144" i="11"/>
  <c r="DG149" i="11"/>
  <c r="AO161" i="11"/>
  <c r="DI161" i="11"/>
  <c r="AG11" i="13" s="1"/>
  <c r="CQ164" i="11"/>
  <c r="CK170" i="11"/>
  <c r="S177" i="11"/>
  <c r="AK177" i="11"/>
  <c r="CR181" i="11"/>
  <c r="AH183" i="11"/>
  <c r="BT183" i="11"/>
  <c r="CL195" i="11"/>
  <c r="BH200" i="11"/>
  <c r="CT200" i="11"/>
  <c r="AJ198" i="11"/>
  <c r="BC396" i="11"/>
  <c r="BC504" i="11" s="1"/>
  <c r="BX198" i="11"/>
  <c r="CU201" i="11"/>
  <c r="BG209" i="11"/>
  <c r="CA209" i="11"/>
  <c r="CW206" i="11"/>
  <c r="Z220" i="11"/>
  <c r="P221" i="11"/>
  <c r="CM219" i="11"/>
  <c r="K14" i="13" s="1"/>
  <c r="N222" i="11"/>
  <c r="AF222" i="11"/>
  <c r="AX222" i="11"/>
  <c r="CM226" i="11"/>
  <c r="BX227" i="11"/>
  <c r="BP228" i="11"/>
  <c r="BN226" i="11"/>
  <c r="M234" i="11"/>
  <c r="BE231" i="11"/>
  <c r="BE234" i="11" s="1"/>
  <c r="BY234" i="11"/>
  <c r="CT234" i="11"/>
  <c r="AE238" i="11"/>
  <c r="U239" i="11"/>
  <c r="CW239" i="11"/>
  <c r="AE237" i="11"/>
  <c r="BS257" i="11"/>
  <c r="CI258" i="11"/>
  <c r="AT270" i="11"/>
  <c r="AX271" i="11"/>
  <c r="BN274" i="11"/>
  <c r="AD291" i="11"/>
  <c r="AW291" i="11"/>
  <c r="BP291" i="11"/>
  <c r="AL302" i="11"/>
  <c r="AG302" i="11"/>
  <c r="P306" i="11"/>
  <c r="AT307" i="11"/>
  <c r="BB308" i="11"/>
  <c r="AL317" i="11"/>
  <c r="AO321" i="11"/>
  <c r="AH323" i="11"/>
  <c r="AX323" i="11"/>
  <c r="AE328" i="11"/>
  <c r="AX335" i="11"/>
  <c r="AN349" i="11"/>
  <c r="DF388" i="11"/>
  <c r="DF391" i="11" s="1"/>
  <c r="BT449" i="11"/>
  <c r="BX449" i="11" s="1"/>
  <c r="BY437" i="11"/>
  <c r="BX437" i="11"/>
  <c r="BX440" i="11" s="1"/>
  <c r="CH443" i="11"/>
  <c r="CH446" i="11" s="1"/>
  <c r="AF335" i="11"/>
  <c r="BA341" i="11"/>
  <c r="AE348" i="11"/>
  <c r="Z346" i="11"/>
  <c r="I349" i="11"/>
  <c r="AH349" i="11"/>
  <c r="P352" i="11"/>
  <c r="AC355" i="11"/>
  <c r="AE353" i="11"/>
  <c r="BD370" i="11"/>
  <c r="AV371" i="11"/>
  <c r="BG379" i="11"/>
  <c r="U416" i="11"/>
  <c r="CC423" i="11"/>
  <c r="CC421" i="11"/>
  <c r="BF446" i="11"/>
  <c r="BK446" i="11"/>
  <c r="AG341" i="11"/>
  <c r="AI349" i="11"/>
  <c r="G355" i="11"/>
  <c r="AD355" i="11"/>
  <c r="BH379" i="11"/>
  <c r="BO385" i="11"/>
  <c r="AY415" i="11"/>
  <c r="AY418" i="11" s="1"/>
  <c r="AW418" i="11"/>
  <c r="BB424" i="11"/>
  <c r="BC427" i="11"/>
  <c r="CC435" i="11"/>
  <c r="BL436" i="11"/>
  <c r="BG446" i="11"/>
  <c r="AT332" i="11"/>
  <c r="AT335" i="11" s="1"/>
  <c r="N335" i="11"/>
  <c r="P347" i="11"/>
  <c r="X355" i="11"/>
  <c r="AO357" i="11"/>
  <c r="AT362" i="11"/>
  <c r="CK388" i="11"/>
  <c r="BE427" i="11"/>
  <c r="BM436" i="11"/>
  <c r="CY452" i="11"/>
  <c r="AR355" i="11"/>
  <c r="AB355" i="11"/>
  <c r="CL388" i="11"/>
  <c r="CQ391" i="11" s="1"/>
  <c r="BF427" i="11"/>
  <c r="DD449" i="11"/>
  <c r="DD452" i="11" s="1"/>
  <c r="DD439" i="11"/>
  <c r="DE450" i="11"/>
  <c r="DE439" i="11"/>
  <c r="CF502" i="11"/>
  <c r="U353" i="11"/>
  <c r="AJ354" i="11"/>
  <c r="BI376" i="11"/>
  <c r="BX417" i="11"/>
  <c r="BS417" i="11"/>
  <c r="BL427" i="11"/>
  <c r="BL429" i="11"/>
  <c r="DJ437" i="11"/>
  <c r="DJ439" i="11" s="1"/>
  <c r="DE449" i="11"/>
  <c r="DE452" i="11" s="1"/>
  <c r="DK438" i="11"/>
  <c r="DK450" i="11" s="1"/>
  <c r="DF450" i="11"/>
  <c r="DF451" i="11" s="1"/>
  <c r="DH386" i="11"/>
  <c r="DL386" i="11" s="1"/>
  <c r="DM386" i="11" s="1"/>
  <c r="DG386" i="11"/>
  <c r="DC395" i="11"/>
  <c r="BN360" i="11"/>
  <c r="AY416" i="11"/>
  <c r="CC417" i="11"/>
  <c r="AJ415" i="11"/>
  <c r="AO339" i="11"/>
  <c r="R349" i="11"/>
  <c r="AK349" i="11"/>
  <c r="AE352" i="11"/>
  <c r="BS360" i="11"/>
  <c r="AP371" i="11"/>
  <c r="BD382" i="11"/>
  <c r="BQ385" i="11"/>
  <c r="BJ385" i="11"/>
  <c r="BD416" i="11"/>
  <c r="CH417" i="11"/>
  <c r="Q418" i="11"/>
  <c r="AK418" i="11"/>
  <c r="BE418" i="11"/>
  <c r="CS418" i="11"/>
  <c r="DI437" i="11"/>
  <c r="DI449" i="11" s="1"/>
  <c r="BR454" i="11"/>
  <c r="BM291" i="11"/>
  <c r="AY301" i="11"/>
  <c r="BD305" i="11"/>
  <c r="G308" i="11"/>
  <c r="Y308" i="11"/>
  <c r="AT314" i="11"/>
  <c r="BK317" i="11"/>
  <c r="BD321" i="11"/>
  <c r="BI322" i="11"/>
  <c r="N323" i="11"/>
  <c r="BO323" i="11"/>
  <c r="P328" i="11"/>
  <c r="H329" i="11"/>
  <c r="AA329" i="11"/>
  <c r="AU329" i="11"/>
  <c r="AY333" i="11"/>
  <c r="AA335" i="11"/>
  <c r="BO335" i="11"/>
  <c r="BD333" i="11"/>
  <c r="BD356" i="11"/>
  <c r="BD357" i="11" s="1"/>
  <c r="AQ371" i="11"/>
  <c r="BR385" i="11"/>
  <c r="AL418" i="11"/>
  <c r="BF418" i="11"/>
  <c r="CR428" i="11"/>
  <c r="BP445" i="11"/>
  <c r="BP447" i="11"/>
  <c r="CM501" i="11"/>
  <c r="CM502" i="11" s="1"/>
  <c r="CL502" i="11"/>
  <c r="CM244" i="11"/>
  <c r="BD243" i="11"/>
  <c r="BI246" i="11" s="1"/>
  <c r="BS251" i="11"/>
  <c r="N252" i="11"/>
  <c r="AG252" i="11"/>
  <c r="BA252" i="11"/>
  <c r="CL252" i="11"/>
  <c r="BX256" i="11"/>
  <c r="AH265" i="11"/>
  <c r="BA265" i="11"/>
  <c r="BS268" i="11"/>
  <c r="BS271" i="11" s="1"/>
  <c r="Q271" i="11"/>
  <c r="AE274" i="11"/>
  <c r="AH283" i="11"/>
  <c r="AV291" i="11"/>
  <c r="BO291" i="11"/>
  <c r="AC302" i="11"/>
  <c r="H308" i="11"/>
  <c r="AA308" i="11"/>
  <c r="AF317" i="11"/>
  <c r="O323" i="11"/>
  <c r="AG323" i="11"/>
  <c r="BU323" i="11"/>
  <c r="BD339" i="11"/>
  <c r="U370" i="11"/>
  <c r="AM371" i="11"/>
  <c r="BT400" i="11"/>
  <c r="BN416" i="11"/>
  <c r="AM418" i="11"/>
  <c r="BQ424" i="11"/>
  <c r="BJ428" i="11"/>
  <c r="AY426" i="11"/>
  <c r="BQ445" i="11"/>
  <c r="BQ447" i="11"/>
  <c r="CS451" i="11"/>
  <c r="BX501" i="11"/>
  <c r="DL501" i="11"/>
  <c r="DH502" i="11"/>
  <c r="BO436" i="11"/>
  <c r="AY439" i="11"/>
  <c r="DL478" i="11"/>
  <c r="BP436" i="11"/>
  <c r="CX452" i="11"/>
  <c r="BI502" i="11"/>
  <c r="CW501" i="11"/>
  <c r="BD394" i="11"/>
  <c r="CC415" i="11"/>
  <c r="AE417" i="11"/>
  <c r="AN418" i="11"/>
  <c r="BG418" i="11"/>
  <c r="BY418" i="11"/>
  <c r="AT365" i="11"/>
  <c r="X371" i="11"/>
  <c r="V418" i="11"/>
  <c r="AP418" i="11"/>
  <c r="BH418" i="11"/>
  <c r="BA424" i="11"/>
  <c r="CM429" i="11"/>
  <c r="AY433" i="11"/>
  <c r="CW447" i="11"/>
  <c r="CV502" i="11"/>
  <c r="AS371" i="11"/>
  <c r="CO388" i="11"/>
  <c r="W418" i="11"/>
  <c r="AQ418" i="11"/>
  <c r="AV418" i="11"/>
  <c r="BE424" i="11"/>
  <c r="AZ427" i="11"/>
  <c r="BX427" i="11"/>
  <c r="CM427" i="11"/>
  <c r="AZ436" i="11"/>
  <c r="BG447" i="11"/>
  <c r="BT446" i="11"/>
  <c r="BL502" i="11"/>
  <c r="CD502" i="11"/>
  <c r="BP502" i="11"/>
  <c r="X418" i="11"/>
  <c r="CB418" i="11"/>
  <c r="CC427" i="11"/>
  <c r="BZ437" i="11"/>
  <c r="BV439" i="11"/>
  <c r="BH444" i="11"/>
  <c r="BI444" i="11" s="1"/>
  <c r="CV448" i="11"/>
  <c r="DB449" i="11"/>
  <c r="CY502" i="11"/>
  <c r="N503" i="11"/>
  <c r="Y418" i="11"/>
  <c r="BK418" i="11"/>
  <c r="CC416" i="11"/>
  <c r="AO422" i="11"/>
  <c r="P421" i="11"/>
  <c r="CA437" i="11"/>
  <c r="BJ444" i="11"/>
  <c r="BJ447" i="11" s="1"/>
  <c r="DH448" i="11"/>
  <c r="BB502" i="11"/>
  <c r="CZ502" i="11"/>
  <c r="S421" i="11"/>
  <c r="S424" i="11" s="1"/>
  <c r="DI445" i="11"/>
  <c r="DI448" i="11" s="1"/>
  <c r="CM447" i="11"/>
  <c r="BC502" i="11"/>
  <c r="DA502" i="11"/>
  <c r="BP506" i="11"/>
  <c r="J329" i="11"/>
  <c r="O335" i="11"/>
  <c r="AK335" i="11"/>
  <c r="K346" i="11"/>
  <c r="K349" i="11" s="1"/>
  <c r="AP349" i="11"/>
  <c r="AT353" i="11"/>
  <c r="BI352" i="11"/>
  <c r="BE355" i="11"/>
  <c r="BR355" i="11"/>
  <c r="AY357" i="11"/>
  <c r="AW363" i="11"/>
  <c r="AE369" i="11"/>
  <c r="AD371" i="11"/>
  <c r="BE379" i="11"/>
  <c r="BD386" i="11"/>
  <c r="BD389" i="11" s="1"/>
  <c r="AY388" i="11"/>
  <c r="CD390" i="11"/>
  <c r="DJ388" i="11"/>
  <c r="DJ391" i="11" s="1"/>
  <c r="CV391" i="11"/>
  <c r="BL400" i="11"/>
  <c r="AE416" i="11"/>
  <c r="CU416" i="11"/>
  <c r="DJ414" i="11"/>
  <c r="AB418" i="11"/>
  <c r="AU418" i="11"/>
  <c r="DD415" i="11"/>
  <c r="DD418" i="11" s="1"/>
  <c r="T421" i="11"/>
  <c r="T424" i="11" s="1"/>
  <c r="AW427" i="11"/>
  <c r="BQ428" i="11"/>
  <c r="BI426" i="11"/>
  <c r="BG428" i="11"/>
  <c r="BE436" i="11"/>
  <c r="BI439" i="11"/>
  <c r="BL445" i="11"/>
  <c r="DJ445" i="11"/>
  <c r="DJ448" i="11" s="1"/>
  <c r="BF502" i="11"/>
  <c r="CR500" i="11"/>
  <c r="CI502" i="11"/>
  <c r="BD332" i="11"/>
  <c r="Q335" i="11"/>
  <c r="BA355" i="11"/>
  <c r="BI360" i="11"/>
  <c r="BI363" i="11" s="1"/>
  <c r="AX363" i="11"/>
  <c r="BF379" i="11"/>
  <c r="AZ388" i="11"/>
  <c r="AZ391" i="11" s="1"/>
  <c r="CE390" i="11"/>
  <c r="DK415" i="11"/>
  <c r="DK418" i="11" s="1"/>
  <c r="BP424" i="11"/>
  <c r="AX427" i="11"/>
  <c r="BM445" i="11"/>
  <c r="BL454" i="11"/>
  <c r="BH452" i="11"/>
  <c r="CW500" i="11"/>
  <c r="CJ502" i="11"/>
  <c r="DD502" i="11"/>
  <c r="DL50" i="11"/>
  <c r="DM47" i="11"/>
  <c r="DN47" i="11" s="1"/>
  <c r="DO47" i="11" s="1"/>
  <c r="DP47" i="11" s="1"/>
  <c r="DN28" i="11"/>
  <c r="DH12" i="11"/>
  <c r="BI36" i="11"/>
  <c r="CM130" i="11"/>
  <c r="CM128" i="11"/>
  <c r="CZ138" i="11"/>
  <c r="CU138" i="11"/>
  <c r="BX144" i="11"/>
  <c r="CM182" i="11"/>
  <c r="CM180" i="11"/>
  <c r="BK209" i="11"/>
  <c r="BP209" i="11"/>
  <c r="AE249" i="11"/>
  <c r="AE250" i="11"/>
  <c r="Z251" i="11"/>
  <c r="T265" i="11"/>
  <c r="Y265" i="11"/>
  <c r="AQ265" i="11"/>
  <c r="AL265" i="11"/>
  <c r="DL8" i="11"/>
  <c r="AO15" i="11"/>
  <c r="AD18" i="11"/>
  <c r="BL18" i="11"/>
  <c r="DL23" i="11"/>
  <c r="DP29" i="11"/>
  <c r="DK49" i="11"/>
  <c r="DK52" i="11" s="1"/>
  <c r="DH49" i="11"/>
  <c r="BZ52" i="11"/>
  <c r="BI56" i="11"/>
  <c r="DC58" i="11"/>
  <c r="DG55" i="11"/>
  <c r="DG62" i="11"/>
  <c r="DB62" i="11"/>
  <c r="CZ70" i="11"/>
  <c r="DE70" i="11"/>
  <c r="DD95" i="11"/>
  <c r="DB110" i="11"/>
  <c r="DG112" i="11"/>
  <c r="DA138" i="11"/>
  <c r="CV138" i="11"/>
  <c r="CC144" i="11"/>
  <c r="DG150" i="11"/>
  <c r="CM162" i="11"/>
  <c r="CW181" i="11"/>
  <c r="CR182" i="11"/>
  <c r="CR180" i="11"/>
  <c r="CW182" i="11"/>
  <c r="DB190" i="11"/>
  <c r="DB193" i="11" s="1"/>
  <c r="CZ193" i="11"/>
  <c r="CZ192" i="11"/>
  <c r="DB191" i="11"/>
  <c r="BK387" i="11"/>
  <c r="BK201" i="11"/>
  <c r="BK199" i="11"/>
  <c r="CI201" i="11"/>
  <c r="CD201" i="11"/>
  <c r="CD199" i="11"/>
  <c r="CD202" i="11" s="1"/>
  <c r="CV396" i="11"/>
  <c r="CV201" i="11"/>
  <c r="CV199" i="11"/>
  <c r="T8" i="13" s="1"/>
  <c r="BD207" i="11"/>
  <c r="BN208" i="11"/>
  <c r="BN206" i="11"/>
  <c r="R231" i="11"/>
  <c r="R234" i="11" s="1"/>
  <c r="AO264" i="11"/>
  <c r="U262" i="11"/>
  <c r="AR265" i="11"/>
  <c r="AM265" i="11"/>
  <c r="BJ265" i="11"/>
  <c r="BE265" i="11"/>
  <c r="CS12" i="11"/>
  <c r="AE18" i="11"/>
  <c r="AV18" i="11"/>
  <c r="CC38" i="11"/>
  <c r="BA39" i="11"/>
  <c r="CH44" i="11"/>
  <c r="AE42" i="11"/>
  <c r="AE43" i="11" s="1"/>
  <c r="BX44" i="11"/>
  <c r="DL48" i="11"/>
  <c r="AT49" i="11"/>
  <c r="CW57" i="11"/>
  <c r="CB58" i="11"/>
  <c r="AZ64" i="11"/>
  <c r="DL86" i="11"/>
  <c r="DM84" i="11"/>
  <c r="U110" i="11"/>
  <c r="U112" i="11"/>
  <c r="CW112" i="11"/>
  <c r="DC113" i="11"/>
  <c r="DG110" i="11"/>
  <c r="AN119" i="11"/>
  <c r="CW135" i="11"/>
  <c r="CM144" i="11"/>
  <c r="CM149" i="11"/>
  <c r="CM148" i="11"/>
  <c r="U180" i="11"/>
  <c r="DF193" i="11"/>
  <c r="DA193" i="11"/>
  <c r="DA192" i="11"/>
  <c r="DA195" i="11" s="1"/>
  <c r="DC192" i="11"/>
  <c r="DH191" i="11"/>
  <c r="DG191" i="11"/>
  <c r="DC194" i="11"/>
  <c r="DE193" i="11"/>
  <c r="BL387" i="11"/>
  <c r="BQ201" i="11"/>
  <c r="BL201" i="11"/>
  <c r="BL199" i="11"/>
  <c r="CW198" i="11"/>
  <c r="BI207" i="11"/>
  <c r="BS208" i="11"/>
  <c r="BS206" i="11"/>
  <c r="U229" i="11"/>
  <c r="U231" i="11" s="1"/>
  <c r="CG234" i="11"/>
  <c r="CB234" i="11"/>
  <c r="AE263" i="11"/>
  <c r="AT264" i="11"/>
  <c r="AS265" i="11"/>
  <c r="AN265" i="11"/>
  <c r="AT300" i="11"/>
  <c r="AS302" i="11"/>
  <c r="AF18" i="11"/>
  <c r="BN38" i="11"/>
  <c r="CW43" i="11"/>
  <c r="U10" i="13" s="1"/>
  <c r="BD73" i="11"/>
  <c r="BD76" i="11" s="1"/>
  <c r="BD75" i="11"/>
  <c r="BS100" i="11"/>
  <c r="BS98" i="11"/>
  <c r="T101" i="11"/>
  <c r="AT116" i="11"/>
  <c r="AT119" i="11" s="1"/>
  <c r="AT118" i="11"/>
  <c r="CK138" i="11"/>
  <c r="CF138" i="11"/>
  <c r="CX138" i="11"/>
  <c r="DB135" i="11"/>
  <c r="BG183" i="11"/>
  <c r="BM387" i="11"/>
  <c r="BM201" i="11"/>
  <c r="BM199" i="11"/>
  <c r="CF396" i="11"/>
  <c r="CF201" i="11"/>
  <c r="CF199" i="11"/>
  <c r="CF202" i="11" s="1"/>
  <c r="CK201" i="11"/>
  <c r="CX396" i="11"/>
  <c r="CX201" i="11"/>
  <c r="DB198" i="11"/>
  <c r="AU209" i="11"/>
  <c r="AZ209" i="11"/>
  <c r="BX257" i="11"/>
  <c r="BX255" i="11"/>
  <c r="AJ263" i="11"/>
  <c r="AO263" i="11"/>
  <c r="BD264" i="11"/>
  <c r="AY264" i="11"/>
  <c r="AO262" i="11"/>
  <c r="AU302" i="11"/>
  <c r="AZ302" i="11"/>
  <c r="CU12" i="11"/>
  <c r="BY18" i="11"/>
  <c r="DL22" i="11"/>
  <c r="CC37" i="11"/>
  <c r="AO36" i="11"/>
  <c r="AL39" i="11"/>
  <c r="BT39" i="11"/>
  <c r="CH43" i="11"/>
  <c r="BS51" i="11"/>
  <c r="DG61" i="11"/>
  <c r="CW63" i="11"/>
  <c r="BI75" i="11"/>
  <c r="DG80" i="11"/>
  <c r="BX100" i="11"/>
  <c r="BX98" i="11"/>
  <c r="DL98" i="11"/>
  <c r="BF101" i="11"/>
  <c r="R113" i="11"/>
  <c r="CM110" i="11"/>
  <c r="CR112" i="11"/>
  <c r="AY118" i="11"/>
  <c r="BT138" i="11"/>
  <c r="BO138" i="11"/>
  <c r="CM161" i="11"/>
  <c r="K11" i="13" s="1"/>
  <c r="CR161" i="11"/>
  <c r="P11" i="13" s="1"/>
  <c r="CL170" i="11"/>
  <c r="CJ177" i="11"/>
  <c r="CO177" i="11"/>
  <c r="AE182" i="11"/>
  <c r="AE180" i="11"/>
  <c r="AE183" i="11" s="1"/>
  <c r="AJ182" i="11"/>
  <c r="BH183" i="11"/>
  <c r="DL193" i="11"/>
  <c r="AU396" i="11"/>
  <c r="AU201" i="11"/>
  <c r="AU199" i="11"/>
  <c r="BO387" i="11"/>
  <c r="BT390" i="11" s="1"/>
  <c r="BO201" i="11"/>
  <c r="BO199" i="11"/>
  <c r="BO202" i="11" s="1"/>
  <c r="BS198" i="11"/>
  <c r="CG396" i="11"/>
  <c r="CG201" i="11"/>
  <c r="CG199" i="11"/>
  <c r="CL201" i="11"/>
  <c r="BS207" i="11"/>
  <c r="CC208" i="11"/>
  <c r="CC206" i="11"/>
  <c r="CC209" i="11" s="1"/>
  <c r="AV209" i="11"/>
  <c r="AY206" i="11"/>
  <c r="BA209" i="11"/>
  <c r="BI214" i="11"/>
  <c r="AU228" i="11"/>
  <c r="AZ228" i="11"/>
  <c r="AH229" i="11"/>
  <c r="AC231" i="11"/>
  <c r="AC234" i="11" s="1"/>
  <c r="CC255" i="11"/>
  <c r="CH257" i="11"/>
  <c r="CC257" i="11"/>
  <c r="BI384" i="11"/>
  <c r="BI382" i="11"/>
  <c r="BI385" i="11" s="1"/>
  <c r="BV396" i="11"/>
  <c r="BV390" i="11"/>
  <c r="BV388" i="11"/>
  <c r="CE12" i="11"/>
  <c r="V39" i="11"/>
  <c r="CV52" i="11"/>
  <c r="DL115" i="11"/>
  <c r="CR16" i="11"/>
  <c r="BX36" i="11"/>
  <c r="BX39" i="11" s="1"/>
  <c r="AJ38" i="11"/>
  <c r="AN39" i="11"/>
  <c r="BE39" i="11"/>
  <c r="BD43" i="11"/>
  <c r="CE46" i="11"/>
  <c r="CX46" i="11"/>
  <c r="BP52" i="11"/>
  <c r="CF52" i="11"/>
  <c r="CW49" i="11"/>
  <c r="N52" i="11"/>
  <c r="BI55" i="11"/>
  <c r="CR61" i="11"/>
  <c r="DI64" i="11"/>
  <c r="DN66" i="11"/>
  <c r="DM67" i="11"/>
  <c r="BH76" i="11"/>
  <c r="BS80" i="11"/>
  <c r="CW99" i="11"/>
  <c r="CH100" i="11"/>
  <c r="CW98" i="11"/>
  <c r="CS101" i="11"/>
  <c r="W101" i="11"/>
  <c r="CH110" i="11"/>
  <c r="CH113" i="11" s="1"/>
  <c r="CH111" i="11"/>
  <c r="AO112" i="11"/>
  <c r="BJ113" i="11"/>
  <c r="CQ113" i="11"/>
  <c r="BI116" i="11"/>
  <c r="CR130" i="11"/>
  <c r="CI138" i="11"/>
  <c r="CW168" i="11"/>
  <c r="CQ170" i="11"/>
  <c r="BT177" i="11"/>
  <c r="BY177" i="11"/>
  <c r="CL177" i="11"/>
  <c r="AM199" i="11"/>
  <c r="BF199" i="11"/>
  <c r="BF202" i="11" s="1"/>
  <c r="BF386" i="11"/>
  <c r="BI386" i="11" s="1"/>
  <c r="BI197" i="11"/>
  <c r="BI200" i="11" s="1"/>
  <c r="AW396" i="11"/>
  <c r="AW201" i="11"/>
  <c r="AW199" i="11"/>
  <c r="AY198" i="11"/>
  <c r="BR387" i="11"/>
  <c r="BR201" i="11"/>
  <c r="BR199" i="11"/>
  <c r="BF200" i="11"/>
  <c r="BQ209" i="11"/>
  <c r="AW228" i="11"/>
  <c r="BB228" i="11"/>
  <c r="BR228" i="11"/>
  <c r="CM257" i="11"/>
  <c r="CM255" i="11"/>
  <c r="CM258" i="11" s="1"/>
  <c r="AC371" i="11"/>
  <c r="AH371" i="11"/>
  <c r="CP113" i="11"/>
  <c r="AL199" i="11"/>
  <c r="CC16" i="11"/>
  <c r="DC27" i="11"/>
  <c r="DH30" i="11"/>
  <c r="U38" i="11"/>
  <c r="X39" i="11"/>
  <c r="DL42" i="11"/>
  <c r="CG46" i="11"/>
  <c r="AZ52" i="11"/>
  <c r="BQ52" i="11"/>
  <c r="CG52" i="11"/>
  <c r="CM50" i="11"/>
  <c r="BJ52" i="11"/>
  <c r="CR55" i="11"/>
  <c r="BJ58" i="11"/>
  <c r="CS64" i="11"/>
  <c r="AY63" i="11"/>
  <c r="CU64" i="11"/>
  <c r="CM100" i="11"/>
  <c r="CM98" i="11"/>
  <c r="X101" i="11"/>
  <c r="BK113" i="11"/>
  <c r="BD118" i="11"/>
  <c r="BC119" i="11"/>
  <c r="BX135" i="11"/>
  <c r="BX137" i="11"/>
  <c r="CJ138" i="11"/>
  <c r="DC138" i="11"/>
  <c r="DM146" i="11"/>
  <c r="DN146" i="11" s="1"/>
  <c r="DO146" i="11" s="1"/>
  <c r="DP146" i="11" s="1"/>
  <c r="DL149" i="11"/>
  <c r="CG164" i="11"/>
  <c r="CP170" i="11"/>
  <c r="BI174" i="11"/>
  <c r="BI177" i="11" s="1"/>
  <c r="BI176" i="11"/>
  <c r="BU177" i="11"/>
  <c r="AO197" i="11"/>
  <c r="CW197" i="11"/>
  <c r="CS200" i="11"/>
  <c r="CS199" i="11"/>
  <c r="Q8" i="13" s="1"/>
  <c r="Z219" i="11"/>
  <c r="Z221" i="11"/>
  <c r="AX228" i="11"/>
  <c r="BC228" i="11"/>
  <c r="AI277" i="11"/>
  <c r="AJ274" i="11"/>
  <c r="U348" i="11"/>
  <c r="U346" i="11"/>
  <c r="Z349" i="11" s="1"/>
  <c r="Z348" i="11"/>
  <c r="AC18" i="11"/>
  <c r="AH18" i="11"/>
  <c r="Z36" i="11"/>
  <c r="Q52" i="11"/>
  <c r="U99" i="11"/>
  <c r="AV396" i="11"/>
  <c r="BA201" i="11"/>
  <c r="AV201" i="11"/>
  <c r="AV199" i="11"/>
  <c r="CH208" i="11"/>
  <c r="CH206" i="11"/>
  <c r="CM208" i="11"/>
  <c r="CF228" i="11"/>
  <c r="CK228" i="11"/>
  <c r="BT258" i="11"/>
  <c r="BY258" i="11"/>
  <c r="AT368" i="11"/>
  <c r="BX15" i="11"/>
  <c r="AY17" i="11"/>
  <c r="AP39" i="11"/>
  <c r="K49" i="11"/>
  <c r="K52" i="11" s="1"/>
  <c r="CM49" i="11"/>
  <c r="T52" i="11"/>
  <c r="BA52" i="11"/>
  <c r="CK52" i="11"/>
  <c r="CW55" i="11"/>
  <c r="CS58" i="11"/>
  <c r="BK58" i="11"/>
  <c r="CT64" i="11"/>
  <c r="BO64" i="11"/>
  <c r="CV64" i="11"/>
  <c r="CC73" i="11"/>
  <c r="BT76" i="11"/>
  <c r="CS83" i="11"/>
  <c r="CW80" i="11"/>
  <c r="AE99" i="11"/>
  <c r="AT117" i="11"/>
  <c r="BS118" i="11"/>
  <c r="BS116" i="11"/>
  <c r="AO117" i="11"/>
  <c r="CC135" i="11"/>
  <c r="CC137" i="11"/>
  <c r="BS135" i="11"/>
  <c r="BS138" i="11" s="1"/>
  <c r="DD138" i="11"/>
  <c r="DC151" i="11"/>
  <c r="DB148" i="11"/>
  <c r="AT161" i="11"/>
  <c r="BX175" i="11"/>
  <c r="BN174" i="11"/>
  <c r="BN176" i="11"/>
  <c r="BV177" i="11"/>
  <c r="X183" i="11"/>
  <c r="AQ183" i="11"/>
  <c r="CX195" i="11"/>
  <c r="AU200" i="11"/>
  <c r="BW201" i="11"/>
  <c r="AT220" i="11"/>
  <c r="AE219" i="11"/>
  <c r="AE221" i="11"/>
  <c r="AJ221" i="11"/>
  <c r="R222" i="11"/>
  <c r="W222" i="11"/>
  <c r="AF228" i="11"/>
  <c r="AK228" i="11"/>
  <c r="BU228" i="11"/>
  <c r="CD246" i="11"/>
  <c r="BF291" i="11"/>
  <c r="BA291" i="11"/>
  <c r="AJ369" i="11"/>
  <c r="AE368" i="11"/>
  <c r="DO85" i="11"/>
  <c r="CE164" i="11"/>
  <c r="BD212" i="11"/>
  <c r="BI213" i="11"/>
  <c r="BN16" i="11"/>
  <c r="AJ17" i="11"/>
  <c r="DG43" i="11"/>
  <c r="AE10" i="13" s="1"/>
  <c r="DC46" i="11"/>
  <c r="U49" i="11"/>
  <c r="BS49" i="11"/>
  <c r="R52" i="11"/>
  <c r="CL52" i="11"/>
  <c r="CT58" i="11"/>
  <c r="BL58" i="11"/>
  <c r="CP58" i="11"/>
  <c r="BI61" i="11"/>
  <c r="CB64" i="11"/>
  <c r="DI67" i="11"/>
  <c r="DI70" i="11" s="1"/>
  <c r="AK101" i="11"/>
  <c r="DJ104" i="11"/>
  <c r="DJ107" i="11" s="1"/>
  <c r="T119" i="11"/>
  <c r="BE119" i="11"/>
  <c r="CL138" i="11"/>
  <c r="CW161" i="11"/>
  <c r="U11" i="13" s="1"/>
  <c r="CP177" i="11"/>
  <c r="CH214" i="11"/>
  <c r="CM214" i="11"/>
  <c r="CH212" i="11"/>
  <c r="AY220" i="11"/>
  <c r="BD220" i="11"/>
  <c r="AP222" i="11"/>
  <c r="AK222" i="11"/>
  <c r="CH225" i="11"/>
  <c r="CH227" i="11"/>
  <c r="AG228" i="11"/>
  <c r="AL228" i="11"/>
  <c r="CS246" i="11"/>
  <c r="CW243" i="11"/>
  <c r="CW246" i="11" s="1"/>
  <c r="CX246" i="11"/>
  <c r="CE246" i="11"/>
  <c r="BG291" i="11"/>
  <c r="BB291" i="11"/>
  <c r="BD288" i="11"/>
  <c r="CZ451" i="11"/>
  <c r="CZ454" i="11" s="1"/>
  <c r="DB450" i="11"/>
  <c r="BT201" i="11"/>
  <c r="BS214" i="11"/>
  <c r="BN212" i="11"/>
  <c r="BN214" i="11"/>
  <c r="BN15" i="11"/>
  <c r="CH17" i="11"/>
  <c r="AE36" i="11"/>
  <c r="BZ39" i="11"/>
  <c r="CN46" i="11"/>
  <c r="DD46" i="11"/>
  <c r="AP52" i="11"/>
  <c r="BM58" i="11"/>
  <c r="CI58" i="11"/>
  <c r="CD58" i="11"/>
  <c r="CQ58" i="11"/>
  <c r="CX64" i="11"/>
  <c r="CR67" i="11"/>
  <c r="BX74" i="11"/>
  <c r="CM75" i="11"/>
  <c r="BX73" i="11"/>
  <c r="BW76" i="11"/>
  <c r="CU83" i="11"/>
  <c r="CN95" i="11"/>
  <c r="CX101" i="11"/>
  <c r="DB98" i="11"/>
  <c r="AL101" i="11"/>
  <c r="AE112" i="11"/>
  <c r="AD113" i="11"/>
  <c r="CM135" i="11"/>
  <c r="CM137" i="11"/>
  <c r="BU138" i="11"/>
  <c r="CZ151" i="11"/>
  <c r="CH175" i="11"/>
  <c r="BX174" i="11"/>
  <c r="BX176" i="11"/>
  <c r="AO219" i="11"/>
  <c r="AO221" i="11"/>
  <c r="K225" i="11"/>
  <c r="K228" i="11" s="1"/>
  <c r="K227" i="11"/>
  <c r="CM225" i="11"/>
  <c r="K13" i="13" s="1"/>
  <c r="CM227" i="11"/>
  <c r="AH228" i="11"/>
  <c r="AM228" i="11"/>
  <c r="BM246" i="11"/>
  <c r="BH246" i="11"/>
  <c r="CA246" i="11"/>
  <c r="CF246" i="11"/>
  <c r="AS18" i="11"/>
  <c r="AJ110" i="11"/>
  <c r="AJ112" i="11"/>
  <c r="BX207" i="11"/>
  <c r="CM9" i="11"/>
  <c r="K12" i="13" s="1"/>
  <c r="DC12" i="11"/>
  <c r="AY15" i="11"/>
  <c r="BS17" i="11"/>
  <c r="BD49" i="11"/>
  <c r="DB49" i="11"/>
  <c r="BR52" i="11"/>
  <c r="DG56" i="11"/>
  <c r="BS55" i="11"/>
  <c r="BX57" i="11"/>
  <c r="BS57" i="11"/>
  <c r="AW58" i="11"/>
  <c r="BS61" i="11"/>
  <c r="BS63" i="11"/>
  <c r="CW61" i="11"/>
  <c r="CZ83" i="11"/>
  <c r="CK95" i="11"/>
  <c r="CY101" i="11"/>
  <c r="P100" i="11"/>
  <c r="AM101" i="11"/>
  <c r="DG111" i="11"/>
  <c r="Z110" i="11"/>
  <c r="BI117" i="11"/>
  <c r="V119" i="11"/>
  <c r="CW130" i="11"/>
  <c r="CR135" i="11"/>
  <c r="CR137" i="11"/>
  <c r="CC176" i="11"/>
  <c r="CC174" i="11"/>
  <c r="BI219" i="11"/>
  <c r="BI220" i="11"/>
  <c r="AT219" i="11"/>
  <c r="AT221" i="11"/>
  <c r="CS222" i="11"/>
  <c r="CW219" i="11"/>
  <c r="U14" i="13" s="1"/>
  <c r="BD238" i="11"/>
  <c r="AY238" i="11"/>
  <c r="AT239" i="11"/>
  <c r="AO239" i="11"/>
  <c r="CB246" i="11"/>
  <c r="CG246" i="11"/>
  <c r="Y283" i="11"/>
  <c r="Z280" i="11"/>
  <c r="AI317" i="11"/>
  <c r="AN317" i="11"/>
  <c r="BA317" i="11"/>
  <c r="BF317" i="11"/>
  <c r="AN341" i="11"/>
  <c r="AS341" i="11"/>
  <c r="AW52" i="11"/>
  <c r="V101" i="11"/>
  <c r="DL109" i="11"/>
  <c r="DH110" i="11"/>
  <c r="BX9" i="11"/>
  <c r="AC43" i="11"/>
  <c r="CH45" i="11"/>
  <c r="CR50" i="11"/>
  <c r="AE51" i="11"/>
  <c r="AB50" i="11"/>
  <c r="BC58" i="11"/>
  <c r="AX58" i="11"/>
  <c r="BX63" i="11"/>
  <c r="BL64" i="11"/>
  <c r="DB61" i="11"/>
  <c r="DC64" i="11"/>
  <c r="CH73" i="11"/>
  <c r="CH74" i="11"/>
  <c r="BI73" i="11"/>
  <c r="BY76" i="11"/>
  <c r="AN101" i="11"/>
  <c r="BN117" i="11"/>
  <c r="BI118" i="11"/>
  <c r="W119" i="11"/>
  <c r="BF138" i="11"/>
  <c r="BW138" i="11"/>
  <c r="CJ151" i="11"/>
  <c r="CR175" i="11"/>
  <c r="BX208" i="11"/>
  <c r="BN220" i="11"/>
  <c r="BN219" i="11"/>
  <c r="T228" i="11"/>
  <c r="BW240" i="11"/>
  <c r="CB240" i="11"/>
  <c r="AJ282" i="11"/>
  <c r="AJ314" i="11"/>
  <c r="BB317" i="11"/>
  <c r="BG317" i="11"/>
  <c r="AO338" i="11"/>
  <c r="BY183" i="11"/>
  <c r="CH198" i="11"/>
  <c r="AV228" i="11"/>
  <c r="BA228" i="11"/>
  <c r="AT37" i="11"/>
  <c r="AD43" i="11"/>
  <c r="AE47" i="11"/>
  <c r="DG51" i="11"/>
  <c r="CN52" i="11"/>
  <c r="DD52" i="11"/>
  <c r="AC50" i="11"/>
  <c r="CR57" i="11"/>
  <c r="CC61" i="11"/>
  <c r="CH62" i="11"/>
  <c r="CM74" i="11"/>
  <c r="AO73" i="11"/>
  <c r="CA76" i="11"/>
  <c r="BN75" i="11"/>
  <c r="CJ76" i="11"/>
  <c r="DH92" i="11"/>
  <c r="DL91" i="11"/>
  <c r="DM91" i="11" s="1"/>
  <c r="CH98" i="11"/>
  <c r="DA101" i="11"/>
  <c r="P112" i="11"/>
  <c r="CW116" i="11"/>
  <c r="CW119" i="11" s="1"/>
  <c r="X119" i="11"/>
  <c r="CW128" i="11"/>
  <c r="CK131" i="11"/>
  <c r="DC144" i="11"/>
  <c r="DD151" i="11"/>
  <c r="BD161" i="11"/>
  <c r="BI163" i="11"/>
  <c r="DL160" i="11"/>
  <c r="CY164" i="11"/>
  <c r="CM174" i="11"/>
  <c r="CH180" i="11"/>
  <c r="S228" i="11"/>
  <c r="O240" i="11"/>
  <c r="BK246" i="11"/>
  <c r="BP246" i="11"/>
  <c r="R317" i="11"/>
  <c r="W317" i="11"/>
  <c r="AQ341" i="11"/>
  <c r="BI15" i="11"/>
  <c r="BI18" i="11" s="1"/>
  <c r="BN51" i="11"/>
  <c r="DJ61" i="11"/>
  <c r="DJ64" i="11" s="1"/>
  <c r="AT74" i="11"/>
  <c r="BP387" i="11"/>
  <c r="BU390" i="11" s="1"/>
  <c r="BP201" i="11"/>
  <c r="BP199" i="11"/>
  <c r="CR11" i="11"/>
  <c r="AY36" i="11"/>
  <c r="AY39" i="11" s="1"/>
  <c r="BP39" i="11"/>
  <c r="CF39" i="11"/>
  <c r="U37" i="11"/>
  <c r="CM37" i="11"/>
  <c r="BI38" i="11"/>
  <c r="AF50" i="11"/>
  <c r="Z49" i="11"/>
  <c r="BX49" i="11"/>
  <c r="BX52" i="11" s="1"/>
  <c r="CO49" i="11"/>
  <c r="DE52" i="11"/>
  <c r="AD50" i="11"/>
  <c r="Z51" i="11"/>
  <c r="Y52" i="11"/>
  <c r="CH55" i="11"/>
  <c r="CH58" i="11" s="1"/>
  <c r="CH57" i="11"/>
  <c r="BK76" i="11"/>
  <c r="BP83" i="11"/>
  <c r="AE98" i="11"/>
  <c r="CI101" i="11"/>
  <c r="AV113" i="11"/>
  <c r="BN116" i="11"/>
  <c r="BT119" i="11"/>
  <c r="DK122" i="11"/>
  <c r="DK125" i="11" s="1"/>
  <c r="CL131" i="11"/>
  <c r="CR148" i="11"/>
  <c r="CR150" i="11"/>
  <c r="DE151" i="11"/>
  <c r="CZ164" i="11"/>
  <c r="CB209" i="11"/>
  <c r="CG209" i="11"/>
  <c r="BG222" i="11"/>
  <c r="BM386" i="11"/>
  <c r="BM389" i="11" s="1"/>
  <c r="BM231" i="11"/>
  <c r="BM234" i="11" s="1"/>
  <c r="BG240" i="11"/>
  <c r="BL240" i="11"/>
  <c r="CD240" i="11"/>
  <c r="BY240" i="11"/>
  <c r="BS245" i="11"/>
  <c r="BS243" i="11"/>
  <c r="BL246" i="11"/>
  <c r="BQ246" i="11"/>
  <c r="CG12" i="11"/>
  <c r="CC11" i="11"/>
  <c r="DJ24" i="11"/>
  <c r="DJ27" i="11" s="1"/>
  <c r="T39" i="11"/>
  <c r="AZ39" i="11"/>
  <c r="AG50" i="11"/>
  <c r="BH52" i="11"/>
  <c r="CD52" i="11"/>
  <c r="BY52" i="11"/>
  <c r="AX52" i="11"/>
  <c r="BB58" i="11"/>
  <c r="BR58" i="11"/>
  <c r="CD64" i="11"/>
  <c r="DB67" i="11"/>
  <c r="DL79" i="11"/>
  <c r="BQ83" i="11"/>
  <c r="CR93" i="11"/>
  <c r="CR92" i="11"/>
  <c r="BR101" i="11"/>
  <c r="CJ101" i="11"/>
  <c r="DG104" i="11"/>
  <c r="CA113" i="11"/>
  <c r="CG119" i="11"/>
  <c r="CY119" i="11"/>
  <c r="BU119" i="11"/>
  <c r="DL121" i="11"/>
  <c r="DM121" i="11" s="1"/>
  <c r="DH122" i="11"/>
  <c r="CH130" i="11"/>
  <c r="DA144" i="11"/>
  <c r="DF144" i="11"/>
  <c r="CH144" i="11"/>
  <c r="CN151" i="11"/>
  <c r="BN163" i="11"/>
  <c r="DA164" i="11"/>
  <c r="BI208" i="11"/>
  <c r="BN229" i="11"/>
  <c r="BN231" i="11" s="1"/>
  <c r="S265" i="11"/>
  <c r="X265" i="11"/>
  <c r="AK265" i="11"/>
  <c r="AP265" i="11"/>
  <c r="BC265" i="11"/>
  <c r="BH265" i="11"/>
  <c r="CH56" i="11"/>
  <c r="CX70" i="11"/>
  <c r="BD99" i="11"/>
  <c r="I101" i="11"/>
  <c r="DH104" i="11"/>
  <c r="AE111" i="11"/>
  <c r="AY112" i="11"/>
  <c r="CU113" i="11"/>
  <c r="CH116" i="11"/>
  <c r="DB116" i="11"/>
  <c r="DB143" i="11"/>
  <c r="DG162" i="11"/>
  <c r="CK164" i="11"/>
  <c r="CC502" i="11"/>
  <c r="X177" i="11"/>
  <c r="AN177" i="11"/>
  <c r="AO181" i="11"/>
  <c r="AJ180" i="11"/>
  <c r="BD180" i="11"/>
  <c r="CL189" i="11"/>
  <c r="DF194" i="11"/>
  <c r="AG199" i="11"/>
  <c r="CC207" i="11"/>
  <c r="AX209" i="11"/>
  <c r="CQ215" i="11"/>
  <c r="CR227" i="11"/>
  <c r="BH234" i="11"/>
  <c r="BM240" i="11"/>
  <c r="BH240" i="11"/>
  <c r="CE240" i="11"/>
  <c r="BZ240" i="11"/>
  <c r="AD240" i="11"/>
  <c r="BN244" i="11"/>
  <c r="BN243" i="11"/>
  <c r="BN246" i="11" s="1"/>
  <c r="BX245" i="11"/>
  <c r="AQ291" i="11"/>
  <c r="AL291" i="11"/>
  <c r="BC291" i="11"/>
  <c r="BH291" i="11"/>
  <c r="DD395" i="11"/>
  <c r="DD503" i="11" s="1"/>
  <c r="BC64" i="11"/>
  <c r="BI80" i="11"/>
  <c r="AY99" i="11"/>
  <c r="AT112" i="11"/>
  <c r="AE110" i="11"/>
  <c r="AJ111" i="11"/>
  <c r="AF113" i="11"/>
  <c r="AW113" i="11"/>
  <c r="CE113" i="11"/>
  <c r="BX117" i="11"/>
  <c r="AY162" i="11"/>
  <c r="BT164" i="11"/>
  <c r="CL164" i="11"/>
  <c r="DF164" i="11"/>
  <c r="CH501" i="11"/>
  <c r="CH502" i="11" s="1"/>
  <c r="CM169" i="11"/>
  <c r="CH167" i="11"/>
  <c r="CM170" i="11" s="1"/>
  <c r="Y177" i="11"/>
  <c r="BE177" i="11"/>
  <c r="BW177" i="11"/>
  <c r="CN177" i="11"/>
  <c r="AJ176" i="11"/>
  <c r="AP177" i="11"/>
  <c r="CO189" i="11"/>
  <c r="DI192" i="11"/>
  <c r="BL386" i="11"/>
  <c r="BL389" i="11" s="1"/>
  <c r="BL200" i="11"/>
  <c r="BQ200" i="11"/>
  <c r="CD395" i="11"/>
  <c r="CD200" i="11"/>
  <c r="CU395" i="11"/>
  <c r="CU398" i="11" s="1"/>
  <c r="CU200" i="11"/>
  <c r="CU199" i="11"/>
  <c r="S8" i="13" s="1"/>
  <c r="AZ396" i="11"/>
  <c r="AZ201" i="11"/>
  <c r="AZ199" i="11"/>
  <c r="BR200" i="11"/>
  <c r="BU222" i="11"/>
  <c r="U225" i="11"/>
  <c r="U228" i="11" s="1"/>
  <c r="CR234" i="11"/>
  <c r="AQ240" i="11"/>
  <c r="AV240" i="11"/>
  <c r="CF240" i="11"/>
  <c r="CA240" i="11"/>
  <c r="CX240" i="11"/>
  <c r="CW237" i="11"/>
  <c r="CS240" i="11"/>
  <c r="AV246" i="11"/>
  <c r="BA246" i="11"/>
  <c r="AY243" i="11"/>
  <c r="CC245" i="11"/>
  <c r="BP271" i="11"/>
  <c r="BU271" i="11"/>
  <c r="DI395" i="11"/>
  <c r="CM61" i="11"/>
  <c r="BR83" i="11"/>
  <c r="AJ98" i="11"/>
  <c r="AY100" i="11"/>
  <c r="DI110" i="11"/>
  <c r="DI113" i="11" s="1"/>
  <c r="AX113" i="11"/>
  <c r="CR118" i="11"/>
  <c r="DG148" i="11"/>
  <c r="CC161" i="11"/>
  <c r="CN164" i="11"/>
  <c r="CO167" i="11"/>
  <c r="Z174" i="11"/>
  <c r="U176" i="11"/>
  <c r="CP189" i="11"/>
  <c r="AV200" i="11"/>
  <c r="AV395" i="11"/>
  <c r="AV503" i="11" s="1"/>
  <c r="CE395" i="11"/>
  <c r="CE200" i="11"/>
  <c r="CE199" i="11"/>
  <c r="I222" i="11"/>
  <c r="AO225" i="11"/>
  <c r="AO226" i="11"/>
  <c r="Z225" i="11"/>
  <c r="Z227" i="11"/>
  <c r="AW234" i="11"/>
  <c r="AR234" i="11"/>
  <c r="BL234" i="11"/>
  <c r="CT240" i="11"/>
  <c r="AF240" i="11"/>
  <c r="CH245" i="11"/>
  <c r="CM245" i="11"/>
  <c r="CH243" i="11"/>
  <c r="AW246" i="11"/>
  <c r="BE252" i="11"/>
  <c r="AZ252" i="11"/>
  <c r="AE289" i="11"/>
  <c r="AT290" i="11"/>
  <c r="AA291" i="11"/>
  <c r="V291" i="11"/>
  <c r="P415" i="11"/>
  <c r="N418" i="11"/>
  <c r="S418" i="11"/>
  <c r="BI421" i="11"/>
  <c r="BI423" i="11"/>
  <c r="BT83" i="11"/>
  <c r="AO98" i="11"/>
  <c r="AH113" i="11"/>
  <c r="P118" i="11"/>
  <c r="CH161" i="11"/>
  <c r="CR163" i="11"/>
  <c r="AA177" i="11"/>
  <c r="AQ177" i="11"/>
  <c r="BG177" i="11"/>
  <c r="AY182" i="11"/>
  <c r="AY180" i="11"/>
  <c r="AW395" i="11"/>
  <c r="AW503" i="11" s="1"/>
  <c r="AW200" i="11"/>
  <c r="DB197" i="11"/>
  <c r="CX200" i="11"/>
  <c r="CX199" i="11"/>
  <c r="V8" i="13" s="1"/>
  <c r="BB201" i="11"/>
  <c r="AT226" i="11"/>
  <c r="AE227" i="11"/>
  <c r="AS234" i="11"/>
  <c r="BO234" i="11"/>
  <c r="AE233" i="11"/>
  <c r="CU240" i="11"/>
  <c r="AG240" i="11"/>
  <c r="BR271" i="11"/>
  <c r="AJ289" i="11"/>
  <c r="W291" i="11"/>
  <c r="AB291" i="11"/>
  <c r="AO288" i="11"/>
  <c r="BN421" i="11"/>
  <c r="BN423" i="11"/>
  <c r="AY443" i="11"/>
  <c r="AX445" i="11"/>
  <c r="AP119" i="11"/>
  <c r="BF119" i="11"/>
  <c r="BV119" i="11"/>
  <c r="CL119" i="11"/>
  <c r="DH144" i="11"/>
  <c r="CC163" i="11"/>
  <c r="AB177" i="11"/>
  <c r="AR177" i="11"/>
  <c r="BH177" i="11"/>
  <c r="CP183" i="11"/>
  <c r="CS189" i="11"/>
  <c r="CM192" i="11"/>
  <c r="CM194" i="11"/>
  <c r="AX395" i="11"/>
  <c r="AX200" i="11"/>
  <c r="AX199" i="11"/>
  <c r="AX202" i="11" s="1"/>
  <c r="BO386" i="11"/>
  <c r="BO200" i="11"/>
  <c r="CY395" i="11"/>
  <c r="CY200" i="11"/>
  <c r="CY199" i="11"/>
  <c r="W8" i="13" s="1"/>
  <c r="CS209" i="11"/>
  <c r="CN209" i="11"/>
  <c r="AT237" i="11"/>
  <c r="AH240" i="11"/>
  <c r="CM249" i="11"/>
  <c r="X291" i="11"/>
  <c r="CM417" i="11"/>
  <c r="CM415" i="11"/>
  <c r="BX422" i="11"/>
  <c r="BX431" i="11"/>
  <c r="BX433" i="11" s="1"/>
  <c r="BX421" i="11"/>
  <c r="BS423" i="11"/>
  <c r="BS421" i="11"/>
  <c r="DL59" i="11"/>
  <c r="AY74" i="11"/>
  <c r="CS95" i="11"/>
  <c r="Z98" i="11"/>
  <c r="Z101" i="11" s="1"/>
  <c r="CI113" i="11"/>
  <c r="AO144" i="11"/>
  <c r="DL147" i="11"/>
  <c r="CR174" i="11"/>
  <c r="AV177" i="11"/>
  <c r="BN181" i="11"/>
  <c r="BN180" i="11"/>
  <c r="BI180" i="11"/>
  <c r="AY197" i="11"/>
  <c r="CH197" i="11"/>
  <c r="CZ395" i="11"/>
  <c r="CZ503" i="11" s="1"/>
  <c r="CZ199" i="11"/>
  <c r="X8" i="13" s="1"/>
  <c r="CT209" i="11"/>
  <c r="CO209" i="11"/>
  <c r="U233" i="11"/>
  <c r="CR237" i="11"/>
  <c r="CR240" i="11" s="1"/>
  <c r="CR239" i="11"/>
  <c r="AU240" i="11"/>
  <c r="AY237" i="11"/>
  <c r="AI240" i="11"/>
  <c r="CH249" i="11"/>
  <c r="CH251" i="11"/>
  <c r="BV252" i="11"/>
  <c r="CA252" i="11"/>
  <c r="Q252" i="11"/>
  <c r="AL271" i="11"/>
  <c r="Z307" i="11"/>
  <c r="Z305" i="11"/>
  <c r="U307" i="11"/>
  <c r="AR349" i="11"/>
  <c r="AM349" i="11"/>
  <c r="DI104" i="11"/>
  <c r="DI107" i="11" s="1"/>
  <c r="CS144" i="11"/>
  <c r="DH148" i="11"/>
  <c r="AT174" i="11"/>
  <c r="CT192" i="11"/>
  <c r="CR194" i="11"/>
  <c r="DA395" i="11"/>
  <c r="DA398" i="11" s="1"/>
  <c r="DA199" i="11"/>
  <c r="Y8" i="13" s="1"/>
  <c r="BF387" i="11"/>
  <c r="BF390" i="11" s="1"/>
  <c r="BI198" i="11"/>
  <c r="CP209" i="11"/>
  <c r="CU209" i="11"/>
  <c r="BW215" i="11"/>
  <c r="CS228" i="11"/>
  <c r="CW225" i="11"/>
  <c r="U13" i="13" s="1"/>
  <c r="BD229" i="11"/>
  <c r="BD231" i="11" s="1"/>
  <c r="BB231" i="11"/>
  <c r="BB234" i="11" s="1"/>
  <c r="Z231" i="11"/>
  <c r="BO240" i="11"/>
  <c r="CB252" i="11"/>
  <c r="BW252" i="11"/>
  <c r="R252" i="11"/>
  <c r="AM271" i="11"/>
  <c r="W349" i="11"/>
  <c r="AB349" i="11"/>
  <c r="DL60" i="11"/>
  <c r="BS73" i="11"/>
  <c r="BS76" i="11" s="1"/>
  <c r="AE118" i="11"/>
  <c r="DG118" i="11"/>
  <c r="CX119" i="11"/>
  <c r="DL134" i="11"/>
  <c r="DG135" i="11"/>
  <c r="DB163" i="11"/>
  <c r="BI162" i="11"/>
  <c r="CC167" i="11"/>
  <c r="AC177" i="11"/>
  <c r="CB183" i="11"/>
  <c r="CE183" i="11"/>
  <c r="CU194" i="11"/>
  <c r="CU396" i="11"/>
  <c r="CU504" i="11" s="1"/>
  <c r="CU192" i="11"/>
  <c r="CU195" i="11" s="1"/>
  <c r="BS197" i="11"/>
  <c r="DC199" i="11"/>
  <c r="AA8" i="13" s="1"/>
  <c r="DH197" i="11"/>
  <c r="DG197" i="11"/>
  <c r="DG395" i="11" s="1"/>
  <c r="CS396" i="11"/>
  <c r="CS504" i="11" s="1"/>
  <c r="CS201" i="11"/>
  <c r="BE201" i="11"/>
  <c r="CD209" i="11"/>
  <c r="BY209" i="11"/>
  <c r="CV209" i="11"/>
  <c r="CQ209" i="11"/>
  <c r="AT214" i="11"/>
  <c r="CI222" i="11"/>
  <c r="CK222" i="11"/>
  <c r="AA234" i="11"/>
  <c r="Z239" i="11"/>
  <c r="AW240" i="11"/>
  <c r="CO246" i="11"/>
  <c r="CT246" i="11"/>
  <c r="P250" i="11"/>
  <c r="K249" i="11"/>
  <c r="K252" i="11" s="1"/>
  <c r="K251" i="11"/>
  <c r="BF252" i="11"/>
  <c r="S252" i="11"/>
  <c r="U271" i="11"/>
  <c r="BN346" i="11"/>
  <c r="BN349" i="11" s="1"/>
  <c r="BN347" i="11"/>
  <c r="DL97" i="11"/>
  <c r="BI137" i="11"/>
  <c r="BI135" i="11"/>
  <c r="BI138" i="11" s="1"/>
  <c r="AT176" i="11"/>
  <c r="CC181" i="11"/>
  <c r="AD183" i="11"/>
  <c r="BL183" i="11"/>
  <c r="CD183" i="11"/>
  <c r="CT183" i="11"/>
  <c r="CF183" i="11"/>
  <c r="CH186" i="11"/>
  <c r="CV195" i="11"/>
  <c r="CT194" i="11"/>
  <c r="AJ197" i="11"/>
  <c r="BB395" i="11"/>
  <c r="BB199" i="11"/>
  <c r="BT199" i="11"/>
  <c r="BX197" i="11"/>
  <c r="CK395" i="11"/>
  <c r="CK199" i="11"/>
  <c r="I8" i="13" s="1"/>
  <c r="AP199" i="11"/>
  <c r="CY201" i="11"/>
  <c r="CT396" i="11"/>
  <c r="CT504" i="11" s="1"/>
  <c r="CT201" i="11"/>
  <c r="CI200" i="11"/>
  <c r="BF201" i="11"/>
  <c r="BM209" i="11"/>
  <c r="BH209" i="11"/>
  <c r="BZ209" i="11"/>
  <c r="CE209" i="11"/>
  <c r="CR209" i="11"/>
  <c r="AY212" i="11"/>
  <c r="BY215" i="11"/>
  <c r="BR222" i="11"/>
  <c r="CL222" i="11"/>
  <c r="BI229" i="11"/>
  <c r="BI231" i="11" s="1"/>
  <c r="AJ233" i="11"/>
  <c r="AB234" i="11"/>
  <c r="AX240" i="11"/>
  <c r="CP246" i="11"/>
  <c r="CU246" i="11"/>
  <c r="P251" i="11"/>
  <c r="Y252" i="11"/>
  <c r="T252" i="11"/>
  <c r="U251" i="11"/>
  <c r="Y349" i="11"/>
  <c r="AD349" i="11"/>
  <c r="CH75" i="11"/>
  <c r="BE76" i="11"/>
  <c r="BU76" i="11"/>
  <c r="CK76" i="11"/>
  <c r="BI74" i="11"/>
  <c r="DG105" i="11"/>
  <c r="BX112" i="11"/>
  <c r="AE116" i="11"/>
  <c r="AE119" i="11" s="1"/>
  <c r="BI161" i="11"/>
  <c r="DG161" i="11"/>
  <c r="AE11" i="13" s="1"/>
  <c r="CH163" i="11"/>
  <c r="CC182" i="11"/>
  <c r="CC180" i="11"/>
  <c r="AV183" i="11"/>
  <c r="BM183" i="11"/>
  <c r="BS181" i="11"/>
  <c r="AI183" i="11"/>
  <c r="CG183" i="11"/>
  <c r="CW186" i="11"/>
  <c r="CX189" i="11"/>
  <c r="AK199" i="11"/>
  <c r="BC395" i="11"/>
  <c r="BC199" i="11"/>
  <c r="BU395" i="11"/>
  <c r="BU199" i="11"/>
  <c r="CJ200" i="11"/>
  <c r="BG201" i="11"/>
  <c r="CW209" i="11"/>
  <c r="BZ215" i="11"/>
  <c r="BA222" i="11"/>
  <c r="AT225" i="11"/>
  <c r="CV228" i="11"/>
  <c r="AO233" i="11"/>
  <c r="AD234" i="11"/>
  <c r="AT238" i="11"/>
  <c r="BX243" i="11"/>
  <c r="CQ246" i="11"/>
  <c r="CV246" i="11"/>
  <c r="Z250" i="11"/>
  <c r="U249" i="11"/>
  <c r="AE264" i="11"/>
  <c r="Z264" i="11"/>
  <c r="O308" i="11"/>
  <c r="P348" i="11"/>
  <c r="P346" i="11"/>
  <c r="P349" i="11" s="1"/>
  <c r="G349" i="11"/>
  <c r="L349" i="11"/>
  <c r="DD194" i="11"/>
  <c r="BG388" i="11"/>
  <c r="BG389" i="11"/>
  <c r="CY396" i="11"/>
  <c r="BG200" i="11"/>
  <c r="CO200" i="11"/>
  <c r="DF200" i="11"/>
  <c r="AY221" i="11"/>
  <c r="AY219" i="11"/>
  <c r="BS227" i="11"/>
  <c r="CC244" i="11"/>
  <c r="CM243" i="11"/>
  <c r="AJ250" i="11"/>
  <c r="AE251" i="11"/>
  <c r="AO250" i="11"/>
  <c r="BR252" i="11"/>
  <c r="BI256" i="11"/>
  <c r="BI255" i="11"/>
  <c r="BU258" i="11"/>
  <c r="CK258" i="11"/>
  <c r="BW258" i="11"/>
  <c r="AA265" i="11"/>
  <c r="BS270" i="11"/>
  <c r="BQ271" i="11"/>
  <c r="BD290" i="11"/>
  <c r="AP291" i="11"/>
  <c r="U316" i="11"/>
  <c r="S317" i="11"/>
  <c r="BC317" i="11"/>
  <c r="BS321" i="11"/>
  <c r="BK335" i="11"/>
  <c r="AR341" i="11"/>
  <c r="AS349" i="11"/>
  <c r="BJ349" i="11"/>
  <c r="BO349" i="11"/>
  <c r="CC422" i="11"/>
  <c r="BY390" i="11"/>
  <c r="BX387" i="11"/>
  <c r="CZ396" i="11"/>
  <c r="CZ504" i="11" s="1"/>
  <c r="CP200" i="11"/>
  <c r="CR214" i="11"/>
  <c r="BD226" i="11"/>
  <c r="AE229" i="11"/>
  <c r="AE231" i="11" s="1"/>
  <c r="CM239" i="11"/>
  <c r="AP252" i="11"/>
  <c r="BN256" i="11"/>
  <c r="AT263" i="11"/>
  <c r="BI262" i="11"/>
  <c r="BI264" i="11"/>
  <c r="AD265" i="11"/>
  <c r="Z262" i="11"/>
  <c r="BS269" i="11"/>
  <c r="AO276" i="11"/>
  <c r="BN280" i="11"/>
  <c r="BI288" i="11"/>
  <c r="Y291" i="11"/>
  <c r="Z288" i="11"/>
  <c r="BN295" i="11"/>
  <c r="T317" i="11"/>
  <c r="BD314" i="11"/>
  <c r="BI320" i="11"/>
  <c r="BP323" i="11"/>
  <c r="P334" i="11"/>
  <c r="P332" i="11"/>
  <c r="G335" i="11"/>
  <c r="L335" i="11"/>
  <c r="BL335" i="11"/>
  <c r="U333" i="11"/>
  <c r="AC349" i="11"/>
  <c r="BI354" i="11"/>
  <c r="CH422" i="11"/>
  <c r="CH431" i="11"/>
  <c r="DA396" i="11"/>
  <c r="CQ200" i="11"/>
  <c r="CR213" i="11"/>
  <c r="CM221" i="11"/>
  <c r="BS225" i="11"/>
  <c r="AU234" i="11"/>
  <c r="BK234" i="11"/>
  <c r="CA234" i="11"/>
  <c r="CQ234" i="11"/>
  <c r="CH233" i="11"/>
  <c r="BR246" i="11"/>
  <c r="BI249" i="11"/>
  <c r="BZ258" i="11"/>
  <c r="BN264" i="11"/>
  <c r="BN262" i="11"/>
  <c r="BS264" i="11"/>
  <c r="AK271" i="11"/>
  <c r="AN283" i="11"/>
  <c r="AY289" i="11"/>
  <c r="BN288" i="11"/>
  <c r="AR291" i="11"/>
  <c r="BJ291" i="11"/>
  <c r="BD289" i="11"/>
  <c r="BN290" i="11"/>
  <c r="BQ291" i="11"/>
  <c r="BD306" i="11"/>
  <c r="U314" i="11"/>
  <c r="AM317" i="11"/>
  <c r="BE317" i="11"/>
  <c r="U334" i="11"/>
  <c r="U332" i="11"/>
  <c r="AU349" i="11"/>
  <c r="DN386" i="11"/>
  <c r="CM422" i="11"/>
  <c r="CM431" i="11"/>
  <c r="CM421" i="11"/>
  <c r="CH168" i="11"/>
  <c r="CS183" i="11"/>
  <c r="AT197" i="11"/>
  <c r="BD198" i="11"/>
  <c r="CR207" i="11"/>
  <c r="AY208" i="11"/>
  <c r="CD214" i="11"/>
  <c r="K221" i="11"/>
  <c r="BX221" i="11"/>
  <c r="BT228" i="11"/>
  <c r="CJ228" i="11"/>
  <c r="CC229" i="11"/>
  <c r="CC231" i="11" s="1"/>
  <c r="BS233" i="11"/>
  <c r="T240" i="11"/>
  <c r="CR244" i="11"/>
  <c r="AY251" i="11"/>
  <c r="AY249" i="11"/>
  <c r="I252" i="11"/>
  <c r="AB265" i="11"/>
  <c r="AT262" i="11"/>
  <c r="BD274" i="11"/>
  <c r="BD277" i="11" s="1"/>
  <c r="AY300" i="11"/>
  <c r="AH302" i="11"/>
  <c r="AJ316" i="11"/>
  <c r="AO314" i="11"/>
  <c r="AC323" i="11"/>
  <c r="Z326" i="11"/>
  <c r="AT326" i="11"/>
  <c r="O329" i="11"/>
  <c r="M349" i="11"/>
  <c r="CA396" i="11"/>
  <c r="CR431" i="11"/>
  <c r="CR433" i="11" s="1"/>
  <c r="CR422" i="11"/>
  <c r="CR421" i="11"/>
  <c r="DF503" i="11"/>
  <c r="DF452" i="11"/>
  <c r="DD192" i="11"/>
  <c r="CB200" i="11"/>
  <c r="CB395" i="11"/>
  <c r="AO198" i="11"/>
  <c r="BW399" i="11"/>
  <c r="CM198" i="11"/>
  <c r="BK200" i="11"/>
  <c r="CE201" i="11"/>
  <c r="BL215" i="11"/>
  <c r="CB215" i="11"/>
  <c r="BN213" i="11"/>
  <c r="BQ215" i="11"/>
  <c r="H228" i="11"/>
  <c r="X228" i="11"/>
  <c r="AN228" i="11"/>
  <c r="O234" i="11"/>
  <c r="AF231" i="11"/>
  <c r="AF234" i="11" s="1"/>
  <c r="CW231" i="11"/>
  <c r="AV234" i="11"/>
  <c r="AN240" i="11"/>
  <c r="AZ246" i="11"/>
  <c r="BH258" i="11"/>
  <c r="BX264" i="11"/>
  <c r="AE262" i="11"/>
  <c r="AY263" i="11"/>
  <c r="K268" i="11"/>
  <c r="K271" i="11" s="1"/>
  <c r="BD276" i="11"/>
  <c r="AN277" i="11"/>
  <c r="AC291" i="11"/>
  <c r="AO289" i="11"/>
  <c r="BI296" i="11"/>
  <c r="BJ297" i="11"/>
  <c r="V317" i="11"/>
  <c r="BD322" i="11"/>
  <c r="BD320" i="11"/>
  <c r="R323" i="11"/>
  <c r="M323" i="11"/>
  <c r="AH329" i="11"/>
  <c r="AC329" i="11"/>
  <c r="R329" i="11"/>
  <c r="AE334" i="11"/>
  <c r="AE332" i="11"/>
  <c r="AC335" i="11"/>
  <c r="AV335" i="11"/>
  <c r="Y355" i="11"/>
  <c r="CB396" i="11"/>
  <c r="CN399" i="11"/>
  <c r="BN263" i="11"/>
  <c r="BN296" i="11"/>
  <c r="BN294" i="11"/>
  <c r="AI329" i="11"/>
  <c r="AD329" i="11"/>
  <c r="S329" i="11"/>
  <c r="CV200" i="11"/>
  <c r="CO212" i="11"/>
  <c r="CO396" i="11"/>
  <c r="BX226" i="11"/>
  <c r="BI227" i="11"/>
  <c r="CH238" i="11"/>
  <c r="BB246" i="11"/>
  <c r="BN250" i="11"/>
  <c r="BN251" i="11"/>
  <c r="BB252" i="11"/>
  <c r="U270" i="11"/>
  <c r="BB283" i="11"/>
  <c r="AJ300" i="11"/>
  <c r="AY306" i="11"/>
  <c r="AY316" i="11"/>
  <c r="BI321" i="11"/>
  <c r="BN320" i="11"/>
  <c r="BN322" i="11"/>
  <c r="AO328" i="11"/>
  <c r="AO326" i="11"/>
  <c r="AY353" i="11"/>
  <c r="BN354" i="11"/>
  <c r="CH435" i="11"/>
  <c r="CP396" i="11"/>
  <c r="CP201" i="11"/>
  <c r="DF201" i="11"/>
  <c r="DK198" i="11"/>
  <c r="BX225" i="11"/>
  <c r="CM233" i="11"/>
  <c r="CC239" i="11"/>
  <c r="BS249" i="11"/>
  <c r="AC252" i="11"/>
  <c r="BS263" i="11"/>
  <c r="Z271" i="11"/>
  <c r="Z270" i="11"/>
  <c r="U280" i="11"/>
  <c r="U283" i="11" s="1"/>
  <c r="BD280" i="11"/>
  <c r="BD283" i="11" s="1"/>
  <c r="BS322" i="11"/>
  <c r="BS320" i="11"/>
  <c r="BA329" i="11"/>
  <c r="BV395" i="11"/>
  <c r="BV389" i="11"/>
  <c r="CN389" i="11"/>
  <c r="CN395" i="11"/>
  <c r="CN397" i="11" s="1"/>
  <c r="CN388" i="11"/>
  <c r="BA396" i="11"/>
  <c r="BA388" i="11"/>
  <c r="BA391" i="11" s="1"/>
  <c r="CS389" i="11"/>
  <c r="DC418" i="11"/>
  <c r="AC418" i="11"/>
  <c r="AH418" i="11"/>
  <c r="BU452" i="11"/>
  <c r="BH442" i="11"/>
  <c r="BM442" i="11"/>
  <c r="CQ396" i="11"/>
  <c r="DG198" i="11"/>
  <c r="AO206" i="11"/>
  <c r="BI225" i="11"/>
  <c r="AO243" i="11"/>
  <c r="P262" i="11"/>
  <c r="AY262" i="11"/>
  <c r="U282" i="11"/>
  <c r="AY326" i="11"/>
  <c r="AY328" i="11"/>
  <c r="AI335" i="11"/>
  <c r="BW395" i="11"/>
  <c r="BW398" i="11" s="1"/>
  <c r="BW388" i="11"/>
  <c r="BW389" i="11"/>
  <c r="CR386" i="11"/>
  <c r="BB396" i="11"/>
  <c r="BB388" i="11"/>
  <c r="BB391" i="11" s="1"/>
  <c r="BD387" i="11"/>
  <c r="AD418" i="11"/>
  <c r="AE415" i="11"/>
  <c r="AI418" i="11"/>
  <c r="BP389" i="11"/>
  <c r="BU389" i="11"/>
  <c r="AT198" i="11"/>
  <c r="BJ201" i="11"/>
  <c r="BN198" i="11"/>
  <c r="CR198" i="11"/>
  <c r="AN199" i="11"/>
  <c r="BW199" i="11"/>
  <c r="CB202" i="11" s="1"/>
  <c r="CN199" i="11"/>
  <c r="L8" i="13" s="1"/>
  <c r="DE199" i="11"/>
  <c r="AC8" i="13" s="1"/>
  <c r="AZ200" i="11"/>
  <c r="DA201" i="11"/>
  <c r="Z237" i="11"/>
  <c r="AP240" i="11"/>
  <c r="BF240" i="11"/>
  <c r="BV240" i="11"/>
  <c r="CL240" i="11"/>
  <c r="CC238" i="11"/>
  <c r="BD245" i="11"/>
  <c r="CC250" i="11"/>
  <c r="CC251" i="11"/>
  <c r="O252" i="11"/>
  <c r="AF252" i="11"/>
  <c r="AX252" i="11"/>
  <c r="BD251" i="11"/>
  <c r="Q265" i="11"/>
  <c r="BR265" i="11"/>
  <c r="AT289" i="11"/>
  <c r="U301" i="11"/>
  <c r="AX302" i="11"/>
  <c r="P307" i="11"/>
  <c r="P305" i="11"/>
  <c r="AR308" i="11"/>
  <c r="AA317" i="11"/>
  <c r="CC321" i="11"/>
  <c r="BX320" i="11"/>
  <c r="BX321" i="11"/>
  <c r="S323" i="11"/>
  <c r="AZ323" i="11"/>
  <c r="BR323" i="11"/>
  <c r="AJ324" i="11"/>
  <c r="AJ326" i="11" s="1"/>
  <c r="BD328" i="11"/>
  <c r="BI328" i="11"/>
  <c r="CS395" i="11"/>
  <c r="CW386" i="11"/>
  <c r="DB389" i="11" s="1"/>
  <c r="CX389" i="11"/>
  <c r="M418" i="11"/>
  <c r="R418" i="11"/>
  <c r="BW452" i="11"/>
  <c r="AN271" i="11"/>
  <c r="AQ271" i="11"/>
  <c r="AP283" i="11"/>
  <c r="AE307" i="11"/>
  <c r="P322" i="11"/>
  <c r="AY334" i="11"/>
  <c r="U337" i="11"/>
  <c r="BK349" i="11"/>
  <c r="AT357" i="11"/>
  <c r="AX371" i="11"/>
  <c r="AY368" i="11"/>
  <c r="BN382" i="11"/>
  <c r="BN384" i="11"/>
  <c r="BY388" i="11"/>
  <c r="CC386" i="11"/>
  <c r="CY389" i="11"/>
  <c r="CT388" i="11"/>
  <c r="CT389" i="11"/>
  <c r="CT395" i="11"/>
  <c r="CT503" i="11" s="1"/>
  <c r="CP415" i="11"/>
  <c r="CP418" i="11" s="1"/>
  <c r="CU417" i="11"/>
  <c r="CP417" i="11"/>
  <c r="BF505" i="11"/>
  <c r="H271" i="11"/>
  <c r="X271" i="11"/>
  <c r="AO268" i="11"/>
  <c r="AA271" i="11"/>
  <c r="AQ277" i="11"/>
  <c r="BG277" i="11"/>
  <c r="AQ283" i="11"/>
  <c r="U300" i="11"/>
  <c r="M308" i="11"/>
  <c r="AC308" i="11"/>
  <c r="AS308" i="11"/>
  <c r="BD316" i="11"/>
  <c r="Z314" i="11"/>
  <c r="BD335" i="11"/>
  <c r="AW335" i="11"/>
  <c r="N349" i="11"/>
  <c r="AJ347" i="11"/>
  <c r="BO363" i="11"/>
  <c r="BJ363" i="11"/>
  <c r="AJ365" i="11"/>
  <c r="AT369" i="11"/>
  <c r="CE389" i="11"/>
  <c r="BZ388" i="11"/>
  <c r="BZ391" i="11" s="1"/>
  <c r="BZ389" i="11"/>
  <c r="U417" i="11"/>
  <c r="CV417" i="11"/>
  <c r="CQ415" i="11"/>
  <c r="CQ417" i="11"/>
  <c r="AE270" i="11"/>
  <c r="AY282" i="11"/>
  <c r="AA283" i="11"/>
  <c r="BX288" i="11"/>
  <c r="W302" i="11"/>
  <c r="AN302" i="11"/>
  <c r="AT305" i="11"/>
  <c r="AT308" i="11" s="1"/>
  <c r="BB323" i="11"/>
  <c r="AE347" i="11"/>
  <c r="AY348" i="11"/>
  <c r="AY346" i="11"/>
  <c r="P354" i="11"/>
  <c r="BP363" i="11"/>
  <c r="BK363" i="11"/>
  <c r="CA395" i="11"/>
  <c r="CA389" i="11"/>
  <c r="Z417" i="11"/>
  <c r="CR414" i="11"/>
  <c r="AC271" i="11"/>
  <c r="AC283" i="11"/>
  <c r="AS283" i="11"/>
  <c r="BI280" i="11"/>
  <c r="BS290" i="11"/>
  <c r="AS291" i="11"/>
  <c r="AE305" i="11"/>
  <c r="BT323" i="11"/>
  <c r="BY323" i="11"/>
  <c r="AY332" i="11"/>
  <c r="AW341" i="11"/>
  <c r="BG355" i="11"/>
  <c r="AZ363" i="11"/>
  <c r="AU363" i="11"/>
  <c r="BQ363" i="11"/>
  <c r="BL363" i="11"/>
  <c r="BY395" i="11"/>
  <c r="CT415" i="11"/>
  <c r="CT418" i="11" s="1"/>
  <c r="CY417" i="11"/>
  <c r="CW414" i="11"/>
  <c r="CT417" i="11"/>
  <c r="M271" i="11"/>
  <c r="AT280" i="11"/>
  <c r="AT283" i="11" s="1"/>
  <c r="AD283" i="11"/>
  <c r="AY305" i="11"/>
  <c r="AC317" i="11"/>
  <c r="BE329" i="11"/>
  <c r="AZ335" i="11"/>
  <c r="U336" i="11"/>
  <c r="U339" i="11" s="1"/>
  <c r="AO347" i="11"/>
  <c r="AX349" i="11"/>
  <c r="AL349" i="11"/>
  <c r="Z354" i="11"/>
  <c r="AP355" i="11"/>
  <c r="BH355" i="11"/>
  <c r="BL355" i="11"/>
  <c r="AY362" i="11"/>
  <c r="BA363" i="11"/>
  <c r="AV363" i="11"/>
  <c r="AY365" i="11"/>
  <c r="BZ395" i="11"/>
  <c r="AJ417" i="11"/>
  <c r="BZ448" i="11"/>
  <c r="AO281" i="11"/>
  <c r="AE288" i="11"/>
  <c r="BF329" i="11"/>
  <c r="BA335" i="11"/>
  <c r="AY338" i="11"/>
  <c r="AT347" i="11"/>
  <c r="BN348" i="11"/>
  <c r="AQ355" i="11"/>
  <c r="BD362" i="11"/>
  <c r="BD365" i="11"/>
  <c r="BI364" i="11"/>
  <c r="BN364" i="11" s="1"/>
  <c r="BS364" i="11" s="1"/>
  <c r="BX364" i="11" s="1"/>
  <c r="CC364" i="11" s="1"/>
  <c r="CH364" i="11" s="1"/>
  <c r="CM364" i="11" s="1"/>
  <c r="CR364" i="11" s="1"/>
  <c r="CW364" i="11" s="1"/>
  <c r="DB364" i="11" s="1"/>
  <c r="DG364" i="11" s="1"/>
  <c r="DL364" i="11" s="1"/>
  <c r="DM364" i="11" s="1"/>
  <c r="DN364" i="11" s="1"/>
  <c r="DO364" i="11" s="1"/>
  <c r="DP364" i="11" s="1"/>
  <c r="BQ390" i="11"/>
  <c r="CJ396" i="11"/>
  <c r="CM387" i="11"/>
  <c r="CJ388" i="11"/>
  <c r="CO390" i="11"/>
  <c r="CU391" i="11"/>
  <c r="BD421" i="11"/>
  <c r="AT268" i="11"/>
  <c r="AY295" i="11"/>
  <c r="AO322" i="11"/>
  <c r="Z320" i="11"/>
  <c r="Z323" i="11" s="1"/>
  <c r="BW323" i="11"/>
  <c r="BI333" i="11"/>
  <c r="J355" i="11"/>
  <c r="AA355" i="11"/>
  <c r="BE395" i="11"/>
  <c r="BJ389" i="11"/>
  <c r="BE388" i="11"/>
  <c r="BE389" i="11"/>
  <c r="CF389" i="11"/>
  <c r="CK396" i="11"/>
  <c r="CR445" i="11"/>
  <c r="CR447" i="11"/>
  <c r="O283" i="11"/>
  <c r="AX283" i="11"/>
  <c r="AA323" i="11"/>
  <c r="AQ323" i="11"/>
  <c r="BG323" i="11"/>
  <c r="BD334" i="11"/>
  <c r="AJ338" i="11"/>
  <c r="AJ341" i="11" s="1"/>
  <c r="BI347" i="11"/>
  <c r="Z353" i="11"/>
  <c r="K352" i="11"/>
  <c r="AY360" i="11"/>
  <c r="CL396" i="11"/>
  <c r="CQ390" i="11"/>
  <c r="CY416" i="11"/>
  <c r="CT416" i="11"/>
  <c r="CW413" i="11"/>
  <c r="CW416" i="11" s="1"/>
  <c r="BF447" i="11"/>
  <c r="BF445" i="11"/>
  <c r="BY448" i="11"/>
  <c r="AX396" i="11"/>
  <c r="BC399" i="11" s="1"/>
  <c r="BD225" i="11"/>
  <c r="BD227" i="11"/>
  <c r="AT251" i="11"/>
  <c r="BS289" i="11"/>
  <c r="BX290" i="11"/>
  <c r="AT321" i="11"/>
  <c r="AB323" i="11"/>
  <c r="AR323" i="11"/>
  <c r="BH323" i="11"/>
  <c r="BN333" i="11"/>
  <c r="AA349" i="11"/>
  <c r="V349" i="11"/>
  <c r="AT352" i="11"/>
  <c r="AY354" i="11"/>
  <c r="L355" i="11"/>
  <c r="AU355" i="11"/>
  <c r="BM355" i="11"/>
  <c r="AO354" i="11"/>
  <c r="BU396" i="11"/>
  <c r="BZ390" i="11"/>
  <c r="BN352" i="11"/>
  <c r="AY369" i="11"/>
  <c r="BJ379" i="11"/>
  <c r="BH395" i="11"/>
  <c r="CB389" i="11"/>
  <c r="AO417" i="11"/>
  <c r="CZ417" i="11"/>
  <c r="DB414" i="11"/>
  <c r="U422" i="11"/>
  <c r="BX423" i="11"/>
  <c r="BH428" i="11"/>
  <c r="BH427" i="11"/>
  <c r="BO427" i="11"/>
  <c r="BO430" i="11" s="1"/>
  <c r="BO429" i="11"/>
  <c r="BS426" i="11"/>
  <c r="BS432" i="11" s="1"/>
  <c r="BS438" i="11"/>
  <c r="BN439" i="11"/>
  <c r="BN442" i="11" s="1"/>
  <c r="DA451" i="11"/>
  <c r="CZ452" i="11"/>
  <c r="BR363" i="11"/>
  <c r="R371" i="11"/>
  <c r="AI371" i="11"/>
  <c r="AZ371" i="11"/>
  <c r="BK379" i="11"/>
  <c r="CS390" i="11"/>
  <c r="CS388" i="11"/>
  <c r="AU394" i="11"/>
  <c r="CZ416" i="11"/>
  <c r="BP427" i="11"/>
  <c r="BP429" i="11"/>
  <c r="BE429" i="11"/>
  <c r="CV503" i="11"/>
  <c r="CV451" i="11"/>
  <c r="DA452" i="11"/>
  <c r="BI353" i="11"/>
  <c r="AY352" i="11"/>
  <c r="BB363" i="11"/>
  <c r="S371" i="11"/>
  <c r="AJ368" i="11"/>
  <c r="BA371" i="11"/>
  <c r="W371" i="11"/>
  <c r="AR371" i="11"/>
  <c r="BL379" i="11"/>
  <c r="BG385" i="11"/>
  <c r="BJ395" i="11"/>
  <c r="CD389" i="11"/>
  <c r="CH386" i="11"/>
  <c r="BE390" i="11"/>
  <c r="CW387" i="11"/>
  <c r="DA416" i="11"/>
  <c r="AY417" i="11"/>
  <c r="BI416" i="11"/>
  <c r="BQ427" i="11"/>
  <c r="BQ429" i="11"/>
  <c r="BT439" i="11"/>
  <c r="BY438" i="11"/>
  <c r="BT450" i="11"/>
  <c r="CW449" i="11"/>
  <c r="BC363" i="11"/>
  <c r="T371" i="11"/>
  <c r="AK371" i="11"/>
  <c r="BB371" i="11"/>
  <c r="BM379" i="11"/>
  <c r="BH385" i="11"/>
  <c r="CA390" i="11"/>
  <c r="CA388" i="11"/>
  <c r="CD388" i="11"/>
  <c r="DC389" i="11"/>
  <c r="DB413" i="11"/>
  <c r="BD415" i="11"/>
  <c r="BG424" i="11"/>
  <c r="BL424" i="11"/>
  <c r="BU439" i="11"/>
  <c r="BZ438" i="11"/>
  <c r="BU450" i="11"/>
  <c r="BI442" i="11"/>
  <c r="CX502" i="11"/>
  <c r="DB501" i="11"/>
  <c r="AL371" i="11"/>
  <c r="BC371" i="11"/>
  <c r="AY376" i="11"/>
  <c r="CF395" i="11"/>
  <c r="BJ390" i="11"/>
  <c r="BJ388" i="11"/>
  <c r="BJ396" i="11"/>
  <c r="CB390" i="11"/>
  <c r="CB388" i="11"/>
  <c r="DC396" i="11"/>
  <c r="DC416" i="11"/>
  <c r="DH413" i="11"/>
  <c r="BM428" i="11"/>
  <c r="BM427" i="11"/>
  <c r="BD368" i="11"/>
  <c r="CG395" i="11"/>
  <c r="CC387" i="11"/>
  <c r="DI387" i="11"/>
  <c r="DD396" i="11"/>
  <c r="CF388" i="11"/>
  <c r="CX390" i="11"/>
  <c r="CD396" i="11"/>
  <c r="CI399" i="11" s="1"/>
  <c r="AO415" i="11"/>
  <c r="BN425" i="11"/>
  <c r="BD433" i="11"/>
  <c r="AO368" i="11"/>
  <c r="AA371" i="11"/>
  <c r="CI395" i="11"/>
  <c r="CI397" i="11" s="1"/>
  <c r="DF396" i="11"/>
  <c r="CG388" i="11"/>
  <c r="CL391" i="11" s="1"/>
  <c r="CK389" i="11"/>
  <c r="DG389" i="11"/>
  <c r="CE396" i="11"/>
  <c r="DE416" i="11"/>
  <c r="DJ413" i="11"/>
  <c r="DE415" i="11"/>
  <c r="BX418" i="11"/>
  <c r="AO370" i="11"/>
  <c r="BI383" i="11"/>
  <c r="BN383" i="11"/>
  <c r="CJ395" i="11"/>
  <c r="DG387" i="11"/>
  <c r="DL389" i="11"/>
  <c r="BS416" i="11"/>
  <c r="DG413" i="11"/>
  <c r="AF421" i="11"/>
  <c r="AF424" i="11" s="1"/>
  <c r="AK420" i="11"/>
  <c r="BD426" i="11"/>
  <c r="BK436" i="11"/>
  <c r="BF436" i="11"/>
  <c r="DG445" i="11"/>
  <c r="Q329" i="11"/>
  <c r="AG329" i="11"/>
  <c r="AW329" i="11"/>
  <c r="AM335" i="11"/>
  <c r="BC335" i="11"/>
  <c r="J349" i="11"/>
  <c r="U365" i="11"/>
  <c r="Z368" i="11"/>
  <c r="Z371" i="11" s="1"/>
  <c r="DH387" i="11"/>
  <c r="DC388" i="11"/>
  <c r="Z415" i="11"/>
  <c r="AR418" i="11"/>
  <c r="BZ418" i="11"/>
  <c r="AG421" i="11"/>
  <c r="AG424" i="11" s="1"/>
  <c r="AL420" i="11"/>
  <c r="CH447" i="11"/>
  <c r="K332" i="11"/>
  <c r="K335" i="11" s="1"/>
  <c r="W335" i="11"/>
  <c r="AN335" i="11"/>
  <c r="AB335" i="11"/>
  <c r="P338" i="11"/>
  <c r="BF355" i="11"/>
  <c r="AE370" i="11"/>
  <c r="DD388" i="11"/>
  <c r="DD391" i="11" s="1"/>
  <c r="AA418" i="11"/>
  <c r="AS418" i="11"/>
  <c r="BJ418" i="11"/>
  <c r="CA418" i="11"/>
  <c r="BR428" i="11"/>
  <c r="BH436" i="11"/>
  <c r="BH424" i="11"/>
  <c r="BA427" i="11"/>
  <c r="BR427" i="11"/>
  <c r="CM432" i="11"/>
  <c r="BK442" i="11"/>
  <c r="BJ454" i="11"/>
  <c r="BE454" i="11"/>
  <c r="BQ504" i="11"/>
  <c r="BQ502" i="11"/>
  <c r="R421" i="11"/>
  <c r="R424" i="11" s="1"/>
  <c r="CH421" i="11"/>
  <c r="BK424" i="11"/>
  <c r="AY425" i="11"/>
  <c r="DF439" i="11"/>
  <c r="CE446" i="11"/>
  <c r="CA448" i="11"/>
  <c r="BF454" i="11"/>
  <c r="BL506" i="11"/>
  <c r="BQ506" i="11"/>
  <c r="BR504" i="11"/>
  <c r="BR507" i="11" s="1"/>
  <c r="BR502" i="11"/>
  <c r="BJ424" i="11"/>
  <c r="CB448" i="11"/>
  <c r="DH450" i="11"/>
  <c r="DC502" i="11"/>
  <c r="DG501" i="11"/>
  <c r="BM424" i="11"/>
  <c r="BG445" i="11"/>
  <c r="BG448" i="11" s="1"/>
  <c r="CD448" i="11"/>
  <c r="DI450" i="11"/>
  <c r="DN490" i="11"/>
  <c r="DO489" i="11"/>
  <c r="BK397" i="11"/>
  <c r="AT422" i="11"/>
  <c r="U420" i="11"/>
  <c r="BS425" i="11"/>
  <c r="CH429" i="11"/>
  <c r="BN440" i="11"/>
  <c r="DK437" i="11"/>
  <c r="CE445" i="11"/>
  <c r="BV450" i="11"/>
  <c r="CW450" i="11"/>
  <c r="CX453" i="11"/>
  <c r="DJ450" i="11"/>
  <c r="BT502" i="11"/>
  <c r="DI413" i="11"/>
  <c r="DI415" i="11" s="1"/>
  <c r="V420" i="11"/>
  <c r="BO424" i="11"/>
  <c r="BF429" i="11"/>
  <c r="CA438" i="11"/>
  <c r="DH439" i="11"/>
  <c r="BO446" i="11"/>
  <c r="BJ445" i="11"/>
  <c r="CW445" i="11"/>
  <c r="CC446" i="11"/>
  <c r="BW504" i="11"/>
  <c r="BK454" i="11"/>
  <c r="DO477" i="11"/>
  <c r="DN501" i="11"/>
  <c r="DN478" i="11"/>
  <c r="AT370" i="11"/>
  <c r="BA395" i="11"/>
  <c r="CP390" i="11"/>
  <c r="CH416" i="11"/>
  <c r="BN415" i="11"/>
  <c r="DC417" i="11"/>
  <c r="W420" i="11"/>
  <c r="CG438" i="11"/>
  <c r="CB450" i="11"/>
  <c r="BS444" i="11"/>
  <c r="DL444" i="11"/>
  <c r="BO445" i="11"/>
  <c r="BT448" i="11" s="1"/>
  <c r="CU448" i="11"/>
  <c r="BK399" i="11"/>
  <c r="DD417" i="11"/>
  <c r="X420" i="11"/>
  <c r="AY421" i="11"/>
  <c r="BI425" i="11"/>
  <c r="BH429" i="11"/>
  <c r="BL446" i="11"/>
  <c r="AY444" i="11"/>
  <c r="AX326" i="11"/>
  <c r="AX329" i="11" s="1"/>
  <c r="DH414" i="11"/>
  <c r="Y420" i="11"/>
  <c r="AX424" i="11"/>
  <c r="BR429" i="11"/>
  <c r="BM446" i="11"/>
  <c r="BK447" i="11"/>
  <c r="DP467" i="11"/>
  <c r="DP469" i="11" s="1"/>
  <c r="DO469" i="11"/>
  <c r="BZ396" i="11"/>
  <c r="CX418" i="11"/>
  <c r="Q421" i="11"/>
  <c r="Q424" i="11" s="1"/>
  <c r="BN426" i="11"/>
  <c r="BN432" i="11" s="1"/>
  <c r="BJ429" i="11"/>
  <c r="BN443" i="11"/>
  <c r="BD444" i="11"/>
  <c r="BL447" i="11"/>
  <c r="DO495" i="11"/>
  <c r="DN496" i="11"/>
  <c r="BX500" i="11"/>
  <c r="BG505" i="11"/>
  <c r="BG502" i="11"/>
  <c r="CP502" i="11"/>
  <c r="DF502" i="11"/>
  <c r="BK506" i="11"/>
  <c r="BJ502" i="11"/>
  <c r="BZ502" i="11"/>
  <c r="BL504" i="11"/>
  <c r="BL507" i="11" s="1"/>
  <c r="BM503" i="11"/>
  <c r="CY503" i="11"/>
  <c r="BN502" i="11"/>
  <c r="CE502" i="11"/>
  <c r="CU502" i="11"/>
  <c r="BX445" i="11"/>
  <c r="CC448" i="11" s="1"/>
  <c r="DP481" i="11"/>
  <c r="BK428" i="11"/>
  <c r="BP448" i="11" l="1"/>
  <c r="BW451" i="11"/>
  <c r="BW454" i="11" s="1"/>
  <c r="BK430" i="11"/>
  <c r="CZ505" i="11"/>
  <c r="DC451" i="11"/>
  <c r="K104" i="7"/>
  <c r="E30" i="2"/>
  <c r="E29" i="2"/>
  <c r="F54" i="2"/>
  <c r="F53" i="2"/>
  <c r="F41" i="2"/>
  <c r="D54" i="2"/>
  <c r="D53" i="2"/>
  <c r="J104" i="7"/>
  <c r="D30" i="2"/>
  <c r="D29" i="2"/>
  <c r="L129" i="7"/>
  <c r="F42" i="2"/>
  <c r="F49" i="2" s="1"/>
  <c r="F37" i="2"/>
  <c r="F48" i="2" s="1"/>
  <c r="E54" i="2"/>
  <c r="E53" i="2"/>
  <c r="E41" i="2"/>
  <c r="C54" i="2"/>
  <c r="C53" i="2"/>
  <c r="C27" i="4"/>
  <c r="D27" i="4" s="1"/>
  <c r="D26" i="4"/>
  <c r="C22" i="3"/>
  <c r="G30" i="2"/>
  <c r="G29" i="2"/>
  <c r="I104" i="7"/>
  <c r="C29" i="2"/>
  <c r="C30" i="2"/>
  <c r="L22" i="6"/>
  <c r="C9" i="2"/>
  <c r="BP430" i="11"/>
  <c r="CR98" i="11"/>
  <c r="CM131" i="11"/>
  <c r="BL430" i="11"/>
  <c r="CB439" i="11"/>
  <c r="CI234" i="11"/>
  <c r="Z308" i="11"/>
  <c r="CH131" i="11"/>
  <c r="AO39" i="11"/>
  <c r="BI39" i="11"/>
  <c r="AE271" i="11"/>
  <c r="BT452" i="11"/>
  <c r="CL437" i="11"/>
  <c r="CQ437" i="11" s="1"/>
  <c r="CQ449" i="11" s="1"/>
  <c r="CV452" i="11" s="1"/>
  <c r="DL445" i="11"/>
  <c r="BF448" i="11"/>
  <c r="U234" i="11"/>
  <c r="BS449" i="11"/>
  <c r="DK398" i="11"/>
  <c r="CW27" i="11"/>
  <c r="AE349" i="11"/>
  <c r="U329" i="11"/>
  <c r="AY76" i="11"/>
  <c r="AT355" i="11"/>
  <c r="BD200" i="11"/>
  <c r="BP202" i="11"/>
  <c r="AJ271" i="11"/>
  <c r="CR119" i="11"/>
  <c r="CC215" i="11"/>
  <c r="BS446" i="11"/>
  <c r="AT317" i="11"/>
  <c r="DB83" i="11"/>
  <c r="Z355" i="11"/>
  <c r="BN418" i="11"/>
  <c r="DE418" i="11"/>
  <c r="AO291" i="11"/>
  <c r="AO76" i="11"/>
  <c r="BI58" i="11"/>
  <c r="DM53" i="11"/>
  <c r="DN53" i="11" s="1"/>
  <c r="DO53" i="11" s="1"/>
  <c r="DP53" i="11" s="1"/>
  <c r="BN363" i="11"/>
  <c r="CC201" i="11"/>
  <c r="AT252" i="11"/>
  <c r="CH52" i="11"/>
  <c r="CH39" i="11"/>
  <c r="CZ418" i="11"/>
  <c r="CM64" i="11"/>
  <c r="AJ302" i="11"/>
  <c r="P234" i="11"/>
  <c r="P308" i="11"/>
  <c r="BM202" i="11"/>
  <c r="P119" i="11"/>
  <c r="CR215" i="11"/>
  <c r="AY164" i="11"/>
  <c r="DG83" i="11"/>
  <c r="CC131" i="11"/>
  <c r="DM159" i="11"/>
  <c r="DN159" i="11" s="1"/>
  <c r="DO159" i="11" s="1"/>
  <c r="DP159" i="11" s="1"/>
  <c r="CR101" i="11"/>
  <c r="AO418" i="11"/>
  <c r="CW131" i="11"/>
  <c r="CH228" i="11"/>
  <c r="BI215" i="11"/>
  <c r="AZ448" i="11"/>
  <c r="AT234" i="11"/>
  <c r="BD64" i="11"/>
  <c r="CA391" i="11"/>
  <c r="DI418" i="11"/>
  <c r="DF418" i="11"/>
  <c r="Z329" i="11"/>
  <c r="U252" i="11"/>
  <c r="CH200" i="11"/>
  <c r="AY445" i="11"/>
  <c r="CC252" i="11"/>
  <c r="P101" i="11"/>
  <c r="CW18" i="11"/>
  <c r="AT349" i="11"/>
  <c r="AO265" i="11"/>
  <c r="DM158" i="11"/>
  <c r="BX215" i="11"/>
  <c r="CM177" i="11"/>
  <c r="AG52" i="11"/>
  <c r="CC258" i="11"/>
  <c r="CH177" i="11"/>
  <c r="AJ349" i="11"/>
  <c r="CH215" i="11"/>
  <c r="BS363" i="11"/>
  <c r="DG448" i="11"/>
  <c r="CC396" i="11"/>
  <c r="CH424" i="11"/>
  <c r="U418" i="11"/>
  <c r="BG430" i="11"/>
  <c r="AE317" i="11"/>
  <c r="BO447" i="11"/>
  <c r="CW200" i="11"/>
  <c r="BN200" i="11"/>
  <c r="CH252" i="11"/>
  <c r="BB202" i="11"/>
  <c r="BS240" i="11"/>
  <c r="BD177" i="11"/>
  <c r="AY335" i="11"/>
  <c r="BI252" i="11"/>
  <c r="DB448" i="11"/>
  <c r="BN444" i="11"/>
  <c r="BN445" i="11" s="1"/>
  <c r="BD436" i="11"/>
  <c r="CB391" i="11"/>
  <c r="BT503" i="11"/>
  <c r="BS101" i="11"/>
  <c r="Z183" i="11"/>
  <c r="DB107" i="11"/>
  <c r="BN52" i="11"/>
  <c r="DK12" i="11"/>
  <c r="AI12" i="13"/>
  <c r="P142" i="7"/>
  <c r="P93" i="7"/>
  <c r="O152" i="7"/>
  <c r="P110" i="7"/>
  <c r="P107" i="7"/>
  <c r="M104" i="7"/>
  <c r="M117" i="7"/>
  <c r="AM23" i="13"/>
  <c r="AN22" i="13"/>
  <c r="K60" i="13"/>
  <c r="P26" i="13"/>
  <c r="R43" i="13"/>
  <c r="AI36" i="13"/>
  <c r="AH63" i="13"/>
  <c r="U28" i="13"/>
  <c r="P60" i="13"/>
  <c r="U60" i="13"/>
  <c r="K28" i="13"/>
  <c r="Z59" i="13"/>
  <c r="AE26" i="13"/>
  <c r="AE28" i="13" s="1"/>
  <c r="AK27" i="13"/>
  <c r="S21" i="13"/>
  <c r="BI389" i="11"/>
  <c r="BI395" i="11"/>
  <c r="DM78" i="11"/>
  <c r="DN78" i="11" s="1"/>
  <c r="DO78" i="11" s="1"/>
  <c r="DP78" i="11" s="1"/>
  <c r="DB144" i="11"/>
  <c r="DK396" i="11"/>
  <c r="DK504" i="11" s="1"/>
  <c r="CW234" i="11"/>
  <c r="AK52" i="11"/>
  <c r="DM7" i="11"/>
  <c r="DO7" i="11" s="1"/>
  <c r="DP7" i="11" s="1"/>
  <c r="DI452" i="11"/>
  <c r="AO58" i="11"/>
  <c r="Z240" i="11"/>
  <c r="AK231" i="11"/>
  <c r="AK234" i="11" s="1"/>
  <c r="BK389" i="11"/>
  <c r="BI222" i="11"/>
  <c r="BX258" i="11"/>
  <c r="BI379" i="11"/>
  <c r="BX183" i="11"/>
  <c r="DP476" i="11"/>
  <c r="DD195" i="11"/>
  <c r="Z177" i="11"/>
  <c r="CH46" i="11"/>
  <c r="AT277" i="11"/>
  <c r="AO52" i="11"/>
  <c r="AO349" i="11"/>
  <c r="U39" i="11"/>
  <c r="DC503" i="11"/>
  <c r="AO355" i="11"/>
  <c r="BA430" i="11"/>
  <c r="BW503" i="11"/>
  <c r="BW505" i="11" s="1"/>
  <c r="U302" i="11"/>
  <c r="BS252" i="11"/>
  <c r="CC183" i="11"/>
  <c r="AT240" i="11"/>
  <c r="BX177" i="11"/>
  <c r="CC418" i="11"/>
  <c r="BS258" i="11"/>
  <c r="AO240" i="11"/>
  <c r="CC119" i="11"/>
  <c r="BR202" i="11"/>
  <c r="P329" i="11"/>
  <c r="CM95" i="11"/>
  <c r="BC445" i="11"/>
  <c r="BD445" i="11" s="1"/>
  <c r="BS164" i="11"/>
  <c r="AJ222" i="11"/>
  <c r="AJ329" i="11"/>
  <c r="CN391" i="11"/>
  <c r="BD234" i="11"/>
  <c r="CC164" i="11"/>
  <c r="AJ317" i="11"/>
  <c r="DB396" i="11"/>
  <c r="CX454" i="11"/>
  <c r="CW113" i="11"/>
  <c r="DG12" i="11"/>
  <c r="U177" i="11"/>
  <c r="AT265" i="11"/>
  <c r="CH434" i="11"/>
  <c r="U113" i="11"/>
  <c r="DB12" i="11"/>
  <c r="BN317" i="11"/>
  <c r="DL116" i="11"/>
  <c r="DL119" i="11" s="1"/>
  <c r="BK507" i="11"/>
  <c r="BD428" i="11"/>
  <c r="Z418" i="11"/>
  <c r="AE234" i="11"/>
  <c r="CM113" i="11"/>
  <c r="AO50" i="11"/>
  <c r="CC199" i="11"/>
  <c r="BS113" i="11"/>
  <c r="BP507" i="11"/>
  <c r="AT58" i="11"/>
  <c r="CM138" i="11"/>
  <c r="BI64" i="11"/>
  <c r="AE302" i="11"/>
  <c r="BH391" i="11"/>
  <c r="CH418" i="11"/>
  <c r="AY113" i="11"/>
  <c r="U355" i="11"/>
  <c r="BD418" i="11"/>
  <c r="DL144" i="11"/>
  <c r="DM54" i="11"/>
  <c r="DM55" i="11" s="1"/>
  <c r="BX265" i="11"/>
  <c r="BI271" i="11"/>
  <c r="CE202" i="11"/>
  <c r="AJ50" i="11"/>
  <c r="BD52" i="11"/>
  <c r="P228" i="11"/>
  <c r="BB430" i="11"/>
  <c r="BI297" i="11"/>
  <c r="BN271" i="11"/>
  <c r="C189" i="7"/>
  <c r="BI443" i="11"/>
  <c r="BI445" i="11" s="1"/>
  <c r="CR448" i="11"/>
  <c r="U338" i="11"/>
  <c r="DJ12" i="11"/>
  <c r="CR228" i="11"/>
  <c r="BX222" i="11"/>
  <c r="BI209" i="11"/>
  <c r="DJ46" i="11"/>
  <c r="BH454" i="11"/>
  <c r="BD113" i="11"/>
  <c r="DI12" i="11"/>
  <c r="BN113" i="11"/>
  <c r="AW202" i="11"/>
  <c r="AE252" i="11"/>
  <c r="BP508" i="11"/>
  <c r="DK164" i="11"/>
  <c r="DA202" i="11"/>
  <c r="DL43" i="11"/>
  <c r="AJ10" i="13" s="1"/>
  <c r="DJ119" i="11"/>
  <c r="BE391" i="11"/>
  <c r="DH452" i="11"/>
  <c r="BD164" i="11"/>
  <c r="DB113" i="11"/>
  <c r="DH46" i="11"/>
  <c r="CO222" i="11"/>
  <c r="AJ58" i="11"/>
  <c r="CR390" i="11"/>
  <c r="DJ396" i="11"/>
  <c r="DJ504" i="11" s="1"/>
  <c r="DJ507" i="11" s="1"/>
  <c r="CM418" i="11"/>
  <c r="AO222" i="11"/>
  <c r="DM443" i="11"/>
  <c r="DN443" i="11" s="1"/>
  <c r="DO443" i="11" s="1"/>
  <c r="DP443" i="11" s="1"/>
  <c r="Z18" i="11"/>
  <c r="DI46" i="11"/>
  <c r="BM430" i="11"/>
  <c r="BM447" i="11"/>
  <c r="AY101" i="11"/>
  <c r="AY234" i="11"/>
  <c r="DB194" i="11"/>
  <c r="CW215" i="11"/>
  <c r="BJ446" i="11"/>
  <c r="DC452" i="11"/>
  <c r="BH447" i="11"/>
  <c r="CC52" i="11"/>
  <c r="CI215" i="11"/>
  <c r="CB449" i="11"/>
  <c r="CB452" i="11" s="1"/>
  <c r="DH164" i="11"/>
  <c r="DK46" i="11"/>
  <c r="AT209" i="11"/>
  <c r="CW201" i="11"/>
  <c r="CM151" i="11"/>
  <c r="BI349" i="11"/>
  <c r="DG144" i="11"/>
  <c r="BH445" i="11"/>
  <c r="DE202" i="11"/>
  <c r="DG201" i="11"/>
  <c r="CW169" i="11"/>
  <c r="CW46" i="11"/>
  <c r="DI164" i="11"/>
  <c r="BX64" i="11"/>
  <c r="CR46" i="11"/>
  <c r="CM39" i="11"/>
  <c r="AT323" i="11"/>
  <c r="DD451" i="11"/>
  <c r="DD454" i="11" s="1"/>
  <c r="AY427" i="11"/>
  <c r="BX46" i="11"/>
  <c r="CR389" i="11"/>
  <c r="CR167" i="11"/>
  <c r="BN209" i="11"/>
  <c r="BI240" i="11"/>
  <c r="CT222" i="11"/>
  <c r="DG27" i="11"/>
  <c r="Z119" i="11"/>
  <c r="DJ164" i="11"/>
  <c r="BE445" i="11"/>
  <c r="BE448" i="11" s="1"/>
  <c r="DK199" i="11"/>
  <c r="AI8" i="13" s="1"/>
  <c r="DG164" i="11"/>
  <c r="DL138" i="11"/>
  <c r="DL161" i="11"/>
  <c r="AJ11" i="13" s="1"/>
  <c r="DM114" i="11"/>
  <c r="DN114" i="11" s="1"/>
  <c r="DO114" i="11" s="1"/>
  <c r="DP114" i="11" s="1"/>
  <c r="BN335" i="11"/>
  <c r="AO113" i="11"/>
  <c r="BK508" i="11"/>
  <c r="CW228" i="11"/>
  <c r="BI113" i="11"/>
  <c r="DG46" i="11"/>
  <c r="BN177" i="11"/>
  <c r="Z39" i="11"/>
  <c r="CH240" i="11"/>
  <c r="DL198" i="11"/>
  <c r="DM198" i="11" s="1"/>
  <c r="CH18" i="11"/>
  <c r="CR144" i="11"/>
  <c r="DL9" i="11"/>
  <c r="AJ12" i="13" s="1"/>
  <c r="BI418" i="11"/>
  <c r="DF504" i="11"/>
  <c r="DF505" i="11" s="1"/>
  <c r="AD15" i="13" s="1"/>
  <c r="BI291" i="11"/>
  <c r="CY202" i="11"/>
  <c r="CU202" i="11"/>
  <c r="DB52" i="11"/>
  <c r="CV202" i="11"/>
  <c r="AE355" i="11"/>
  <c r="DG95" i="11"/>
  <c r="BD271" i="11"/>
  <c r="AO323" i="11"/>
  <c r="U323" i="11"/>
  <c r="D79" i="7"/>
  <c r="D81" i="7" s="1"/>
  <c r="C39" i="7"/>
  <c r="C40" i="7" s="1"/>
  <c r="D26" i="7"/>
  <c r="F189" i="7"/>
  <c r="F192" i="7" s="1"/>
  <c r="F26" i="7"/>
  <c r="M25" i="7"/>
  <c r="D40" i="7"/>
  <c r="D50" i="7"/>
  <c r="D51" i="7" s="1"/>
  <c r="G189" i="7"/>
  <c r="G192" i="7" s="1"/>
  <c r="C25" i="7"/>
  <c r="J26" i="7"/>
  <c r="F25" i="7"/>
  <c r="F39" i="7"/>
  <c r="F40" i="7" s="1"/>
  <c r="M32" i="7"/>
  <c r="D189" i="7"/>
  <c r="D192" i="7" s="1"/>
  <c r="E189" i="7"/>
  <c r="E192" i="7" s="1"/>
  <c r="D25" i="7"/>
  <c r="K26" i="7"/>
  <c r="J32" i="7"/>
  <c r="I32" i="7"/>
  <c r="I26" i="7"/>
  <c r="I25" i="7"/>
  <c r="K25" i="7"/>
  <c r="K32" i="7"/>
  <c r="H32" i="7"/>
  <c r="H25" i="7"/>
  <c r="I155" i="7"/>
  <c r="I189" i="7"/>
  <c r="I192" i="7" s="1"/>
  <c r="L26" i="7"/>
  <c r="L25" i="7"/>
  <c r="L32" i="7"/>
  <c r="H155" i="7"/>
  <c r="H189" i="7"/>
  <c r="H192" i="7" s="1"/>
  <c r="M155" i="7"/>
  <c r="M189" i="7"/>
  <c r="M192" i="7" s="1"/>
  <c r="M26" i="7"/>
  <c r="G32" i="7"/>
  <c r="G26" i="7"/>
  <c r="G25" i="7"/>
  <c r="H26" i="7"/>
  <c r="K155" i="7"/>
  <c r="K189" i="7"/>
  <c r="K192" i="7" s="1"/>
  <c r="E32" i="7"/>
  <c r="E26" i="7"/>
  <c r="E25" i="7"/>
  <c r="L155" i="7"/>
  <c r="L189" i="7"/>
  <c r="L192" i="7" s="1"/>
  <c r="J155" i="7"/>
  <c r="J189" i="7"/>
  <c r="J192" i="7" s="1"/>
  <c r="CH246" i="11"/>
  <c r="CO202" i="11"/>
  <c r="AT246" i="11"/>
  <c r="AO101" i="11"/>
  <c r="AT363" i="11"/>
  <c r="DJ199" i="11"/>
  <c r="AH8" i="13" s="1"/>
  <c r="CM240" i="11"/>
  <c r="AO199" i="11"/>
  <c r="AT177" i="11"/>
  <c r="AY177" i="11"/>
  <c r="AO18" i="11"/>
  <c r="DM102" i="11"/>
  <c r="DN102" i="11" s="1"/>
  <c r="DO102" i="11" s="1"/>
  <c r="DP102" i="11" s="1"/>
  <c r="BD355" i="11"/>
  <c r="AT113" i="11"/>
  <c r="DP500" i="11"/>
  <c r="DD504" i="11"/>
  <c r="DD505" i="11" s="1"/>
  <c r="AB15" i="13" s="1"/>
  <c r="DA503" i="11"/>
  <c r="CT391" i="11"/>
  <c r="DB200" i="11"/>
  <c r="BD302" i="11"/>
  <c r="BS18" i="11"/>
  <c r="BS385" i="11"/>
  <c r="BD228" i="11"/>
  <c r="BJ391" i="11"/>
  <c r="BU448" i="11"/>
  <c r="BS228" i="11"/>
  <c r="BU202" i="11"/>
  <c r="CR177" i="11"/>
  <c r="CK391" i="11"/>
  <c r="CY454" i="11"/>
  <c r="AJ277" i="11"/>
  <c r="AT291" i="11"/>
  <c r="CR83" i="11"/>
  <c r="BN46" i="11"/>
  <c r="CC101" i="11"/>
  <c r="BI228" i="11"/>
  <c r="BX246" i="11"/>
  <c r="BC202" i="11"/>
  <c r="AE283" i="11"/>
  <c r="BS39" i="11"/>
  <c r="DF454" i="11"/>
  <c r="DB452" i="11"/>
  <c r="CH389" i="11"/>
  <c r="BC397" i="11"/>
  <c r="BS64" i="11"/>
  <c r="W234" i="11"/>
  <c r="CR396" i="11"/>
  <c r="CM246" i="11"/>
  <c r="AY246" i="11"/>
  <c r="CM430" i="11"/>
  <c r="AT183" i="11"/>
  <c r="CH12" i="11"/>
  <c r="CH445" i="11"/>
  <c r="CH448" i="11" s="1"/>
  <c r="BN355" i="11"/>
  <c r="BX228" i="11"/>
  <c r="Z265" i="11"/>
  <c r="AV202" i="11"/>
  <c r="CC39" i="11"/>
  <c r="CR222" i="11"/>
  <c r="CN202" i="11"/>
  <c r="BI234" i="11"/>
  <c r="DG151" i="11"/>
  <c r="DB70" i="11"/>
  <c r="DL61" i="11"/>
  <c r="DL64" i="11" s="1"/>
  <c r="CR58" i="11"/>
  <c r="AZ430" i="11"/>
  <c r="AJ418" i="11"/>
  <c r="CJ398" i="11"/>
  <c r="AY228" i="11"/>
  <c r="BI76" i="11"/>
  <c r="BS58" i="11"/>
  <c r="U52" i="11"/>
  <c r="CR246" i="11"/>
  <c r="DB27" i="11"/>
  <c r="CM209" i="11"/>
  <c r="CZ202" i="11"/>
  <c r="BJ234" i="11"/>
  <c r="CC12" i="11"/>
  <c r="BX101" i="11"/>
  <c r="DI202" i="11"/>
  <c r="CC113" i="11"/>
  <c r="BJ202" i="11"/>
  <c r="CW70" i="11"/>
  <c r="BN215" i="11"/>
  <c r="AJ228" i="11"/>
  <c r="BD119" i="11"/>
  <c r="AI52" i="11"/>
  <c r="AD52" i="11"/>
  <c r="DB415" i="11"/>
  <c r="DL502" i="11"/>
  <c r="CW502" i="11"/>
  <c r="BR505" i="11"/>
  <c r="DE504" i="11"/>
  <c r="DI503" i="11"/>
  <c r="DI506" i="11" s="1"/>
  <c r="BI429" i="11"/>
  <c r="BS428" i="11"/>
  <c r="DC504" i="11"/>
  <c r="BQ448" i="11"/>
  <c r="DI439" i="11"/>
  <c r="DG450" i="11"/>
  <c r="BC430" i="11"/>
  <c r="BX452" i="11"/>
  <c r="BV391" i="11"/>
  <c r="DE397" i="11"/>
  <c r="AJ283" i="11"/>
  <c r="U291" i="11"/>
  <c r="CL503" i="11"/>
  <c r="BI335" i="11"/>
  <c r="AJ355" i="11"/>
  <c r="AY277" i="11"/>
  <c r="BD396" i="11"/>
  <c r="AJ371" i="11"/>
  <c r="AT329" i="11"/>
  <c r="BN379" i="11"/>
  <c r="BX291" i="11"/>
  <c r="Z335" i="11"/>
  <c r="AO277" i="11"/>
  <c r="CN400" i="11"/>
  <c r="AJ323" i="11"/>
  <c r="AY323" i="11"/>
  <c r="AZ398" i="11"/>
  <c r="CC323" i="11"/>
  <c r="AY302" i="11"/>
  <c r="BN387" i="11"/>
  <c r="BN396" i="11" s="1"/>
  <c r="AY291" i="11"/>
  <c r="CD437" i="11"/>
  <c r="CC437" i="11"/>
  <c r="CC440" i="11" s="1"/>
  <c r="CW222" i="11"/>
  <c r="DM103" i="11"/>
  <c r="DG64" i="11"/>
  <c r="AJ199" i="11"/>
  <c r="CR49" i="11"/>
  <c r="CW52" i="11" s="1"/>
  <c r="CR51" i="11"/>
  <c r="BX252" i="11"/>
  <c r="DI398" i="11"/>
  <c r="BR448" i="11"/>
  <c r="CY418" i="11"/>
  <c r="AE335" i="11"/>
  <c r="DK391" i="11"/>
  <c r="BI164" i="11"/>
  <c r="BR389" i="11"/>
  <c r="CZ398" i="11"/>
  <c r="CY398" i="11"/>
  <c r="CM12" i="11"/>
  <c r="CW83" i="11"/>
  <c r="DL80" i="11"/>
  <c r="DL83" i="11" s="1"/>
  <c r="AT302" i="11"/>
  <c r="DG113" i="11"/>
  <c r="DL44" i="11"/>
  <c r="CR430" i="11"/>
  <c r="CP391" i="11"/>
  <c r="CH258" i="11"/>
  <c r="CW221" i="11"/>
  <c r="CM228" i="11"/>
  <c r="BN386" i="11"/>
  <c r="BN389" i="11" s="1"/>
  <c r="AY18" i="11"/>
  <c r="BI119" i="11"/>
  <c r="CM52" i="11"/>
  <c r="P222" i="11"/>
  <c r="DL413" i="11"/>
  <c r="DM413" i="11" s="1"/>
  <c r="DN413" i="11" s="1"/>
  <c r="DO413" i="11" s="1"/>
  <c r="DP413" i="11" s="1"/>
  <c r="CT398" i="11"/>
  <c r="DI195" i="11"/>
  <c r="CW64" i="11"/>
  <c r="BD291" i="11"/>
  <c r="BX58" i="11"/>
  <c r="BI355" i="11"/>
  <c r="CM222" i="11"/>
  <c r="CQ202" i="11"/>
  <c r="CR446" i="11"/>
  <c r="CM446" i="11"/>
  <c r="DE451" i="11"/>
  <c r="BI265" i="11"/>
  <c r="DN502" i="11"/>
  <c r="BI387" i="11"/>
  <c r="DB395" i="11"/>
  <c r="BN323" i="11"/>
  <c r="BN297" i="11"/>
  <c r="Z291" i="11"/>
  <c r="BR234" i="11"/>
  <c r="CH119" i="11"/>
  <c r="DB151" i="11"/>
  <c r="AY209" i="11"/>
  <c r="CM18" i="11"/>
  <c r="AY317" i="11"/>
  <c r="BI432" i="11"/>
  <c r="BI435" i="11" s="1"/>
  <c r="AO341" i="11"/>
  <c r="P323" i="11"/>
  <c r="CE391" i="11"/>
  <c r="CD391" i="11"/>
  <c r="BH430" i="11"/>
  <c r="AT271" i="11"/>
  <c r="BX424" i="11"/>
  <c r="CW151" i="11"/>
  <c r="DM108" i="11"/>
  <c r="DN108" i="11" s="1"/>
  <c r="DO108" i="11" s="1"/>
  <c r="DP108" i="11" s="1"/>
  <c r="BX18" i="11"/>
  <c r="CW51" i="11"/>
  <c r="CR502" i="11"/>
  <c r="BX240" i="11"/>
  <c r="CA202" i="11"/>
  <c r="DL448" i="11"/>
  <c r="BS323" i="11"/>
  <c r="CW192" i="11"/>
  <c r="CW195" i="11" s="1"/>
  <c r="CC222" i="11"/>
  <c r="CR138" i="11"/>
  <c r="BD209" i="11"/>
  <c r="CW144" i="11"/>
  <c r="DL67" i="11"/>
  <c r="DL70" i="11" s="1"/>
  <c r="AT371" i="11"/>
  <c r="U101" i="11"/>
  <c r="BN164" i="11"/>
  <c r="AJ240" i="11"/>
  <c r="AJ177" i="11"/>
  <c r="CW415" i="11"/>
  <c r="DE503" i="11"/>
  <c r="AE308" i="11"/>
  <c r="AE265" i="11"/>
  <c r="U335" i="11"/>
  <c r="CR221" i="11"/>
  <c r="AY240" i="11"/>
  <c r="DG107" i="11"/>
  <c r="DL101" i="11"/>
  <c r="CM200" i="11"/>
  <c r="BS431" i="11"/>
  <c r="BS503" i="11" s="1"/>
  <c r="CG398" i="11"/>
  <c r="AY363" i="11"/>
  <c r="CW189" i="11"/>
  <c r="BN424" i="11"/>
  <c r="BS215" i="11"/>
  <c r="AZ202" i="11"/>
  <c r="Z52" i="11"/>
  <c r="CH101" i="11"/>
  <c r="CW164" i="11"/>
  <c r="BK202" i="11"/>
  <c r="DM140" i="11"/>
  <c r="DM141" i="11" s="1"/>
  <c r="AK9" i="13" s="1"/>
  <c r="CE437" i="11"/>
  <c r="BZ449" i="11"/>
  <c r="BZ452" i="11" s="1"/>
  <c r="BV448" i="11"/>
  <c r="DJ449" i="11"/>
  <c r="DJ452" i="11" s="1"/>
  <c r="BY449" i="11"/>
  <c r="BY503" i="11" s="1"/>
  <c r="DG449" i="11"/>
  <c r="DG452" i="11" s="1"/>
  <c r="BD371" i="11"/>
  <c r="DA454" i="11"/>
  <c r="AO271" i="11"/>
  <c r="BD323" i="11"/>
  <c r="CR434" i="11"/>
  <c r="BN265" i="11"/>
  <c r="BN283" i="11"/>
  <c r="CJ202" i="11"/>
  <c r="BN119" i="11"/>
  <c r="BZ202" i="11"/>
  <c r="CC430" i="11"/>
  <c r="AG234" i="11"/>
  <c r="AL234" i="11"/>
  <c r="CH430" i="11"/>
  <c r="DL55" i="11"/>
  <c r="BE430" i="11"/>
  <c r="AY355" i="11"/>
  <c r="BK448" i="11"/>
  <c r="BR430" i="11"/>
  <c r="CU503" i="11"/>
  <c r="CU505" i="11" s="1"/>
  <c r="S15" i="13" s="1"/>
  <c r="CW417" i="11"/>
  <c r="BS200" i="11"/>
  <c r="CT202" i="11"/>
  <c r="DJ395" i="11"/>
  <c r="DJ398" i="11" s="1"/>
  <c r="DB164" i="11"/>
  <c r="CH76" i="11"/>
  <c r="CC138" i="11"/>
  <c r="BS209" i="11"/>
  <c r="CW177" i="11"/>
  <c r="BN240" i="11"/>
  <c r="AO283" i="11"/>
  <c r="AJ101" i="11"/>
  <c r="DO154" i="11"/>
  <c r="DN155" i="11"/>
  <c r="DN158" i="11" s="1"/>
  <c r="CF437" i="11"/>
  <c r="CA449" i="11"/>
  <c r="CA452" i="11" s="1"/>
  <c r="Z222" i="11"/>
  <c r="DB138" i="11"/>
  <c r="BX502" i="11"/>
  <c r="BO448" i="11"/>
  <c r="CW448" i="11"/>
  <c r="BQ430" i="11"/>
  <c r="BJ430" i="11"/>
  <c r="AE291" i="11"/>
  <c r="BD329" i="11"/>
  <c r="AY265" i="11"/>
  <c r="U317" i="11"/>
  <c r="BX200" i="11"/>
  <c r="BA202" i="11"/>
  <c r="P271" i="11"/>
  <c r="AO228" i="11"/>
  <c r="CR95" i="11"/>
  <c r="Z113" i="11"/>
  <c r="BS52" i="11"/>
  <c r="CR131" i="11"/>
  <c r="CM58" i="11"/>
  <c r="DB95" i="11"/>
  <c r="AY58" i="11"/>
  <c r="BX234" i="11"/>
  <c r="BS46" i="11"/>
  <c r="BD58" i="11"/>
  <c r="CW100" i="11"/>
  <c r="CC234" i="11"/>
  <c r="CH234" i="11"/>
  <c r="BV503" i="11"/>
  <c r="BV398" i="11"/>
  <c r="BS435" i="11"/>
  <c r="DF195" i="11"/>
  <c r="CW199" i="11"/>
  <c r="U8" i="13" s="1"/>
  <c r="CS202" i="11"/>
  <c r="AP234" i="11"/>
  <c r="BX395" i="11"/>
  <c r="BX398" i="11" s="1"/>
  <c r="BU398" i="11"/>
  <c r="CT505" i="11"/>
  <c r="R15" i="13" s="1"/>
  <c r="DM444" i="11"/>
  <c r="DL447" i="11"/>
  <c r="CE448" i="11"/>
  <c r="CJ448" i="11"/>
  <c r="BL505" i="11"/>
  <c r="DK399" i="11"/>
  <c r="DK397" i="11"/>
  <c r="AE418" i="11"/>
  <c r="BU503" i="11"/>
  <c r="AO317" i="11"/>
  <c r="CK503" i="11"/>
  <c r="CK398" i="11"/>
  <c r="BI201" i="11"/>
  <c r="BI199" i="11"/>
  <c r="BS386" i="11"/>
  <c r="BO389" i="11"/>
  <c r="BP388" i="11"/>
  <c r="BP390" i="11"/>
  <c r="AT222" i="11"/>
  <c r="BS355" i="11"/>
  <c r="BW390" i="11"/>
  <c r="BR390" i="11"/>
  <c r="BR388" i="11"/>
  <c r="BW391" i="11" s="1"/>
  <c r="DO66" i="11"/>
  <c r="DN67" i="11"/>
  <c r="DN70" i="11" s="1"/>
  <c r="BH202" i="11"/>
  <c r="DB201" i="11"/>
  <c r="BQ202" i="11"/>
  <c r="BL202" i="11"/>
  <c r="DN140" i="11"/>
  <c r="AR503" i="11"/>
  <c r="AW506" i="11" s="1"/>
  <c r="DD202" i="11"/>
  <c r="CR113" i="11"/>
  <c r="BW507" i="11"/>
  <c r="DC454" i="11"/>
  <c r="CK202" i="11"/>
  <c r="CP202" i="11"/>
  <c r="BI431" i="11"/>
  <c r="BI434" i="11" s="1"/>
  <c r="BI428" i="11"/>
  <c r="BX447" i="11"/>
  <c r="BS450" i="11"/>
  <c r="BS445" i="11"/>
  <c r="BS447" i="11"/>
  <c r="BL448" i="11"/>
  <c r="DC391" i="11"/>
  <c r="DG388" i="11"/>
  <c r="DG391" i="11" s="1"/>
  <c r="CW390" i="11"/>
  <c r="CW396" i="11"/>
  <c r="CC424" i="11"/>
  <c r="AT418" i="11"/>
  <c r="AE323" i="11"/>
  <c r="CM424" i="11"/>
  <c r="CZ399" i="11"/>
  <c r="CZ397" i="11"/>
  <c r="BC503" i="11"/>
  <c r="BD395" i="11"/>
  <c r="BI398" i="11" s="1"/>
  <c r="BC398" i="11"/>
  <c r="BS265" i="11"/>
  <c r="BS418" i="11"/>
  <c r="CC246" i="11"/>
  <c r="BG202" i="11"/>
  <c r="CH183" i="11"/>
  <c r="DB192" i="11"/>
  <c r="BX138" i="11"/>
  <c r="AY201" i="11"/>
  <c r="AY199" i="11"/>
  <c r="BK390" i="11"/>
  <c r="BK388" i="11"/>
  <c r="BD39" i="11"/>
  <c r="P52" i="11"/>
  <c r="DA399" i="11"/>
  <c r="DA397" i="11"/>
  <c r="Z302" i="11"/>
  <c r="CA398" i="11"/>
  <c r="AE329" i="11"/>
  <c r="BX209" i="11"/>
  <c r="BN450" i="11"/>
  <c r="BN447" i="11"/>
  <c r="DH388" i="11"/>
  <c r="DL387" i="11"/>
  <c r="DH396" i="11"/>
  <c r="DH504" i="11" s="1"/>
  <c r="BJ504" i="11"/>
  <c r="BN504" i="11" s="1"/>
  <c r="BJ397" i="11"/>
  <c r="BO399" i="11"/>
  <c r="BT504" i="11"/>
  <c r="BT505" i="11" s="1"/>
  <c r="BT453" i="11"/>
  <c r="BX450" i="11"/>
  <c r="BT451" i="11"/>
  <c r="BT454" i="11" s="1"/>
  <c r="CU418" i="11"/>
  <c r="BD390" i="11"/>
  <c r="BD388" i="11"/>
  <c r="BD391" i="11" s="1"/>
  <c r="CM434" i="11"/>
  <c r="P335" i="11"/>
  <c r="BI258" i="11"/>
  <c r="BN258" i="11"/>
  <c r="BT202" i="11"/>
  <c r="BY202" i="11"/>
  <c r="CS399" i="11"/>
  <c r="CS397" i="11"/>
  <c r="CS400" i="11" s="1"/>
  <c r="DM147" i="11"/>
  <c r="DL150" i="11"/>
  <c r="BI424" i="11"/>
  <c r="AE113" i="11"/>
  <c r="AE101" i="11"/>
  <c r="BD240" i="11"/>
  <c r="BX76" i="11"/>
  <c r="U349" i="11"/>
  <c r="CR64" i="11"/>
  <c r="CG202" i="11"/>
  <c r="CL202" i="11"/>
  <c r="CX399" i="11"/>
  <c r="BN138" i="11"/>
  <c r="U265" i="11"/>
  <c r="DN30" i="11"/>
  <c r="DN33" i="11" s="1"/>
  <c r="DO28" i="11"/>
  <c r="BI183" i="11"/>
  <c r="CT52" i="11"/>
  <c r="CO52" i="11"/>
  <c r="DB101" i="11"/>
  <c r="DG101" i="11"/>
  <c r="DD506" i="11"/>
  <c r="CM390" i="11"/>
  <c r="CM388" i="11"/>
  <c r="DG58" i="11"/>
  <c r="DL58" i="11"/>
  <c r="DB502" i="11"/>
  <c r="CJ397" i="11"/>
  <c r="CJ399" i="11"/>
  <c r="AY222" i="11"/>
  <c r="BD222" i="11"/>
  <c r="AT101" i="11"/>
  <c r="CZ507" i="11"/>
  <c r="AA503" i="11"/>
  <c r="AC420" i="11"/>
  <c r="X421" i="11"/>
  <c r="X424" i="11" s="1"/>
  <c r="CB504" i="11"/>
  <c r="CB507" i="11" s="1"/>
  <c r="CB453" i="11"/>
  <c r="DK439" i="11"/>
  <c r="DK449" i="11"/>
  <c r="CM433" i="11"/>
  <c r="CR435" i="11"/>
  <c r="CM435" i="11"/>
  <c r="CE397" i="11"/>
  <c r="CE399" i="11"/>
  <c r="CD438" i="11"/>
  <c r="BY450" i="11"/>
  <c r="BY439" i="11"/>
  <c r="BS439" i="11"/>
  <c r="BS442" i="11" s="1"/>
  <c r="BX438" i="11"/>
  <c r="CK504" i="11"/>
  <c r="CK397" i="11"/>
  <c r="CK399" i="11"/>
  <c r="BY398" i="11"/>
  <c r="CC395" i="11"/>
  <c r="CC397" i="11" s="1"/>
  <c r="BI283" i="11"/>
  <c r="AY349" i="11"/>
  <c r="BD349" i="11"/>
  <c r="DG415" i="11"/>
  <c r="BQ389" i="11"/>
  <c r="CP398" i="11"/>
  <c r="AT228" i="11"/>
  <c r="DM97" i="11"/>
  <c r="DL100" i="11"/>
  <c r="DG200" i="11"/>
  <c r="DG138" i="11"/>
  <c r="BI329" i="11"/>
  <c r="AX503" i="11"/>
  <c r="AY395" i="11"/>
  <c r="AY183" i="11"/>
  <c r="CE398" i="11"/>
  <c r="CW240" i="11"/>
  <c r="DB119" i="11"/>
  <c r="DG119" i="11"/>
  <c r="DM79" i="11"/>
  <c r="DL82" i="11"/>
  <c r="CW95" i="11"/>
  <c r="AE50" i="11"/>
  <c r="AE49" i="11"/>
  <c r="CR170" i="11"/>
  <c r="CW170" i="11"/>
  <c r="AE39" i="11"/>
  <c r="AJ291" i="11"/>
  <c r="BS119" i="11"/>
  <c r="BX119" i="11"/>
  <c r="CW58" i="11"/>
  <c r="CH209" i="11"/>
  <c r="BL388" i="11"/>
  <c r="BL390" i="11"/>
  <c r="AT52" i="11"/>
  <c r="AY52" i="11"/>
  <c r="CZ195" i="11"/>
  <c r="DE195" i="11"/>
  <c r="DH52" i="11"/>
  <c r="DL49" i="11"/>
  <c r="DL52" i="11" s="1"/>
  <c r="DI388" i="11"/>
  <c r="DI391" i="11" s="1"/>
  <c r="DI396" i="11"/>
  <c r="AZ506" i="11"/>
  <c r="DL11" i="11"/>
  <c r="DM8" i="11"/>
  <c r="AO329" i="11"/>
  <c r="DC399" i="11"/>
  <c r="DC397" i="11"/>
  <c r="BD265" i="11"/>
  <c r="V503" i="11"/>
  <c r="CG439" i="11"/>
  <c r="CG450" i="11"/>
  <c r="CL438" i="11"/>
  <c r="BU504" i="11"/>
  <c r="BU507" i="11" s="1"/>
  <c r="BU453" i="11"/>
  <c r="BU451" i="11"/>
  <c r="BU454" i="11" s="1"/>
  <c r="CW388" i="11"/>
  <c r="CS391" i="11"/>
  <c r="AX504" i="11"/>
  <c r="AX397" i="11"/>
  <c r="AY396" i="11"/>
  <c r="CL504" i="11"/>
  <c r="CL399" i="11"/>
  <c r="CL397" i="11"/>
  <c r="BZ398" i="11"/>
  <c r="CH388" i="11"/>
  <c r="BW202" i="11"/>
  <c r="BB504" i="11"/>
  <c r="BB399" i="11"/>
  <c r="BG399" i="11"/>
  <c r="BB397" i="11"/>
  <c r="CP399" i="11"/>
  <c r="CP397" i="11"/>
  <c r="BN291" i="11"/>
  <c r="CY504" i="11"/>
  <c r="CY507" i="11" s="1"/>
  <c r="CY399" i="11"/>
  <c r="CY397" i="11"/>
  <c r="BB503" i="11"/>
  <c r="BG398" i="11"/>
  <c r="BB398" i="11"/>
  <c r="DH199" i="11"/>
  <c r="AF8" i="13" s="1"/>
  <c r="DL197" i="11"/>
  <c r="DM134" i="11"/>
  <c r="DL137" i="11"/>
  <c r="BD246" i="11"/>
  <c r="CI202" i="11"/>
  <c r="U308" i="11"/>
  <c r="AZ397" i="11"/>
  <c r="AZ399" i="11"/>
  <c r="AZ504" i="11"/>
  <c r="AZ505" i="11" s="1"/>
  <c r="AY271" i="11"/>
  <c r="CC200" i="11"/>
  <c r="DL122" i="11"/>
  <c r="DH125" i="11"/>
  <c r="DN91" i="11"/>
  <c r="DM92" i="11"/>
  <c r="BN222" i="11"/>
  <c r="BS222" i="11"/>
  <c r="BS291" i="11"/>
  <c r="AW504" i="11"/>
  <c r="AW397" i="11"/>
  <c r="AH231" i="11"/>
  <c r="AJ229" i="11"/>
  <c r="AJ231" i="11" s="1"/>
  <c r="CG397" i="11"/>
  <c r="CG399" i="11"/>
  <c r="DM48" i="11"/>
  <c r="DL51" i="11"/>
  <c r="AY119" i="11"/>
  <c r="DB58" i="11"/>
  <c r="AT76" i="11"/>
  <c r="DL24" i="11"/>
  <c r="DG396" i="11"/>
  <c r="DG390" i="11"/>
  <c r="BN449" i="11"/>
  <c r="W421" i="11"/>
  <c r="DB390" i="11"/>
  <c r="CE438" i="11"/>
  <c r="BZ450" i="11"/>
  <c r="BZ439" i="11"/>
  <c r="BM398" i="11"/>
  <c r="BH398" i="11"/>
  <c r="BH503" i="11"/>
  <c r="BM506" i="11" s="1"/>
  <c r="CI391" i="11"/>
  <c r="AY308" i="11"/>
  <c r="BX323" i="11"/>
  <c r="CR424" i="11"/>
  <c r="BI323" i="11"/>
  <c r="DC202" i="11"/>
  <c r="DG199" i="11"/>
  <c r="AE8" i="13" s="1"/>
  <c r="B19" i="17" s="1" a="1"/>
  <c r="B19" i="17" s="1"/>
  <c r="BN234" i="11"/>
  <c r="BS234" i="11"/>
  <c r="DM122" i="11"/>
  <c r="DN121" i="11"/>
  <c r="DM160" i="11"/>
  <c r="DL163" i="11"/>
  <c r="DL92" i="11"/>
  <c r="DL95" i="11" s="1"/>
  <c r="DH95" i="11"/>
  <c r="Z283" i="11"/>
  <c r="BX199" i="11"/>
  <c r="BN18" i="11"/>
  <c r="BS201" i="11"/>
  <c r="BS199" i="11"/>
  <c r="BX201" i="11"/>
  <c r="CR164" i="11"/>
  <c r="CW138" i="11"/>
  <c r="Z252" i="11"/>
  <c r="BN58" i="11"/>
  <c r="AJ39" i="11"/>
  <c r="BD252" i="11"/>
  <c r="AY252" i="11"/>
  <c r="BM505" i="11"/>
  <c r="CA450" i="11"/>
  <c r="CF438" i="11"/>
  <c r="CA439" i="11"/>
  <c r="DG502" i="11"/>
  <c r="BD429" i="11"/>
  <c r="BD427" i="11"/>
  <c r="CG391" i="11"/>
  <c r="BN428" i="11"/>
  <c r="BN431" i="11"/>
  <c r="CF398" i="11"/>
  <c r="BJ503" i="11"/>
  <c r="BN503" i="11" s="1"/>
  <c r="BJ398" i="11"/>
  <c r="BO398" i="11"/>
  <c r="CL398" i="11"/>
  <c r="CQ418" i="11"/>
  <c r="CV418" i="11"/>
  <c r="CR201" i="11"/>
  <c r="CR199" i="11"/>
  <c r="P8" i="13" s="1"/>
  <c r="CO399" i="11"/>
  <c r="CO397" i="11"/>
  <c r="CM199" i="11"/>
  <c r="K8" i="13" s="1"/>
  <c r="CM201" i="11"/>
  <c r="DO386" i="11"/>
  <c r="AS503" i="11"/>
  <c r="BD317" i="11"/>
  <c r="BI317" i="11"/>
  <c r="CM252" i="11"/>
  <c r="CR195" i="11"/>
  <c r="CM195" i="11"/>
  <c r="CH170" i="11"/>
  <c r="CC177" i="11"/>
  <c r="BN228" i="11"/>
  <c r="CM101" i="11"/>
  <c r="CM164" i="11"/>
  <c r="CF397" i="11"/>
  <c r="CF399" i="11"/>
  <c r="DF398" i="11"/>
  <c r="BI52" i="11"/>
  <c r="DB46" i="11"/>
  <c r="BN39" i="11"/>
  <c r="AT18" i="11"/>
  <c r="DG52" i="11"/>
  <c r="BQ507" i="11"/>
  <c r="BQ505" i="11"/>
  <c r="DM86" i="11"/>
  <c r="DM89" i="11" s="1"/>
  <c r="DN84" i="11"/>
  <c r="H504" i="11"/>
  <c r="H507" i="11" s="1"/>
  <c r="H503" i="11"/>
  <c r="BN427" i="11"/>
  <c r="BN429" i="11"/>
  <c r="AD420" i="11"/>
  <c r="Z420" i="11"/>
  <c r="Y421" i="11"/>
  <c r="DB451" i="11"/>
  <c r="BI427" i="11"/>
  <c r="DF399" i="11"/>
  <c r="DF397" i="11"/>
  <c r="DE507" i="11"/>
  <c r="CL452" i="11"/>
  <c r="CG503" i="11"/>
  <c r="K355" i="11"/>
  <c r="P355" i="11"/>
  <c r="Z317" i="11"/>
  <c r="BN201" i="11"/>
  <c r="BN199" i="11"/>
  <c r="BF399" i="11"/>
  <c r="BA504" i="11"/>
  <c r="BA399" i="11"/>
  <c r="BA397" i="11"/>
  <c r="BN252" i="11"/>
  <c r="CT215" i="11"/>
  <c r="CO215" i="11"/>
  <c r="BW397" i="11"/>
  <c r="BW400" i="11" s="1"/>
  <c r="CO398" i="11"/>
  <c r="CM396" i="11"/>
  <c r="AJ265" i="11"/>
  <c r="Z234" i="11"/>
  <c r="CT195" i="11"/>
  <c r="CY195" i="11"/>
  <c r="P252" i="11"/>
  <c r="BD183" i="11"/>
  <c r="DP85" i="11"/>
  <c r="AE240" i="11"/>
  <c r="DL45" i="11"/>
  <c r="DM42" i="11"/>
  <c r="BF388" i="11"/>
  <c r="BF391" i="11" s="1"/>
  <c r="BF389" i="11"/>
  <c r="DL118" i="11"/>
  <c r="DM115" i="11"/>
  <c r="CR183" i="11"/>
  <c r="CW183" i="11"/>
  <c r="BD18" i="11"/>
  <c r="CJ391" i="11"/>
  <c r="CO391" i="11"/>
  <c r="BN183" i="11"/>
  <c r="CC64" i="11"/>
  <c r="CH64" i="11"/>
  <c r="DP495" i="11"/>
  <c r="DP496" i="11" s="1"/>
  <c r="DO496" i="11"/>
  <c r="CC388" i="11"/>
  <c r="CC390" i="11"/>
  <c r="CH390" i="11"/>
  <c r="DH451" i="11"/>
  <c r="DL450" i="11"/>
  <c r="AP420" i="11"/>
  <c r="AK421" i="11"/>
  <c r="AK424" i="11" s="1"/>
  <c r="CI398" i="11"/>
  <c r="CM395" i="11"/>
  <c r="DJ415" i="11"/>
  <c r="DJ418" i="11" s="1"/>
  <c r="BS429" i="11"/>
  <c r="BS427" i="11"/>
  <c r="BX429" i="11"/>
  <c r="BZ503" i="11"/>
  <c r="CQ399" i="11"/>
  <c r="CQ397" i="11"/>
  <c r="BT506" i="11"/>
  <c r="CB399" i="11"/>
  <c r="CB397" i="11"/>
  <c r="DH395" i="11"/>
  <c r="DH398" i="11" s="1"/>
  <c r="AO183" i="11"/>
  <c r="AJ183" i="11"/>
  <c r="DH107" i="11"/>
  <c r="DL104" i="11"/>
  <c r="DL107" i="11" s="1"/>
  <c r="BS183" i="11"/>
  <c r="AO302" i="11"/>
  <c r="BE202" i="11"/>
  <c r="AV504" i="11"/>
  <c r="AV397" i="11"/>
  <c r="BS387" i="11"/>
  <c r="BO388" i="11"/>
  <c r="BO391" i="11" s="1"/>
  <c r="BO390" i="11"/>
  <c r="BG234" i="11"/>
  <c r="CM119" i="11"/>
  <c r="CH510" i="11"/>
  <c r="DH415" i="11"/>
  <c r="DL414" i="11"/>
  <c r="DM414" i="11" s="1"/>
  <c r="V421" i="11"/>
  <c r="BK400" i="11"/>
  <c r="BP400" i="11"/>
  <c r="AQ420" i="11"/>
  <c r="AL421" i="11"/>
  <c r="AL424" i="11" s="1"/>
  <c r="CD399" i="11"/>
  <c r="CD397" i="11"/>
  <c r="CH396" i="11"/>
  <c r="CC434" i="11"/>
  <c r="CC436" i="11"/>
  <c r="BI447" i="11"/>
  <c r="BI450" i="11"/>
  <c r="BE503" i="11"/>
  <c r="BE398" i="11"/>
  <c r="BF430" i="11"/>
  <c r="CR415" i="11"/>
  <c r="CR418" i="11" s="1"/>
  <c r="CR417" i="11"/>
  <c r="CW389" i="11"/>
  <c r="CW395" i="11"/>
  <c r="AT199" i="11"/>
  <c r="AS504" i="11"/>
  <c r="CN398" i="11"/>
  <c r="CR395" i="11"/>
  <c r="CA399" i="11"/>
  <c r="CA397" i="11"/>
  <c r="AY283" i="11"/>
  <c r="AJ308" i="11"/>
  <c r="CH164" i="11"/>
  <c r="DE398" i="11"/>
  <c r="CD398" i="11"/>
  <c r="CH395" i="11"/>
  <c r="CH201" i="11"/>
  <c r="CH199" i="11"/>
  <c r="DL110" i="11"/>
  <c r="DH113" i="11"/>
  <c r="AE371" i="11"/>
  <c r="AE222" i="11"/>
  <c r="AU202" i="11"/>
  <c r="AJ119" i="11"/>
  <c r="BM388" i="11"/>
  <c r="BM391" i="11" s="1"/>
  <c r="BM390" i="11"/>
  <c r="DG194" i="11"/>
  <c r="BN76" i="11"/>
  <c r="DM23" i="11"/>
  <c r="DL26" i="11"/>
  <c r="DD399" i="11"/>
  <c r="DD397" i="11"/>
  <c r="DI451" i="11"/>
  <c r="O504" i="11"/>
  <c r="DA504" i="11"/>
  <c r="AQ503" i="11"/>
  <c r="X15" i="13"/>
  <c r="BA503" i="11"/>
  <c r="BF398" i="11"/>
  <c r="BA398" i="11"/>
  <c r="DO490" i="11"/>
  <c r="DP489" i="11"/>
  <c r="DP490" i="11" s="1"/>
  <c r="W503" i="11"/>
  <c r="AO371" i="11"/>
  <c r="BD424" i="11"/>
  <c r="BX428" i="11"/>
  <c r="BN385" i="11"/>
  <c r="CS398" i="11"/>
  <c r="CS503" i="11"/>
  <c r="CH433" i="11"/>
  <c r="CH436" i="11" s="1"/>
  <c r="DE399" i="11"/>
  <c r="CB398" i="11"/>
  <c r="BD363" i="11"/>
  <c r="BD199" i="11"/>
  <c r="BD201" i="11"/>
  <c r="CM215" i="11"/>
  <c r="CU399" i="11"/>
  <c r="CU397" i="11"/>
  <c r="DL148" i="11"/>
  <c r="DL151" i="11" s="1"/>
  <c r="DH151" i="11"/>
  <c r="DL62" i="11"/>
  <c r="DM59" i="11"/>
  <c r="BD308" i="11"/>
  <c r="DD398" i="11"/>
  <c r="AE177" i="11"/>
  <c r="DM109" i="11"/>
  <c r="DL112" i="11"/>
  <c r="BS177" i="11"/>
  <c r="DG70" i="11"/>
  <c r="CW101" i="11"/>
  <c r="DL191" i="11"/>
  <c r="DH192" i="11"/>
  <c r="DF202" i="11"/>
  <c r="CM46" i="11"/>
  <c r="AT39" i="11"/>
  <c r="BN64" i="11"/>
  <c r="CY506" i="11"/>
  <c r="BX435" i="11"/>
  <c r="Z228" i="11"/>
  <c r="BD46" i="11"/>
  <c r="BI46" i="11"/>
  <c r="BV399" i="11"/>
  <c r="BV397" i="11"/>
  <c r="BV400" i="11" s="1"/>
  <c r="BV504" i="11"/>
  <c r="BV507" i="11" s="1"/>
  <c r="BV453" i="11"/>
  <c r="BV451" i="11"/>
  <c r="BV454" i="11" s="1"/>
  <c r="U421" i="11"/>
  <c r="U424" i="11" s="1"/>
  <c r="CC228" i="11"/>
  <c r="DM22" i="11"/>
  <c r="DN22" i="11" s="1"/>
  <c r="DO22" i="11" s="1"/>
  <c r="DP22" i="11" s="1"/>
  <c r="DL25" i="11"/>
  <c r="BU399" i="11"/>
  <c r="BX396" i="11"/>
  <c r="CC399" i="11" s="1"/>
  <c r="BU397" i="11"/>
  <c r="BU400" i="11" s="1"/>
  <c r="BZ399" i="11"/>
  <c r="BZ397" i="11"/>
  <c r="BR506" i="11"/>
  <c r="DP477" i="11"/>
  <c r="DO478" i="11"/>
  <c r="DO501" i="11"/>
  <c r="DO502" i="11" s="1"/>
  <c r="CF391" i="11"/>
  <c r="CW451" i="11"/>
  <c r="CR388" i="11"/>
  <c r="AY371" i="11"/>
  <c r="BC329" i="11"/>
  <c r="AY329" i="11"/>
  <c r="CM389" i="11"/>
  <c r="BY397" i="11"/>
  <c r="BY400" i="11" s="1"/>
  <c r="BG391" i="11"/>
  <c r="CT399" i="11"/>
  <c r="CT397" i="11"/>
  <c r="DL63" i="11"/>
  <c r="DM60" i="11"/>
  <c r="AY200" i="11"/>
  <c r="BS424" i="11"/>
  <c r="DB199" i="11"/>
  <c r="Z8" i="13" s="1"/>
  <c r="CX202" i="11"/>
  <c r="CO170" i="11"/>
  <c r="CT170" i="11"/>
  <c r="U341" i="11"/>
  <c r="BS246" i="11"/>
  <c r="CR151" i="11"/>
  <c r="CH138" i="11"/>
  <c r="DB64" i="11"/>
  <c r="AJ113" i="11"/>
  <c r="BD341" i="11"/>
  <c r="CC76" i="11"/>
  <c r="AE228" i="11"/>
  <c r="DH33" i="11"/>
  <c r="DL30" i="11"/>
  <c r="DM33" i="11" s="1"/>
  <c r="AU504" i="11"/>
  <c r="AU397" i="11"/>
  <c r="DC195" i="11"/>
  <c r="DG192" i="11"/>
  <c r="CV397" i="11"/>
  <c r="CV504" i="11"/>
  <c r="CV399" i="11"/>
  <c r="CM183" i="11"/>
  <c r="DG193" i="11"/>
  <c r="CM76" i="11"/>
  <c r="CC18" i="11"/>
  <c r="CR12" i="11"/>
  <c r="DF506" i="11" l="1"/>
  <c r="DA505" i="11"/>
  <c r="CY505" i="11"/>
  <c r="E44" i="2"/>
  <c r="E20" i="2"/>
  <c r="I129" i="7"/>
  <c r="C42" i="2"/>
  <c r="C49" i="2" s="1"/>
  <c r="C37" i="2"/>
  <c r="C48" i="2" s="1"/>
  <c r="J129" i="7"/>
  <c r="D42" i="2"/>
  <c r="D49" i="2" s="1"/>
  <c r="D37" i="2"/>
  <c r="D48" i="2" s="1"/>
  <c r="C44" i="2"/>
  <c r="C20" i="2"/>
  <c r="D41" i="2"/>
  <c r="J39" i="7"/>
  <c r="J50" i="7" s="1"/>
  <c r="D20" i="2"/>
  <c r="D44" i="2"/>
  <c r="C50" i="7"/>
  <c r="C60" i="7" s="1"/>
  <c r="C62" i="7" s="1"/>
  <c r="F44" i="2"/>
  <c r="F20" i="2"/>
  <c r="C9" i="3"/>
  <c r="G41" i="2"/>
  <c r="G54" i="2"/>
  <c r="G53" i="2"/>
  <c r="L18" i="6"/>
  <c r="M39" i="7"/>
  <c r="G44" i="2"/>
  <c r="G20" i="2"/>
  <c r="M129" i="7"/>
  <c r="G42" i="2"/>
  <c r="G49" i="2" s="1"/>
  <c r="G37" i="2"/>
  <c r="G48" i="2" s="1"/>
  <c r="C41" i="2"/>
  <c r="K129" i="7"/>
  <c r="E42" i="2"/>
  <c r="E49" i="2" s="1"/>
  <c r="E37" i="2"/>
  <c r="E48" i="2" s="1"/>
  <c r="G43" i="2"/>
  <c r="C11" i="3"/>
  <c r="DK507" i="11"/>
  <c r="DL46" i="11"/>
  <c r="BI446" i="11"/>
  <c r="BI449" i="11"/>
  <c r="BI452" i="11" s="1"/>
  <c r="CQ452" i="11"/>
  <c r="DG504" i="11"/>
  <c r="BN446" i="11"/>
  <c r="DJ397" i="11"/>
  <c r="AT202" i="11"/>
  <c r="DN54" i="11"/>
  <c r="CQ503" i="11"/>
  <c r="CV506" i="11" s="1"/>
  <c r="DJ399" i="11"/>
  <c r="AD46" i="13"/>
  <c r="AD47" i="13"/>
  <c r="AD40" i="13"/>
  <c r="AD43" i="13"/>
  <c r="AD44" i="13"/>
  <c r="AD48" i="13"/>
  <c r="AD17" i="13"/>
  <c r="AD41" i="13"/>
  <c r="AD45" i="13"/>
  <c r="AD49" i="13"/>
  <c r="AD50" i="13"/>
  <c r="AB47" i="13"/>
  <c r="AB17" i="13"/>
  <c r="AB40" i="13"/>
  <c r="AB49" i="13"/>
  <c r="AB48" i="13"/>
  <c r="AB43" i="13"/>
  <c r="AB44" i="13"/>
  <c r="AB45" i="13"/>
  <c r="AB46" i="13"/>
  <c r="AB41" i="13"/>
  <c r="AB50" i="13"/>
  <c r="S17" i="13"/>
  <c r="S45" i="13"/>
  <c r="S46" i="13"/>
  <c r="S44" i="13"/>
  <c r="S41" i="13"/>
  <c r="S40" i="13"/>
  <c r="S49" i="13"/>
  <c r="S47" i="13"/>
  <c r="S50" i="13"/>
  <c r="S48" i="13"/>
  <c r="BD430" i="11"/>
  <c r="R44" i="13"/>
  <c r="R41" i="13"/>
  <c r="R45" i="13"/>
  <c r="R48" i="13"/>
  <c r="R49" i="13"/>
  <c r="R50" i="13"/>
  <c r="R47" i="13"/>
  <c r="R17" i="13"/>
  <c r="R46" i="13"/>
  <c r="R40" i="13"/>
  <c r="BC448" i="11"/>
  <c r="BS389" i="11"/>
  <c r="BI448" i="11"/>
  <c r="X56" i="13"/>
  <c r="X17" i="13"/>
  <c r="X45" i="13"/>
  <c r="X46" i="13"/>
  <c r="X47" i="13"/>
  <c r="X40" i="13"/>
  <c r="X44" i="13"/>
  <c r="X49" i="13"/>
  <c r="X48" i="13"/>
  <c r="X41" i="13"/>
  <c r="BH448" i="11"/>
  <c r="X50" i="13"/>
  <c r="DC505" i="11"/>
  <c r="AA15" i="13" s="1"/>
  <c r="DG503" i="11"/>
  <c r="CT400" i="11"/>
  <c r="DI454" i="11"/>
  <c r="Q107" i="7"/>
  <c r="P152" i="7"/>
  <c r="Q110" i="7"/>
  <c r="Q93" i="7"/>
  <c r="Q142" i="7"/>
  <c r="C43" i="7"/>
  <c r="AN23" i="13"/>
  <c r="F50" i="7"/>
  <c r="F51" i="7" s="1"/>
  <c r="P28" i="13"/>
  <c r="S43" i="13"/>
  <c r="AL27" i="13"/>
  <c r="AJ26" i="13"/>
  <c r="AJ36" i="13"/>
  <c r="AI63" i="13"/>
  <c r="T21" i="13"/>
  <c r="U21" i="13"/>
  <c r="DC507" i="11"/>
  <c r="BX434" i="11"/>
  <c r="T504" i="11"/>
  <c r="BW506" i="11"/>
  <c r="DA506" i="11"/>
  <c r="CB451" i="11"/>
  <c r="CB454" i="11" s="1"/>
  <c r="DB397" i="11"/>
  <c r="DJ202" i="11"/>
  <c r="CA503" i="11"/>
  <c r="BN434" i="11"/>
  <c r="CM391" i="11"/>
  <c r="DB399" i="11"/>
  <c r="BN435" i="11"/>
  <c r="BC400" i="11"/>
  <c r="DK202" i="11"/>
  <c r="DJ400" i="11"/>
  <c r="DB195" i="11"/>
  <c r="BM448" i="11"/>
  <c r="CG452" i="11"/>
  <c r="DL201" i="11"/>
  <c r="DG451" i="11"/>
  <c r="DG454" i="11" s="1"/>
  <c r="DM104" i="11"/>
  <c r="DL164" i="11"/>
  <c r="CR52" i="11"/>
  <c r="CB503" i="11"/>
  <c r="CB506" i="11" s="1"/>
  <c r="CR391" i="11"/>
  <c r="BJ448" i="11"/>
  <c r="DL12" i="11"/>
  <c r="F43" i="7"/>
  <c r="D60" i="7"/>
  <c r="D62" i="7" s="1"/>
  <c r="D56" i="7"/>
  <c r="D72" i="7" s="1"/>
  <c r="J79" i="7"/>
  <c r="J81" i="7" s="1"/>
  <c r="M79" i="7"/>
  <c r="M81" i="7" s="1"/>
  <c r="I39" i="7"/>
  <c r="I79" i="7"/>
  <c r="I81" i="7" s="1"/>
  <c r="K39" i="7"/>
  <c r="K79" i="7"/>
  <c r="K81" i="7" s="1"/>
  <c r="H79" i="7"/>
  <c r="H81" i="7" s="1"/>
  <c r="H39" i="7"/>
  <c r="E79" i="7"/>
  <c r="E81" i="7" s="1"/>
  <c r="E39" i="7"/>
  <c r="G79" i="7"/>
  <c r="G81" i="7" s="1"/>
  <c r="G39" i="7"/>
  <c r="L39" i="7"/>
  <c r="L79" i="7"/>
  <c r="L81" i="7" s="1"/>
  <c r="M40" i="7"/>
  <c r="M43" i="7"/>
  <c r="M50" i="7"/>
  <c r="DB418" i="11"/>
  <c r="DM70" i="11"/>
  <c r="I504" i="11"/>
  <c r="I507" i="11" s="1"/>
  <c r="BN395" i="11"/>
  <c r="BN398" i="11" s="1"/>
  <c r="CV400" i="11"/>
  <c r="CM448" i="11"/>
  <c r="DB202" i="11"/>
  <c r="DN103" i="11"/>
  <c r="DN104" i="11" s="1"/>
  <c r="DG418" i="11"/>
  <c r="W15" i="13"/>
  <c r="AB56" i="13" s="1"/>
  <c r="CZ506" i="11"/>
  <c r="DE454" i="11"/>
  <c r="CL506" i="11"/>
  <c r="BX503" i="11"/>
  <c r="BX506" i="11" s="1"/>
  <c r="BI430" i="11"/>
  <c r="CF400" i="11"/>
  <c r="CO400" i="11"/>
  <c r="BD397" i="11"/>
  <c r="BN388" i="11"/>
  <c r="AY397" i="11"/>
  <c r="DA507" i="11"/>
  <c r="BN390" i="11"/>
  <c r="CR398" i="11"/>
  <c r="CH398" i="11"/>
  <c r="BS448" i="11"/>
  <c r="DG398" i="11"/>
  <c r="CP400" i="11"/>
  <c r="BS433" i="11"/>
  <c r="BX436" i="11" s="1"/>
  <c r="BI433" i="11"/>
  <c r="BI436" i="11" s="1"/>
  <c r="CQ400" i="11"/>
  <c r="DE506" i="11"/>
  <c r="BI202" i="11"/>
  <c r="CJ437" i="11"/>
  <c r="CE449" i="11"/>
  <c r="BI388" i="11"/>
  <c r="BI391" i="11" s="1"/>
  <c r="DE505" i="11"/>
  <c r="AC15" i="13" s="1"/>
  <c r="BI390" i="11"/>
  <c r="BY452" i="11"/>
  <c r="DB398" i="11"/>
  <c r="BN430" i="11"/>
  <c r="CZ400" i="11"/>
  <c r="DJ503" i="11"/>
  <c r="DG195" i="11"/>
  <c r="CC449" i="11"/>
  <c r="CC452" i="11" s="1"/>
  <c r="AY202" i="11"/>
  <c r="CF449" i="11"/>
  <c r="CK437" i="11"/>
  <c r="CP437" i="11" s="1"/>
  <c r="CP449" i="11" s="1"/>
  <c r="CG400" i="11"/>
  <c r="BX448" i="11"/>
  <c r="DF400" i="11"/>
  <c r="CC398" i="11"/>
  <c r="DM58" i="11"/>
  <c r="DP154" i="11"/>
  <c r="DP155" i="11" s="1"/>
  <c r="DO155" i="11"/>
  <c r="DO158" i="11" s="1"/>
  <c r="DJ451" i="11"/>
  <c r="DJ454" i="11" s="1"/>
  <c r="BQ508" i="11"/>
  <c r="CH437" i="11"/>
  <c r="CH440" i="11" s="1"/>
  <c r="CD449" i="11"/>
  <c r="CI437" i="11"/>
  <c r="X504" i="11"/>
  <c r="CU400" i="11"/>
  <c r="BA506" i="11"/>
  <c r="BA505" i="11"/>
  <c r="BF506" i="11"/>
  <c r="AQ421" i="11"/>
  <c r="AP421" i="11"/>
  <c r="G503" i="11"/>
  <c r="G504" i="11"/>
  <c r="G507" i="11" s="1"/>
  <c r="BN202" i="11"/>
  <c r="T503" i="11"/>
  <c r="DL199" i="11"/>
  <c r="AJ8" i="13" s="1"/>
  <c r="DH202" i="11"/>
  <c r="BB400" i="11"/>
  <c r="BG400" i="11"/>
  <c r="CL453" i="11"/>
  <c r="CG504" i="11"/>
  <c r="CG507" i="11" s="1"/>
  <c r="CG451" i="11"/>
  <c r="CG453" i="11"/>
  <c r="DI399" i="11"/>
  <c r="DI397" i="11"/>
  <c r="DI400" i="11" s="1"/>
  <c r="DM98" i="11"/>
  <c r="DM101" i="11" s="1"/>
  <c r="DN97" i="11"/>
  <c r="AN504" i="11"/>
  <c r="AS507" i="11" s="1"/>
  <c r="AM504" i="11"/>
  <c r="BR391" i="11"/>
  <c r="DP478" i="11"/>
  <c r="DP501" i="11"/>
  <c r="DP502" i="11" s="1"/>
  <c r="AB504" i="11"/>
  <c r="AA504" i="11"/>
  <c r="AA505" i="11" s="1"/>
  <c r="H505" i="11"/>
  <c r="H508" i="11" s="1"/>
  <c r="H506" i="11"/>
  <c r="W424" i="11"/>
  <c r="AB424" i="11"/>
  <c r="AJ234" i="11"/>
  <c r="AO234" i="11"/>
  <c r="AX507" i="11"/>
  <c r="AY504" i="11"/>
  <c r="AK503" i="11"/>
  <c r="CM436" i="11"/>
  <c r="BO400" i="11"/>
  <c r="AG503" i="11"/>
  <c r="DA400" i="11"/>
  <c r="AL503" i="11"/>
  <c r="AQ506" i="11" s="1"/>
  <c r="L504" i="11"/>
  <c r="CK505" i="11"/>
  <c r="I15" i="13" s="1"/>
  <c r="DL113" i="11"/>
  <c r="DN60" i="11"/>
  <c r="DM61" i="11"/>
  <c r="DM64" i="11" s="1"/>
  <c r="M504" i="11"/>
  <c r="M507" i="11" s="1"/>
  <c r="DM110" i="11"/>
  <c r="DM113" i="11" s="1"/>
  <c r="DN109" i="11"/>
  <c r="DE400" i="11"/>
  <c r="R504" i="11"/>
  <c r="DM116" i="11"/>
  <c r="DM119" i="11" s="1"/>
  <c r="DN115" i="11"/>
  <c r="AI503" i="11"/>
  <c r="DG399" i="11"/>
  <c r="DG397" i="11"/>
  <c r="AH234" i="11"/>
  <c r="AM234" i="11"/>
  <c r="BY451" i="11"/>
  <c r="BY454" i="11" s="1"/>
  <c r="CC450" i="11"/>
  <c r="BY453" i="11"/>
  <c r="BY504" i="11"/>
  <c r="BY505" i="11" s="1"/>
  <c r="BY508" i="11" s="1"/>
  <c r="DK452" i="11"/>
  <c r="DK503" i="11"/>
  <c r="DK451" i="11"/>
  <c r="DK454" i="11" s="1"/>
  <c r="DL449" i="11"/>
  <c r="DL452" i="11" s="1"/>
  <c r="L503" i="11"/>
  <c r="BX399" i="11"/>
  <c r="BX397" i="11"/>
  <c r="BX400" i="11" s="1"/>
  <c r="BY506" i="11"/>
  <c r="DM24" i="11"/>
  <c r="DN23" i="11"/>
  <c r="BS388" i="11"/>
  <c r="BS390" i="11"/>
  <c r="CM399" i="11"/>
  <c r="CM397" i="11"/>
  <c r="DB454" i="11"/>
  <c r="AS505" i="11"/>
  <c r="BX202" i="11"/>
  <c r="CC202" i="11"/>
  <c r="AL504" i="11"/>
  <c r="BH506" i="11"/>
  <c r="BI503" i="11"/>
  <c r="BB506" i="11"/>
  <c r="BB505" i="11"/>
  <c r="BG506" i="11"/>
  <c r="BB507" i="11"/>
  <c r="BG507" i="11"/>
  <c r="BL391" i="11"/>
  <c r="BQ391" i="11"/>
  <c r="DN79" i="11"/>
  <c r="DM80" i="11"/>
  <c r="DM83" i="11" s="1"/>
  <c r="CI438" i="11"/>
  <c r="CD450" i="11"/>
  <c r="CD439" i="11"/>
  <c r="AA506" i="11"/>
  <c r="CX507" i="11"/>
  <c r="DB504" i="11"/>
  <c r="DG507" i="11" s="1"/>
  <c r="BO507" i="11"/>
  <c r="Y503" i="11"/>
  <c r="DF507" i="11"/>
  <c r="BL508" i="11"/>
  <c r="DN198" i="11"/>
  <c r="CR397" i="11"/>
  <c r="BD202" i="11"/>
  <c r="BE506" i="11"/>
  <c r="V504" i="11"/>
  <c r="V505" i="11" s="1"/>
  <c r="Y15" i="13"/>
  <c r="AD56" i="13" s="1"/>
  <c r="AI504" i="11"/>
  <c r="CY400" i="11"/>
  <c r="DN147" i="11"/>
  <c r="DM148" i="11"/>
  <c r="DM151" i="11" s="1"/>
  <c r="DH399" i="11"/>
  <c r="DH397" i="11"/>
  <c r="DH400" i="11" s="1"/>
  <c r="BC507" i="11"/>
  <c r="CR399" i="11"/>
  <c r="DL200" i="11"/>
  <c r="DM197" i="11"/>
  <c r="DN197" i="11" s="1"/>
  <c r="DO197" i="11" s="1"/>
  <c r="DP197" i="11" s="1"/>
  <c r="DL395" i="11"/>
  <c r="DL398" i="11" s="1"/>
  <c r="BI453" i="11"/>
  <c r="DL27" i="11"/>
  <c r="AZ507" i="11"/>
  <c r="BX390" i="11"/>
  <c r="DL390" i="11"/>
  <c r="DL396" i="11"/>
  <c r="DM387" i="11"/>
  <c r="DM107" i="11"/>
  <c r="BD504" i="11"/>
  <c r="AC503" i="11"/>
  <c r="BZ506" i="11"/>
  <c r="DN92" i="11"/>
  <c r="DN95" i="11" s="1"/>
  <c r="DO91" i="11"/>
  <c r="V424" i="11"/>
  <c r="AA424" i="11"/>
  <c r="Q503" i="11"/>
  <c r="CB400" i="11"/>
  <c r="DN42" i="11"/>
  <c r="DM43" i="11"/>
  <c r="AK10" i="13" s="1"/>
  <c r="DO84" i="11"/>
  <c r="DN86" i="11"/>
  <c r="DN89" i="11" s="1"/>
  <c r="DP386" i="11"/>
  <c r="BN452" i="11"/>
  <c r="BS452" i="11"/>
  <c r="BW508" i="11"/>
  <c r="CW391" i="11"/>
  <c r="DB391" i="11"/>
  <c r="CK400" i="11"/>
  <c r="DH391" i="11"/>
  <c r="DL388" i="11"/>
  <c r="DL391" i="11" s="1"/>
  <c r="BV505" i="11"/>
  <c r="BV506" i="11"/>
  <c r="BN433" i="11"/>
  <c r="BN505" i="11"/>
  <c r="BZ400" i="11"/>
  <c r="CZ508" i="11"/>
  <c r="BS430" i="11"/>
  <c r="BX430" i="11"/>
  <c r="J504" i="11"/>
  <c r="AZ400" i="11"/>
  <c r="CH391" i="11"/>
  <c r="CE400" i="11"/>
  <c r="W504" i="11"/>
  <c r="DD507" i="11"/>
  <c r="DI504" i="11"/>
  <c r="DL504" i="11" s="1"/>
  <c r="DH454" i="11"/>
  <c r="CL505" i="11"/>
  <c r="J15" i="13" s="1"/>
  <c r="BJ506" i="11"/>
  <c r="BJ505" i="11"/>
  <c r="BO506" i="11"/>
  <c r="BD399" i="11"/>
  <c r="DN160" i="11"/>
  <c r="DM161" i="11"/>
  <c r="AK11" i="13" s="1"/>
  <c r="AV505" i="11"/>
  <c r="CJ400" i="11"/>
  <c r="AQ504" i="11"/>
  <c r="AQ505" i="11" s="1"/>
  <c r="DN141" i="11"/>
  <c r="AL9" i="13" s="1"/>
  <c r="AQ9" i="13" s="1"/>
  <c r="DO140" i="11"/>
  <c r="BP391" i="11"/>
  <c r="BU391" i="11"/>
  <c r="BU505" i="11"/>
  <c r="BU506" i="11"/>
  <c r="BC505" i="11"/>
  <c r="BD503" i="11"/>
  <c r="BC506" i="11"/>
  <c r="AK504" i="11"/>
  <c r="BS506" i="11"/>
  <c r="DM415" i="11"/>
  <c r="DN414" i="11"/>
  <c r="DH507" i="11"/>
  <c r="CM202" i="11"/>
  <c r="CF450" i="11"/>
  <c r="CF439" i="11"/>
  <c r="CK438" i="11"/>
  <c r="DN122" i="11"/>
  <c r="DN125" i="11" s="1"/>
  <c r="DO121" i="11"/>
  <c r="AV506" i="11"/>
  <c r="AC421" i="11"/>
  <c r="AC424" i="11" s="1"/>
  <c r="AH420" i="11"/>
  <c r="DN55" i="11"/>
  <c r="DN58" i="11" s="1"/>
  <c r="DO54" i="11"/>
  <c r="AW505" i="11"/>
  <c r="CW397" i="11"/>
  <c r="CW400" i="11" s="1"/>
  <c r="CW399" i="11"/>
  <c r="BS453" i="11"/>
  <c r="BS504" i="11"/>
  <c r="BS507" i="11" s="1"/>
  <c r="BS451" i="11"/>
  <c r="DM144" i="11"/>
  <c r="DN134" i="11"/>
  <c r="DM135" i="11"/>
  <c r="DM138" i="11" s="1"/>
  <c r="CL439" i="11"/>
  <c r="CQ438" i="11"/>
  <c r="DH195" i="11"/>
  <c r="DL192" i="11"/>
  <c r="DL195" i="11" s="1"/>
  <c r="CW398" i="11"/>
  <c r="DH418" i="11"/>
  <c r="DL415" i="11"/>
  <c r="DL418" i="11" s="1"/>
  <c r="BT508" i="11"/>
  <c r="AB503" i="11"/>
  <c r="Y424" i="11"/>
  <c r="Z421" i="11"/>
  <c r="Z424" i="11" s="1"/>
  <c r="DH503" i="11"/>
  <c r="CA451" i="11"/>
  <c r="CA454" i="11" s="1"/>
  <c r="CA453" i="11"/>
  <c r="CA504" i="11"/>
  <c r="CA507" i="11" s="1"/>
  <c r="DM125" i="11"/>
  <c r="DM49" i="11"/>
  <c r="DM52" i="11" s="1"/>
  <c r="DN48" i="11"/>
  <c r="CC438" i="11"/>
  <c r="BX439" i="11"/>
  <c r="BX442" i="11" s="1"/>
  <c r="DK400" i="11"/>
  <c r="AE52" i="11"/>
  <c r="AJ52" i="11"/>
  <c r="DO67" i="11"/>
  <c r="DO70" i="11" s="1"/>
  <c r="DP66" i="11"/>
  <c r="DP67" i="11" s="1"/>
  <c r="DP70" i="11" s="1"/>
  <c r="AU505" i="11"/>
  <c r="AZ508" i="11" s="1"/>
  <c r="CW504" i="11"/>
  <c r="DM191" i="11"/>
  <c r="DL194" i="11"/>
  <c r="AF503" i="11"/>
  <c r="CH397" i="11"/>
  <c r="CH400" i="11" s="1"/>
  <c r="CH399" i="11"/>
  <c r="BS434" i="11"/>
  <c r="BA400" i="11"/>
  <c r="BF400" i="11"/>
  <c r="BZ451" i="11"/>
  <c r="BZ454" i="11" s="1"/>
  <c r="BZ453" i="11"/>
  <c r="BZ504" i="11"/>
  <c r="BZ507" i="11" s="1"/>
  <c r="CR436" i="11"/>
  <c r="I503" i="11"/>
  <c r="DM9" i="11"/>
  <c r="AK12" i="13" s="1"/>
  <c r="DN8" i="11"/>
  <c r="AX505" i="11"/>
  <c r="AY503" i="11"/>
  <c r="AX506" i="11"/>
  <c r="BX451" i="11"/>
  <c r="BX453" i="11"/>
  <c r="BN453" i="11"/>
  <c r="BN451" i="11"/>
  <c r="DN444" i="11"/>
  <c r="DM445" i="11"/>
  <c r="DM448" i="11" s="1"/>
  <c r="CW202" i="11"/>
  <c r="DN59" i="11"/>
  <c r="CS505" i="11"/>
  <c r="Q15" i="13" s="1"/>
  <c r="CW503" i="11"/>
  <c r="CD400" i="11"/>
  <c r="CM398" i="11"/>
  <c r="AD421" i="11"/>
  <c r="AE420" i="11"/>
  <c r="AI420" i="11"/>
  <c r="BS202" i="11"/>
  <c r="CE450" i="11"/>
  <c r="CE439" i="11"/>
  <c r="CJ438" i="11"/>
  <c r="AR504" i="11"/>
  <c r="CL400" i="11"/>
  <c r="CV505" i="11"/>
  <c r="T15" i="13" s="1"/>
  <c r="BR508" i="11"/>
  <c r="BN448" i="11"/>
  <c r="BK391" i="11"/>
  <c r="CH202" i="11"/>
  <c r="AM503" i="11"/>
  <c r="AR506" i="11" s="1"/>
  <c r="DD400" i="11"/>
  <c r="CA400" i="11"/>
  <c r="CW418" i="11"/>
  <c r="N504" i="11"/>
  <c r="BA507" i="11"/>
  <c r="BF507" i="11"/>
  <c r="CR202" i="11"/>
  <c r="AF504" i="11"/>
  <c r="DG202" i="11"/>
  <c r="DM95" i="11"/>
  <c r="O503" i="11"/>
  <c r="BN397" i="11"/>
  <c r="BS399" i="11"/>
  <c r="DP28" i="11"/>
  <c r="DP30" i="11" s="1"/>
  <c r="DO30" i="11"/>
  <c r="DO33" i="11" s="1"/>
  <c r="BT507" i="11"/>
  <c r="BX504" i="11"/>
  <c r="AP503" i="11"/>
  <c r="BD398" i="11"/>
  <c r="CI400" i="11"/>
  <c r="CQ506" i="11" l="1"/>
  <c r="BI451" i="11"/>
  <c r="BI454" i="11" s="1"/>
  <c r="DL507" i="11"/>
  <c r="D21" i="2"/>
  <c r="D23" i="2"/>
  <c r="D22" i="2"/>
  <c r="D47" i="2" s="1"/>
  <c r="D50" i="2" s="1"/>
  <c r="D26" i="2"/>
  <c r="D24" i="2"/>
  <c r="C17" i="3"/>
  <c r="G21" i="2"/>
  <c r="G23" i="2"/>
  <c r="G22" i="2"/>
  <c r="G47" i="2" s="1"/>
  <c r="G50" i="2" s="1"/>
  <c r="G26" i="2"/>
  <c r="C16" i="2"/>
  <c r="B8" i="16" s="1"/>
  <c r="C51" i="7"/>
  <c r="C56" i="7"/>
  <c r="C72" i="7" s="1"/>
  <c r="F60" i="7"/>
  <c r="F62" i="7" s="1"/>
  <c r="F56" i="7"/>
  <c r="F72" i="7" s="1"/>
  <c r="J43" i="7"/>
  <c r="L20" i="6"/>
  <c r="L23" i="6" s="1"/>
  <c r="L10" i="6"/>
  <c r="C34" i="3"/>
  <c r="J40" i="7"/>
  <c r="G24" i="2"/>
  <c r="C12" i="3"/>
  <c r="C8" i="2"/>
  <c r="CY508" i="11"/>
  <c r="CC503" i="11"/>
  <c r="CC506" i="11" s="1"/>
  <c r="S39" i="13"/>
  <c r="S20" i="13"/>
  <c r="X20" i="13"/>
  <c r="X58" i="13"/>
  <c r="X39" i="13"/>
  <c r="Q44" i="13"/>
  <c r="Q41" i="13"/>
  <c r="Q45" i="13"/>
  <c r="Q46" i="13"/>
  <c r="Q40" i="13"/>
  <c r="Q17" i="13"/>
  <c r="Q43" i="13"/>
  <c r="Q47" i="13"/>
  <c r="Q48" i="13"/>
  <c r="Q49" i="13"/>
  <c r="Q50" i="13"/>
  <c r="W17" i="13"/>
  <c r="AB58" i="13" s="1"/>
  <c r="W44" i="13"/>
  <c r="W56" i="13"/>
  <c r="W47" i="13"/>
  <c r="W41" i="13"/>
  <c r="W49" i="13"/>
  <c r="W45" i="13"/>
  <c r="W46" i="13"/>
  <c r="W48" i="13"/>
  <c r="W40" i="13"/>
  <c r="W50" i="13"/>
  <c r="AD20" i="13"/>
  <c r="AD39" i="13"/>
  <c r="J48" i="13"/>
  <c r="J56" i="13"/>
  <c r="J17" i="13"/>
  <c r="J49" i="13"/>
  <c r="J44" i="13"/>
  <c r="J43" i="13"/>
  <c r="J45" i="13"/>
  <c r="J46" i="13"/>
  <c r="J47" i="13"/>
  <c r="J50" i="13"/>
  <c r="AB20" i="13"/>
  <c r="AB39" i="13"/>
  <c r="Y48" i="13"/>
  <c r="Y56" i="13"/>
  <c r="Y17" i="13"/>
  <c r="AD58" i="13" s="1"/>
  <c r="Y43" i="13"/>
  <c r="Y40" i="13"/>
  <c r="Y46" i="13"/>
  <c r="Y41" i="13"/>
  <c r="Y47" i="13"/>
  <c r="BS391" i="11"/>
  <c r="T17" i="13"/>
  <c r="T44" i="13"/>
  <c r="T47" i="13"/>
  <c r="T48" i="13"/>
  <c r="T49" i="13"/>
  <c r="T50" i="13"/>
  <c r="T46" i="13"/>
  <c r="T41" i="13"/>
  <c r="T45" i="13"/>
  <c r="T40" i="13"/>
  <c r="AA47" i="13"/>
  <c r="AA17" i="13"/>
  <c r="AA40" i="13"/>
  <c r="AA48" i="13"/>
  <c r="AA41" i="13"/>
  <c r="AA45" i="13"/>
  <c r="AA49" i="13"/>
  <c r="AA43" i="13"/>
  <c r="AA44" i="13"/>
  <c r="AA46" i="13"/>
  <c r="AA50" i="13"/>
  <c r="I47" i="13"/>
  <c r="I56" i="13"/>
  <c r="I43" i="13"/>
  <c r="I17" i="13"/>
  <c r="I49" i="13"/>
  <c r="I46" i="13"/>
  <c r="I50" i="13"/>
  <c r="I48" i="13"/>
  <c r="I44" i="13"/>
  <c r="I45" i="13"/>
  <c r="DG400" i="11"/>
  <c r="CA506" i="11"/>
  <c r="W507" i="11"/>
  <c r="AC46" i="13"/>
  <c r="AC17" i="13"/>
  <c r="AC47" i="13"/>
  <c r="AC40" i="13"/>
  <c r="AC43" i="13"/>
  <c r="AC44" i="13"/>
  <c r="AC49" i="13"/>
  <c r="AC41" i="13"/>
  <c r="AC56" i="13"/>
  <c r="AC45" i="13"/>
  <c r="AC48" i="13"/>
  <c r="AC50" i="13"/>
  <c r="R20" i="13"/>
  <c r="R39" i="13"/>
  <c r="R142" i="7"/>
  <c r="R93" i="7"/>
  <c r="R110" i="7"/>
  <c r="R152" i="7" s="1"/>
  <c r="Q152" i="7"/>
  <c r="R107" i="7"/>
  <c r="T43" i="13"/>
  <c r="AM27" i="13"/>
  <c r="AJ63" i="13"/>
  <c r="AK36" i="13"/>
  <c r="V21" i="13"/>
  <c r="W21" i="13" s="1"/>
  <c r="AK26" i="13"/>
  <c r="AJ28" i="13"/>
  <c r="DF508" i="11"/>
  <c r="CB505" i="11"/>
  <c r="CB508" i="11" s="1"/>
  <c r="CG506" i="11"/>
  <c r="BS398" i="11"/>
  <c r="DD508" i="11"/>
  <c r="BN391" i="11"/>
  <c r="BD400" i="11"/>
  <c r="DM12" i="11"/>
  <c r="DN107" i="11"/>
  <c r="DM164" i="11"/>
  <c r="AF507" i="11"/>
  <c r="DM46" i="11"/>
  <c r="DL202" i="11"/>
  <c r="H43" i="7"/>
  <c r="H50" i="7"/>
  <c r="H40" i="7"/>
  <c r="K40" i="7"/>
  <c r="K43" i="7"/>
  <c r="K50" i="7"/>
  <c r="D63" i="7"/>
  <c r="I43" i="7"/>
  <c r="I40" i="7"/>
  <c r="I50" i="7"/>
  <c r="G43" i="7"/>
  <c r="G50" i="7"/>
  <c r="G40" i="7"/>
  <c r="L40" i="7"/>
  <c r="L50" i="7"/>
  <c r="L43" i="7"/>
  <c r="E43" i="7"/>
  <c r="E50" i="7"/>
  <c r="E40" i="7"/>
  <c r="M60" i="7"/>
  <c r="M62" i="7" s="1"/>
  <c r="M56" i="7"/>
  <c r="M51" i="7"/>
  <c r="J56" i="7"/>
  <c r="J51" i="7"/>
  <c r="J60" i="7"/>
  <c r="J62" i="7" s="1"/>
  <c r="DO103" i="11"/>
  <c r="DO104" i="11" s="1"/>
  <c r="DO107" i="11" s="1"/>
  <c r="CL507" i="11"/>
  <c r="AV507" i="11"/>
  <c r="AR507" i="11"/>
  <c r="BD506" i="11"/>
  <c r="L507" i="11"/>
  <c r="BN436" i="11"/>
  <c r="DM395" i="11"/>
  <c r="DM398" i="11" s="1"/>
  <c r="DJ505" i="11"/>
  <c r="AH15" i="13" s="1"/>
  <c r="DJ506" i="11"/>
  <c r="DG505" i="11"/>
  <c r="AE15" i="13" s="1"/>
  <c r="G132" i="17" s="1"/>
  <c r="CU452" i="11"/>
  <c r="CP452" i="11"/>
  <c r="CP503" i="11"/>
  <c r="CF452" i="11"/>
  <c r="CF503" i="11"/>
  <c r="CK452" i="11"/>
  <c r="DL451" i="11"/>
  <c r="DL454" i="11" s="1"/>
  <c r="CE452" i="11"/>
  <c r="CE503" i="11"/>
  <c r="CE506" i="11" s="1"/>
  <c r="CA505" i="11"/>
  <c r="CA508" i="11" s="1"/>
  <c r="CR400" i="11"/>
  <c r="CO437" i="11"/>
  <c r="CO449" i="11" s="1"/>
  <c r="CJ449" i="11"/>
  <c r="BX507" i="11"/>
  <c r="DP158" i="11"/>
  <c r="CG505" i="11"/>
  <c r="BS505" i="11"/>
  <c r="CI449" i="11"/>
  <c r="CN437" i="11"/>
  <c r="CM437" i="11"/>
  <c r="CM440" i="11" s="1"/>
  <c r="AK507" i="11"/>
  <c r="DE508" i="11"/>
  <c r="CH449" i="11"/>
  <c r="CH452" i="11" s="1"/>
  <c r="CD452" i="11"/>
  <c r="CD503" i="11"/>
  <c r="AI505" i="11"/>
  <c r="O505" i="11"/>
  <c r="AD424" i="11"/>
  <c r="AE421" i="11"/>
  <c r="AE424" i="11" s="1"/>
  <c r="DB400" i="11"/>
  <c r="DL397" i="11"/>
  <c r="DL400" i="11" s="1"/>
  <c r="DL399" i="11"/>
  <c r="Y506" i="11"/>
  <c r="AL505" i="11"/>
  <c r="AQ508" i="11" s="1"/>
  <c r="AL506" i="11"/>
  <c r="CK439" i="11"/>
  <c r="CP438" i="11"/>
  <c r="DO42" i="11"/>
  <c r="DN43" i="11"/>
  <c r="AL10" i="13" s="1"/>
  <c r="AQ10" i="13" s="1"/>
  <c r="DO59" i="11"/>
  <c r="DN395" i="11"/>
  <c r="CQ450" i="11"/>
  <c r="CQ439" i="11"/>
  <c r="DO55" i="11"/>
  <c r="DO58" i="11" s="1"/>
  <c r="DP54" i="11"/>
  <c r="DP55" i="11" s="1"/>
  <c r="DP58" i="11" s="1"/>
  <c r="AQ424" i="11"/>
  <c r="AV424" i="11"/>
  <c r="DO92" i="11"/>
  <c r="DO95" i="11" s="1"/>
  <c r="DP91" i="11"/>
  <c r="DP92" i="11" s="1"/>
  <c r="AP506" i="11"/>
  <c r="AU506" i="11"/>
  <c r="AH421" i="11"/>
  <c r="AH424" i="11" s="1"/>
  <c r="AM420" i="11"/>
  <c r="Y504" i="11"/>
  <c r="K504" i="11"/>
  <c r="K507" i="11" s="1"/>
  <c r="J507" i="11"/>
  <c r="AR505" i="11"/>
  <c r="AW508" i="11" s="1"/>
  <c r="S504" i="11"/>
  <c r="S507" i="11" s="1"/>
  <c r="AY505" i="11"/>
  <c r="AX508" i="11"/>
  <c r="BI506" i="11"/>
  <c r="BO508" i="11"/>
  <c r="L506" i="11"/>
  <c r="L505" i="11"/>
  <c r="AP504" i="11"/>
  <c r="AP505" i="11" s="1"/>
  <c r="AU508" i="11" s="1"/>
  <c r="DO444" i="11"/>
  <c r="DN445" i="11"/>
  <c r="DN448" i="11" s="1"/>
  <c r="DN191" i="11"/>
  <c r="DM192" i="11"/>
  <c r="DM195" i="11" s="1"/>
  <c r="AB506" i="11"/>
  <c r="AB505" i="11"/>
  <c r="BZ505" i="11"/>
  <c r="BZ508" i="11" s="1"/>
  <c r="R507" i="11"/>
  <c r="BA508" i="11"/>
  <c r="BF508" i="11"/>
  <c r="CD504" i="11"/>
  <c r="CD451" i="11"/>
  <c r="CD454" i="11" s="1"/>
  <c r="CH450" i="11"/>
  <c r="CD453" i="11"/>
  <c r="CI439" i="11"/>
  <c r="CI450" i="11"/>
  <c r="CN438" i="11"/>
  <c r="CC451" i="11"/>
  <c r="CC454" i="11" s="1"/>
  <c r="CC453" i="11"/>
  <c r="Q506" i="11"/>
  <c r="DO147" i="11"/>
  <c r="DN148" i="11"/>
  <c r="DN151" i="11" s="1"/>
  <c r="N507" i="11"/>
  <c r="N505" i="11"/>
  <c r="DN135" i="11"/>
  <c r="DN138" i="11" s="1"/>
  <c r="DO134" i="11"/>
  <c r="DN415" i="11"/>
  <c r="DN418" i="11" s="1"/>
  <c r="DO414" i="11"/>
  <c r="V506" i="11"/>
  <c r="AK506" i="11"/>
  <c r="AK505" i="11"/>
  <c r="DO48" i="11"/>
  <c r="DN49" i="11"/>
  <c r="DN52" i="11" s="1"/>
  <c r="DM418" i="11"/>
  <c r="BU508" i="11"/>
  <c r="J503" i="11"/>
  <c r="O506" i="11" s="1"/>
  <c r="R503" i="11"/>
  <c r="DB507" i="11"/>
  <c r="DN24" i="11"/>
  <c r="DO23" i="11"/>
  <c r="AG506" i="11"/>
  <c r="AB507" i="11"/>
  <c r="DN116" i="11"/>
  <c r="DN119" i="11" s="1"/>
  <c r="DO115" i="11"/>
  <c r="BS400" i="11"/>
  <c r="DN9" i="11"/>
  <c r="AL12" i="13" s="1"/>
  <c r="AQ12" i="13" s="1"/>
  <c r="DO8" i="11"/>
  <c r="DO60" i="11"/>
  <c r="DN61" i="11"/>
  <c r="DN64" i="11" s="1"/>
  <c r="AV508" i="11"/>
  <c r="BX505" i="11"/>
  <c r="DM27" i="11"/>
  <c r="Q504" i="11"/>
  <c r="Q507" i="11" s="1"/>
  <c r="AD504" i="11"/>
  <c r="M503" i="11"/>
  <c r="DP33" i="11"/>
  <c r="BN454" i="11"/>
  <c r="I506" i="11"/>
  <c r="I505" i="11"/>
  <c r="I508" i="11" s="1"/>
  <c r="N506" i="11"/>
  <c r="BD507" i="11"/>
  <c r="AT503" i="11"/>
  <c r="P504" i="11"/>
  <c r="T506" i="11"/>
  <c r="T505" i="11"/>
  <c r="AF506" i="11"/>
  <c r="AF505" i="11"/>
  <c r="AF508" i="11" s="1"/>
  <c r="CJ439" i="11"/>
  <c r="CJ450" i="11"/>
  <c r="CO438" i="11"/>
  <c r="BS454" i="11"/>
  <c r="DO122" i="11"/>
  <c r="DO125" i="11" s="1"/>
  <c r="DP121" i="11"/>
  <c r="DP122" i="11" s="1"/>
  <c r="DP125" i="11" s="1"/>
  <c r="DP140" i="11"/>
  <c r="DP141" i="11" s="1"/>
  <c r="AN9" i="13" s="1"/>
  <c r="AR9" i="13" s="1"/>
  <c r="DO141" i="11"/>
  <c r="AM9" i="13" s="1"/>
  <c r="AD503" i="11"/>
  <c r="AI506" i="11" s="1"/>
  <c r="DI507" i="11"/>
  <c r="DI505" i="11"/>
  <c r="AG15" i="13" s="1"/>
  <c r="BN506" i="11"/>
  <c r="DA508" i="11"/>
  <c r="BS436" i="11"/>
  <c r="AA508" i="11"/>
  <c r="BB508" i="11"/>
  <c r="BG508" i="11"/>
  <c r="O507" i="11"/>
  <c r="DK506" i="11"/>
  <c r="DK505" i="11"/>
  <c r="AI15" i="13" s="1"/>
  <c r="AO504" i="11"/>
  <c r="AN507" i="11"/>
  <c r="AM505" i="11"/>
  <c r="DH506" i="11"/>
  <c r="DH505" i="11"/>
  <c r="AF15" i="13" s="1"/>
  <c r="DL503" i="11"/>
  <c r="DL506" i="11" s="1"/>
  <c r="CK453" i="11"/>
  <c r="CF504" i="11"/>
  <c r="CF453" i="11"/>
  <c r="CF451" i="11"/>
  <c r="BC508" i="11"/>
  <c r="BD505" i="11"/>
  <c r="AI421" i="11"/>
  <c r="AN420" i="11"/>
  <c r="AJ420" i="11"/>
  <c r="BV508" i="11"/>
  <c r="CH438" i="11"/>
  <c r="CC439" i="11"/>
  <c r="CC442" i="11" s="1"/>
  <c r="AC504" i="11"/>
  <c r="AC507" i="11" s="1"/>
  <c r="DN144" i="11"/>
  <c r="S503" i="11"/>
  <c r="DN199" i="11"/>
  <c r="AL8" i="13" s="1"/>
  <c r="AQ8" i="13" s="1"/>
  <c r="DO198" i="11"/>
  <c r="W505" i="11"/>
  <c r="DN110" i="11"/>
  <c r="DN113" i="11" s="1"/>
  <c r="DO109" i="11"/>
  <c r="G505" i="11"/>
  <c r="G508" i="11" s="1"/>
  <c r="G506" i="11"/>
  <c r="T507" i="11"/>
  <c r="DN161" i="11"/>
  <c r="AL11" i="13" s="1"/>
  <c r="AQ11" i="13" s="1"/>
  <c r="DO160" i="11"/>
  <c r="AN503" i="11"/>
  <c r="DO79" i="11"/>
  <c r="DN80" i="11"/>
  <c r="DN83" i="11" s="1"/>
  <c r="DN387" i="11"/>
  <c r="DM396" i="11"/>
  <c r="DM388" i="11"/>
  <c r="DM391" i="11" s="1"/>
  <c r="CL454" i="11"/>
  <c r="CG454" i="11"/>
  <c r="CE504" i="11"/>
  <c r="CE451" i="11"/>
  <c r="CE454" i="11" s="1"/>
  <c r="CE453" i="11"/>
  <c r="CW505" i="11"/>
  <c r="U15" i="13" s="1"/>
  <c r="E132" i="17" s="1"/>
  <c r="BX454" i="11"/>
  <c r="AQ507" i="11"/>
  <c r="DP84" i="11"/>
  <c r="DP86" i="11" s="1"/>
  <c r="DO86" i="11"/>
  <c r="DO89" i="11" s="1"/>
  <c r="CC400" i="11"/>
  <c r="AW507" i="11"/>
  <c r="DM199" i="11"/>
  <c r="AK8" i="13" s="1"/>
  <c r="CM400" i="11"/>
  <c r="CC504" i="11"/>
  <c r="CC507" i="11" s="1"/>
  <c r="BY507" i="11"/>
  <c r="AA507" i="11"/>
  <c r="DN98" i="11"/>
  <c r="DN101" i="11" s="1"/>
  <c r="DO97" i="11"/>
  <c r="AP424" i="11"/>
  <c r="AU424" i="11"/>
  <c r="CG508" i="11" l="1"/>
  <c r="E26" i="2"/>
  <c r="E21" i="2"/>
  <c r="E23" i="2"/>
  <c r="E22" i="2"/>
  <c r="E47" i="2" s="1"/>
  <c r="E50" i="2" s="1"/>
  <c r="E24" i="2"/>
  <c r="C23" i="2"/>
  <c r="C22" i="2"/>
  <c r="C47" i="2" s="1"/>
  <c r="C50" i="2" s="1"/>
  <c r="C21" i="2"/>
  <c r="C26" i="2"/>
  <c r="C24" i="2"/>
  <c r="D57" i="7"/>
  <c r="F21" i="2"/>
  <c r="F22" i="2"/>
  <c r="F47" i="2" s="1"/>
  <c r="F50" i="2" s="1"/>
  <c r="F23" i="2"/>
  <c r="F26" i="2"/>
  <c r="F24" i="2"/>
  <c r="E25" i="2"/>
  <c r="F25" i="2"/>
  <c r="D25" i="2"/>
  <c r="G25" i="2"/>
  <c r="C25" i="2"/>
  <c r="DP103" i="11"/>
  <c r="DP104" i="11" s="1"/>
  <c r="AF45" i="13"/>
  <c r="AF47" i="13"/>
  <c r="AF43" i="13"/>
  <c r="AF49" i="13"/>
  <c r="AF16" i="13"/>
  <c r="AF44" i="13"/>
  <c r="AF48" i="13"/>
  <c r="AF56" i="13"/>
  <c r="AF18" i="13"/>
  <c r="AF46" i="13"/>
  <c r="AF19" i="13"/>
  <c r="AF50" i="13"/>
  <c r="AC20" i="13"/>
  <c r="AC39" i="13"/>
  <c r="AC58" i="13"/>
  <c r="U17" i="13"/>
  <c r="Q39" i="13"/>
  <c r="Q20" i="13"/>
  <c r="T39" i="13"/>
  <c r="T20" i="13"/>
  <c r="AH44" i="13"/>
  <c r="AH45" i="13"/>
  <c r="AH19" i="13"/>
  <c r="AH60" i="13" s="1"/>
  <c r="AH18" i="13"/>
  <c r="AH59" i="13" s="1"/>
  <c r="AH16" i="13"/>
  <c r="AH57" i="13" s="1"/>
  <c r="AH49" i="13"/>
  <c r="AH43" i="13"/>
  <c r="AH56" i="13"/>
  <c r="AH47" i="13"/>
  <c r="AH48" i="13"/>
  <c r="AH46" i="13"/>
  <c r="AH50" i="13"/>
  <c r="R29" i="13"/>
  <c r="R42" i="13"/>
  <c r="U44" i="13"/>
  <c r="U45" i="13"/>
  <c r="U41" i="13"/>
  <c r="U48" i="13"/>
  <c r="U47" i="13"/>
  <c r="U46" i="13"/>
  <c r="U40" i="13"/>
  <c r="U49" i="13"/>
  <c r="U50" i="13"/>
  <c r="AA20" i="13"/>
  <c r="AA39" i="13"/>
  <c r="AE17" i="13"/>
  <c r="AE39" i="13" s="1"/>
  <c r="W39" i="13"/>
  <c r="W20" i="13"/>
  <c r="W58" i="13"/>
  <c r="S42" i="13"/>
  <c r="S29" i="13"/>
  <c r="AE47" i="13"/>
  <c r="AE43" i="13"/>
  <c r="AE44" i="13"/>
  <c r="AE46" i="13"/>
  <c r="AE41" i="13"/>
  <c r="AE45" i="13"/>
  <c r="AE40" i="13"/>
  <c r="AE49" i="13"/>
  <c r="AE48" i="13"/>
  <c r="AE50" i="13"/>
  <c r="AD29" i="13"/>
  <c r="AD42" i="13"/>
  <c r="X61" i="13"/>
  <c r="X42" i="13"/>
  <c r="I20" i="13"/>
  <c r="I58" i="13"/>
  <c r="Y20" i="13"/>
  <c r="Y42" i="13" s="1"/>
  <c r="Y39" i="13"/>
  <c r="Y58" i="13"/>
  <c r="AB42" i="13"/>
  <c r="AB29" i="13"/>
  <c r="AI43" i="13"/>
  <c r="AI46" i="13"/>
  <c r="AI19" i="13"/>
  <c r="AI60" i="13" s="1"/>
  <c r="AI48" i="13"/>
  <c r="AI16" i="13"/>
  <c r="AI57" i="13" s="1"/>
  <c r="AI45" i="13"/>
  <c r="AI56" i="13"/>
  <c r="AI49" i="13"/>
  <c r="AI44" i="13"/>
  <c r="AI18" i="13"/>
  <c r="AI59" i="13" s="1"/>
  <c r="AI47" i="13"/>
  <c r="AI50" i="13"/>
  <c r="J20" i="13"/>
  <c r="J58" i="13"/>
  <c r="AG19" i="13"/>
  <c r="AG60" i="13" s="1"/>
  <c r="AG45" i="13"/>
  <c r="AG56" i="13"/>
  <c r="AG44" i="13"/>
  <c r="AG46" i="13"/>
  <c r="AG16" i="13"/>
  <c r="AG57" i="13" s="1"/>
  <c r="AG47" i="13"/>
  <c r="AG18" i="13"/>
  <c r="AG59" i="13" s="1"/>
  <c r="AG48" i="13"/>
  <c r="AG43" i="13"/>
  <c r="AG49" i="13"/>
  <c r="AG50" i="13"/>
  <c r="U43" i="13"/>
  <c r="DP95" i="11"/>
  <c r="W43" i="13"/>
  <c r="W29" i="13"/>
  <c r="AN27" i="13"/>
  <c r="AK63" i="13"/>
  <c r="AL36" i="13"/>
  <c r="AL26" i="13"/>
  <c r="AK28" i="13"/>
  <c r="X21" i="13"/>
  <c r="DI508" i="11"/>
  <c r="DJ508" i="11"/>
  <c r="DK508" i="11"/>
  <c r="DN164" i="11"/>
  <c r="DN46" i="11"/>
  <c r="DO144" i="11"/>
  <c r="DN12" i="11"/>
  <c r="DM202" i="11"/>
  <c r="H51" i="7"/>
  <c r="H56" i="7"/>
  <c r="H60" i="7"/>
  <c r="H62" i="7" s="1"/>
  <c r="K56" i="7"/>
  <c r="K57" i="7" s="1"/>
  <c r="K60" i="7"/>
  <c r="K62" i="7" s="1"/>
  <c r="K51" i="7"/>
  <c r="I51" i="7"/>
  <c r="I56" i="7"/>
  <c r="I60" i="7"/>
  <c r="I62" i="7" s="1"/>
  <c r="J63" i="7" s="1"/>
  <c r="G51" i="7"/>
  <c r="G56" i="7"/>
  <c r="G60" i="7"/>
  <c r="G62" i="7" s="1"/>
  <c r="L56" i="7"/>
  <c r="L51" i="7"/>
  <c r="L60" i="7"/>
  <c r="L62" i="7" s="1"/>
  <c r="E60" i="7"/>
  <c r="E62" i="7" s="1"/>
  <c r="E51" i="7"/>
  <c r="E56" i="7"/>
  <c r="J72" i="7"/>
  <c r="M72" i="7"/>
  <c r="Q505" i="11"/>
  <c r="Q508" i="11" s="1"/>
  <c r="DN202" i="11"/>
  <c r="U503" i="11"/>
  <c r="X507" i="11"/>
  <c r="AT504" i="11"/>
  <c r="AT507" i="11" s="1"/>
  <c r="U504" i="11"/>
  <c r="U507" i="11" s="1"/>
  <c r="AB508" i="11"/>
  <c r="DN398" i="11"/>
  <c r="CR437" i="11"/>
  <c r="CN449" i="11"/>
  <c r="CL508" i="11"/>
  <c r="CU506" i="11"/>
  <c r="CP506" i="11"/>
  <c r="CF506" i="11"/>
  <c r="CK506" i="11"/>
  <c r="L508" i="11"/>
  <c r="CC505" i="11"/>
  <c r="CD506" i="11"/>
  <c r="CH503" i="11"/>
  <c r="CH506" i="11" s="1"/>
  <c r="CJ503" i="11"/>
  <c r="CJ506" i="11" s="1"/>
  <c r="CJ452" i="11"/>
  <c r="CO452" i="11"/>
  <c r="CO503" i="11"/>
  <c r="CT452" i="11"/>
  <c r="BS508" i="11"/>
  <c r="AK508" i="11"/>
  <c r="P507" i="11"/>
  <c r="CM449" i="11"/>
  <c r="CM452" i="11" s="1"/>
  <c r="CI503" i="11"/>
  <c r="CI452" i="11"/>
  <c r="DP107" i="11"/>
  <c r="DP42" i="11"/>
  <c r="DP43" i="11" s="1"/>
  <c r="AN10" i="13" s="1"/>
  <c r="AR10" i="13" s="1"/>
  <c r="DO43" i="11"/>
  <c r="AM10" i="13" s="1"/>
  <c r="AR420" i="11"/>
  <c r="AM421" i="11"/>
  <c r="AM424" i="11" s="1"/>
  <c r="DP160" i="11"/>
  <c r="DP161" i="11" s="1"/>
  <c r="AN11" i="13" s="1"/>
  <c r="AR11" i="13" s="1"/>
  <c r="DO161" i="11"/>
  <c r="AM11" i="13" s="1"/>
  <c r="DO387" i="11"/>
  <c r="DN388" i="11"/>
  <c r="DN391" i="11" s="1"/>
  <c r="DN396" i="11"/>
  <c r="AI424" i="11"/>
  <c r="AJ421" i="11"/>
  <c r="AJ424" i="11" s="1"/>
  <c r="AD507" i="11"/>
  <c r="AE504" i="11"/>
  <c r="AE507" i="11" s="1"/>
  <c r="DO61" i="11"/>
  <c r="DO64" i="11" s="1"/>
  <c r="DP60" i="11"/>
  <c r="DP23" i="11"/>
  <c r="DP24" i="11" s="1"/>
  <c r="DO24" i="11"/>
  <c r="N508" i="11"/>
  <c r="CN439" i="11"/>
  <c r="CN450" i="11"/>
  <c r="DO191" i="11"/>
  <c r="DN192" i="11"/>
  <c r="DN195" i="11" s="1"/>
  <c r="AI507" i="11"/>
  <c r="Z504" i="11"/>
  <c r="Y507" i="11"/>
  <c r="CE507" i="11"/>
  <c r="CE505" i="11"/>
  <c r="DP144" i="11"/>
  <c r="DO9" i="11"/>
  <c r="AM12" i="13" s="1"/>
  <c r="DP8" i="11"/>
  <c r="DP9" i="11" s="1"/>
  <c r="AN12" i="13" s="1"/>
  <c r="AR12" i="13" s="1"/>
  <c r="DN27" i="11"/>
  <c r="CI504" i="11"/>
  <c r="CI453" i="11"/>
  <c r="CI451" i="11"/>
  <c r="CI454" i="11" s="1"/>
  <c r="CM450" i="11"/>
  <c r="CM438" i="11"/>
  <c r="CH439" i="11"/>
  <c r="CH442" i="11" s="1"/>
  <c r="AP508" i="11"/>
  <c r="DL505" i="11"/>
  <c r="AJ15" i="13" s="1"/>
  <c r="H132" i="17" s="1"/>
  <c r="DH508" i="11"/>
  <c r="DO199" i="11"/>
  <c r="AM8" i="13" s="1"/>
  <c r="DP198" i="11"/>
  <c r="DP199" i="11" s="1"/>
  <c r="AN8" i="13" s="1"/>
  <c r="AR8" i="13" s="1"/>
  <c r="AC505" i="11"/>
  <c r="DP444" i="11"/>
  <c r="DO445" i="11"/>
  <c r="DO448" i="11" s="1"/>
  <c r="CP439" i="11"/>
  <c r="CP450" i="11"/>
  <c r="DP89" i="11"/>
  <c r="AR508" i="11"/>
  <c r="Y505" i="11"/>
  <c r="DO110" i="11"/>
  <c r="DO113" i="11" s="1"/>
  <c r="DP109" i="11"/>
  <c r="DP110" i="11" s="1"/>
  <c r="DP113" i="11" s="1"/>
  <c r="S506" i="11"/>
  <c r="S505" i="11"/>
  <c r="S508" i="11" s="1"/>
  <c r="BD508" i="11"/>
  <c r="DO415" i="11"/>
  <c r="DO418" i="11" s="1"/>
  <c r="DP414" i="11"/>
  <c r="DP415" i="11" s="1"/>
  <c r="AP507" i="11"/>
  <c r="AU507" i="11"/>
  <c r="DP59" i="11"/>
  <c r="DP395" i="11" s="1"/>
  <c r="DO395" i="11"/>
  <c r="DO398" i="11" s="1"/>
  <c r="M506" i="11"/>
  <c r="M505" i="11"/>
  <c r="M508" i="11" s="1"/>
  <c r="CO439" i="11"/>
  <c r="CO450" i="11"/>
  <c r="R505" i="11"/>
  <c r="R506" i="11"/>
  <c r="W506" i="11"/>
  <c r="CH453" i="11"/>
  <c r="CH451" i="11"/>
  <c r="CH454" i="11" s="1"/>
  <c r="AO420" i="11"/>
  <c r="AN421" i="11"/>
  <c r="P503" i="11"/>
  <c r="CJ504" i="11"/>
  <c r="CJ453" i="11"/>
  <c r="CJ451" i="11"/>
  <c r="CJ454" i="11" s="1"/>
  <c r="BX508" i="11"/>
  <c r="DO49" i="11"/>
  <c r="DO52" i="11" s="1"/>
  <c r="DP48" i="11"/>
  <c r="DP49" i="11" s="1"/>
  <c r="DP52" i="11" s="1"/>
  <c r="X503" i="11"/>
  <c r="AH503" i="11"/>
  <c r="DM397" i="11"/>
  <c r="DM400" i="11" s="1"/>
  <c r="DM399" i="11"/>
  <c r="DP79" i="11"/>
  <c r="DP80" i="11" s="1"/>
  <c r="DO80" i="11"/>
  <c r="DO83" i="11" s="1"/>
  <c r="AY506" i="11"/>
  <c r="DO116" i="11"/>
  <c r="DO119" i="11" s="1"/>
  <c r="DP115" i="11"/>
  <c r="DP116" i="11" s="1"/>
  <c r="DP147" i="11"/>
  <c r="DP148" i="11" s="1"/>
  <c r="DO148" i="11"/>
  <c r="DO151" i="11" s="1"/>
  <c r="CD507" i="11"/>
  <c r="CH504" i="11"/>
  <c r="CD505" i="11"/>
  <c r="CQ451" i="11"/>
  <c r="CV453" i="11"/>
  <c r="CQ453" i="11"/>
  <c r="CQ504" i="11"/>
  <c r="CF507" i="11"/>
  <c r="CK507" i="11"/>
  <c r="CF505" i="11"/>
  <c r="DO98" i="11"/>
  <c r="DO101" i="11" s="1"/>
  <c r="DP97" i="11"/>
  <c r="DP98" i="11" s="1"/>
  <c r="DP101" i="11" s="1"/>
  <c r="K503" i="11"/>
  <c r="K506" i="11" s="1"/>
  <c r="J505" i="11"/>
  <c r="O508" i="11" s="1"/>
  <c r="J506" i="11"/>
  <c r="AD506" i="11"/>
  <c r="AE503" i="11"/>
  <c r="AD505" i="11"/>
  <c r="T508" i="11"/>
  <c r="V507" i="11"/>
  <c r="AN506" i="11"/>
  <c r="AO503" i="11"/>
  <c r="AT506" i="11" s="1"/>
  <c r="AN505" i="11"/>
  <c r="AS506" i="11"/>
  <c r="CF454" i="11"/>
  <c r="CK454" i="11"/>
  <c r="AT505" i="11"/>
  <c r="AY508" i="11" s="1"/>
  <c r="DP134" i="11"/>
  <c r="DP135" i="11" s="1"/>
  <c r="DO135" i="11"/>
  <c r="DO138" i="11" s="1"/>
  <c r="AG17" i="13" l="1"/>
  <c r="AG20" i="13" s="1"/>
  <c r="DP119" i="11"/>
  <c r="AG58" i="13"/>
  <c r="AC61" i="13"/>
  <c r="AC42" i="13"/>
  <c r="AC29" i="13"/>
  <c r="AF60" i="13"/>
  <c r="AJ19" i="13"/>
  <c r="AD33" i="13"/>
  <c r="AD52" i="13"/>
  <c r="AD31" i="13" s="1"/>
  <c r="AD51" i="13"/>
  <c r="W42" i="13"/>
  <c r="W61" i="13"/>
  <c r="AJ18" i="13"/>
  <c r="AF59" i="13"/>
  <c r="AD61" i="13"/>
  <c r="Y61" i="13"/>
  <c r="T42" i="13"/>
  <c r="T29" i="13"/>
  <c r="AJ43" i="13"/>
  <c r="N5" i="7"/>
  <c r="AJ47" i="13"/>
  <c r="AJ56" i="13"/>
  <c r="AJ46" i="13"/>
  <c r="AJ44" i="13"/>
  <c r="AJ45" i="13"/>
  <c r="AJ49" i="13"/>
  <c r="AJ48" i="13"/>
  <c r="AF57" i="13"/>
  <c r="AJ16" i="13"/>
  <c r="S52" i="13"/>
  <c r="S31" i="13" s="1"/>
  <c r="S51" i="13"/>
  <c r="S33" i="13"/>
  <c r="AH17" i="13"/>
  <c r="AB33" i="13"/>
  <c r="AB52" i="13"/>
  <c r="AB31" i="13" s="1"/>
  <c r="AB51" i="13"/>
  <c r="J61" i="13"/>
  <c r="J29" i="13"/>
  <c r="J42" i="13"/>
  <c r="AF17" i="13"/>
  <c r="I61" i="13"/>
  <c r="I29" i="13"/>
  <c r="I42" i="13"/>
  <c r="AA29" i="13"/>
  <c r="AA42" i="13"/>
  <c r="AE20" i="13"/>
  <c r="AB61" i="13"/>
  <c r="R52" i="13"/>
  <c r="R31" i="13" s="1"/>
  <c r="R51" i="13"/>
  <c r="R33" i="13"/>
  <c r="Q42" i="13"/>
  <c r="Q29" i="13"/>
  <c r="U20" i="13"/>
  <c r="U39" i="13"/>
  <c r="AJ50" i="13"/>
  <c r="AI17" i="13"/>
  <c r="X43" i="13"/>
  <c r="X29" i="13"/>
  <c r="AM26" i="13"/>
  <c r="AL28" i="13"/>
  <c r="W62" i="13"/>
  <c r="W33" i="13"/>
  <c r="W52" i="13"/>
  <c r="W31" i="13" s="1"/>
  <c r="W51" i="13"/>
  <c r="AB62" i="13"/>
  <c r="AL63" i="13"/>
  <c r="AM36" i="13"/>
  <c r="DP12" i="11"/>
  <c r="DO164" i="11"/>
  <c r="DO46" i="11"/>
  <c r="DO12" i="11"/>
  <c r="V508" i="11"/>
  <c r="DO202" i="11"/>
  <c r="K72" i="7"/>
  <c r="I72" i="7"/>
  <c r="J57" i="7"/>
  <c r="K63" i="7"/>
  <c r="I63" i="7"/>
  <c r="I57" i="7"/>
  <c r="H72" i="7"/>
  <c r="E72" i="7"/>
  <c r="E57" i="7"/>
  <c r="F57" i="7"/>
  <c r="G63" i="7"/>
  <c r="H63" i="7"/>
  <c r="G72" i="7"/>
  <c r="G57" i="7"/>
  <c r="H57" i="7"/>
  <c r="L72" i="7"/>
  <c r="L57" i="7"/>
  <c r="L63" i="7"/>
  <c r="E63" i="7"/>
  <c r="F63" i="7"/>
  <c r="M63" i="7"/>
  <c r="M57" i="7"/>
  <c r="CC508" i="11"/>
  <c r="Z507" i="11"/>
  <c r="P506" i="11"/>
  <c r="AY507" i="11"/>
  <c r="U506" i="11"/>
  <c r="CT506" i="11"/>
  <c r="CO506" i="11"/>
  <c r="CM503" i="11"/>
  <c r="CM506" i="11" s="1"/>
  <c r="CI506" i="11"/>
  <c r="CR449" i="11"/>
  <c r="CN503" i="11"/>
  <c r="CS452" i="11"/>
  <c r="DP138" i="11"/>
  <c r="CR440" i="11"/>
  <c r="CW437" i="11"/>
  <c r="DB437" i="11" s="1"/>
  <c r="DG437" i="11" s="1"/>
  <c r="DL437" i="11" s="1"/>
  <c r="DM437" i="11" s="1"/>
  <c r="CQ454" i="11"/>
  <c r="CV454" i="11"/>
  <c r="CP451" i="11"/>
  <c r="CU453" i="11"/>
  <c r="CP453" i="11"/>
  <c r="CP504" i="11"/>
  <c r="X505" i="11"/>
  <c r="X508" i="11" s="1"/>
  <c r="X506" i="11"/>
  <c r="AC506" i="11"/>
  <c r="Z503" i="11"/>
  <c r="Z506" i="11" s="1"/>
  <c r="DP398" i="11"/>
  <c r="DN397" i="11"/>
  <c r="DN400" i="11" s="1"/>
  <c r="DN399" i="11"/>
  <c r="CH507" i="11"/>
  <c r="CH505" i="11"/>
  <c r="DP191" i="11"/>
  <c r="DP192" i="11" s="1"/>
  <c r="DO192" i="11"/>
  <c r="DO195" i="11" s="1"/>
  <c r="CM453" i="11"/>
  <c r="CM451" i="11"/>
  <c r="CM454" i="11" s="1"/>
  <c r="CD508" i="11"/>
  <c r="DL508" i="11"/>
  <c r="CJ507" i="11"/>
  <c r="CJ505" i="11"/>
  <c r="H15" i="13" s="1"/>
  <c r="K505" i="11"/>
  <c r="K508" i="11" s="1"/>
  <c r="J508" i="11"/>
  <c r="Y508" i="11"/>
  <c r="CF508" i="11"/>
  <c r="CK508" i="11"/>
  <c r="DP445" i="11"/>
  <c r="DP448" i="11" s="1"/>
  <c r="CN504" i="11"/>
  <c r="CN452" i="11"/>
  <c r="CS453" i="11"/>
  <c r="CR450" i="11"/>
  <c r="CN451" i="11"/>
  <c r="CN453" i="11" s="1"/>
  <c r="DO388" i="11"/>
  <c r="DO391" i="11" s="1"/>
  <c r="DP387" i="11"/>
  <c r="DO396" i="11"/>
  <c r="AE505" i="11"/>
  <c r="AD508" i="11"/>
  <c r="DP46" i="11"/>
  <c r="CO451" i="11"/>
  <c r="CO504" i="11"/>
  <c r="CO453" i="11"/>
  <c r="CT453" i="11"/>
  <c r="DP83" i="11"/>
  <c r="CM439" i="11"/>
  <c r="CM442" i="11" s="1"/>
  <c r="CR438" i="11"/>
  <c r="AH506" i="11"/>
  <c r="AJ503" i="11"/>
  <c r="AJ506" i="11" s="1"/>
  <c r="AM506" i="11"/>
  <c r="AN424" i="11"/>
  <c r="AO421" i="11"/>
  <c r="AO424" i="11" s="1"/>
  <c r="AS424" i="11"/>
  <c r="DP164" i="11"/>
  <c r="CE508" i="11"/>
  <c r="DP151" i="11"/>
  <c r="AN508" i="11"/>
  <c r="AO505" i="11"/>
  <c r="AS508" i="11"/>
  <c r="DO27" i="11"/>
  <c r="U505" i="11"/>
  <c r="U508" i="11" s="1"/>
  <c r="CQ507" i="11"/>
  <c r="CV507" i="11"/>
  <c r="CQ505" i="11"/>
  <c r="O15" i="13" s="1"/>
  <c r="DP418" i="11"/>
  <c r="DP27" i="11"/>
  <c r="AT420" i="11"/>
  <c r="AR421" i="11"/>
  <c r="AI508" i="11"/>
  <c r="P505" i="11"/>
  <c r="R508" i="11"/>
  <c r="CI507" i="11"/>
  <c r="CM504" i="11"/>
  <c r="CI505" i="11"/>
  <c r="G15" i="13" s="1"/>
  <c r="DP202" i="11"/>
  <c r="W508" i="11"/>
  <c r="DP61" i="11"/>
  <c r="DP64" i="11" s="1"/>
  <c r="D42" i="3" l="1"/>
  <c r="C42" i="3"/>
  <c r="I33" i="13"/>
  <c r="I62" i="13"/>
  <c r="I51" i="13"/>
  <c r="G17" i="13"/>
  <c r="G43" i="13"/>
  <c r="G40" i="13"/>
  <c r="G44" i="13"/>
  <c r="G56" i="13"/>
  <c r="G41" i="13"/>
  <c r="G47" i="13"/>
  <c r="G49" i="13"/>
  <c r="G45" i="13"/>
  <c r="G46" i="13"/>
  <c r="G48" i="13"/>
  <c r="G50" i="13"/>
  <c r="AA51" i="13"/>
  <c r="AA52" i="13"/>
  <c r="AA31" i="13" s="1"/>
  <c r="AA33" i="13"/>
  <c r="AF20" i="13"/>
  <c r="AF58" i="13"/>
  <c r="AJ57" i="13"/>
  <c r="N8" i="7"/>
  <c r="H56" i="13"/>
  <c r="H43" i="13"/>
  <c r="H17" i="13"/>
  <c r="H40" i="13"/>
  <c r="H49" i="13"/>
  <c r="H45" i="13"/>
  <c r="H46" i="13"/>
  <c r="H47" i="13"/>
  <c r="H44" i="13"/>
  <c r="H48" i="13"/>
  <c r="H41" i="13"/>
  <c r="H50" i="13"/>
  <c r="U29" i="13"/>
  <c r="U42" i="13"/>
  <c r="J62" i="13"/>
  <c r="J33" i="13"/>
  <c r="J51" i="13"/>
  <c r="AD34" i="13"/>
  <c r="AD35" i="13" s="1"/>
  <c r="AD53" i="13"/>
  <c r="AJ17" i="13"/>
  <c r="AI58" i="13"/>
  <c r="AI20" i="13"/>
  <c r="N14" i="7"/>
  <c r="AJ59" i="13"/>
  <c r="AJ40" i="13"/>
  <c r="Q33" i="13"/>
  <c r="Q51" i="13"/>
  <c r="Q52" i="13"/>
  <c r="Q31" i="13" s="1"/>
  <c r="N17" i="7"/>
  <c r="N18" i="7" s="1"/>
  <c r="AJ41" i="13"/>
  <c r="AJ60" i="13"/>
  <c r="R34" i="13"/>
  <c r="R53" i="13"/>
  <c r="AB34" i="13"/>
  <c r="AB35" i="13" s="1"/>
  <c r="AB53" i="13"/>
  <c r="N11" i="7"/>
  <c r="H55" i="2" s="1"/>
  <c r="N157" i="7"/>
  <c r="N20" i="7"/>
  <c r="N90" i="7"/>
  <c r="H31" i="2" s="1"/>
  <c r="H32" i="2" s="1"/>
  <c r="N6" i="7"/>
  <c r="N137" i="7"/>
  <c r="N22" i="7"/>
  <c r="AC51" i="13"/>
  <c r="AC33" i="13"/>
  <c r="AC52" i="13"/>
  <c r="AC31" i="13" s="1"/>
  <c r="O45" i="13"/>
  <c r="O48" i="13"/>
  <c r="O47" i="13"/>
  <c r="O17" i="13"/>
  <c r="O43" i="13"/>
  <c r="O40" i="13"/>
  <c r="O46" i="13"/>
  <c r="O44" i="13"/>
  <c r="O49" i="13"/>
  <c r="O41" i="13"/>
  <c r="O56" i="13"/>
  <c r="O50" i="13"/>
  <c r="T56" i="13"/>
  <c r="AH58" i="13"/>
  <c r="AH20" i="13"/>
  <c r="T52" i="13"/>
  <c r="T31" i="13" s="1"/>
  <c r="T33" i="13"/>
  <c r="T51" i="13"/>
  <c r="S34" i="13"/>
  <c r="S53" i="13"/>
  <c r="AE42" i="13"/>
  <c r="AE29" i="13"/>
  <c r="AG42" i="13"/>
  <c r="AG29" i="13"/>
  <c r="AG61" i="13"/>
  <c r="X62" i="13"/>
  <c r="X33" i="13"/>
  <c r="X52" i="13"/>
  <c r="X31" i="13" s="1"/>
  <c r="X51" i="13"/>
  <c r="AC62" i="13"/>
  <c r="W34" i="13"/>
  <c r="W53" i="13"/>
  <c r="AM63" i="13"/>
  <c r="AN36" i="13"/>
  <c r="AN63" i="13" s="1"/>
  <c r="AN26" i="13"/>
  <c r="AM28" i="13"/>
  <c r="DN437" i="11"/>
  <c r="DM449" i="11"/>
  <c r="CR503" i="11"/>
  <c r="CS506" i="11"/>
  <c r="CN506" i="11"/>
  <c r="P508" i="11"/>
  <c r="CR452" i="11"/>
  <c r="CW452" i="11"/>
  <c r="AR424" i="11"/>
  <c r="AW424" i="11"/>
  <c r="AT421" i="11"/>
  <c r="CP507" i="11"/>
  <c r="CU507" i="11"/>
  <c r="CP505" i="11"/>
  <c r="N15" i="13" s="1"/>
  <c r="CO454" i="11"/>
  <c r="CT454" i="11"/>
  <c r="AC508" i="11"/>
  <c r="DP396" i="11"/>
  <c r="DP388" i="11"/>
  <c r="DP391" i="11" s="1"/>
  <c r="CP454" i="11"/>
  <c r="CU454" i="11"/>
  <c r="CQ508" i="11"/>
  <c r="CV508" i="11"/>
  <c r="Z505" i="11"/>
  <c r="Z508" i="11" s="1"/>
  <c r="CH508" i="11"/>
  <c r="CH511" i="11"/>
  <c r="CI508" i="11"/>
  <c r="CM507" i="11"/>
  <c r="CM505" i="11"/>
  <c r="K15" i="13" s="1"/>
  <c r="C132" i="17" s="1"/>
  <c r="AE506" i="11"/>
  <c r="CN454" i="11"/>
  <c r="CS454" i="11"/>
  <c r="CN507" i="11"/>
  <c r="CR504" i="11"/>
  <c r="CS507" i="11"/>
  <c r="CN505" i="11"/>
  <c r="L15" i="13" s="1"/>
  <c r="CO507" i="11"/>
  <c r="CT507" i="11"/>
  <c r="CO505" i="11"/>
  <c r="M15" i="13" s="1"/>
  <c r="CR451" i="11"/>
  <c r="CR453" i="11"/>
  <c r="CW453" i="11"/>
  <c r="AO506" i="11"/>
  <c r="CJ508" i="11"/>
  <c r="DO397" i="11"/>
  <c r="DO400" i="11" s="1"/>
  <c r="DO399" i="11"/>
  <c r="CW438" i="11"/>
  <c r="CR439" i="11"/>
  <c r="CR442" i="11" s="1"/>
  <c r="AT508" i="11"/>
  <c r="DP195" i="11"/>
  <c r="N16" i="7" l="1"/>
  <c r="N15" i="7"/>
  <c r="N141" i="7"/>
  <c r="N183" i="7" s="1"/>
  <c r="N185" i="7" s="1"/>
  <c r="N12" i="7"/>
  <c r="N24" i="7"/>
  <c r="AG30" i="13"/>
  <c r="AG33" i="13" s="1"/>
  <c r="AG51" i="13"/>
  <c r="AG62" i="13"/>
  <c r="M46" i="13"/>
  <c r="M56" i="13"/>
  <c r="M41" i="13"/>
  <c r="M45" i="13"/>
  <c r="M47" i="13"/>
  <c r="M17" i="13"/>
  <c r="M49" i="13"/>
  <c r="M43" i="13"/>
  <c r="M40" i="13"/>
  <c r="M44" i="13"/>
  <c r="M50" i="13"/>
  <c r="M48" i="13"/>
  <c r="R56" i="13"/>
  <c r="J53" i="13"/>
  <c r="J34" i="13"/>
  <c r="N148" i="7"/>
  <c r="AJ58" i="13"/>
  <c r="AJ39" i="13"/>
  <c r="AK39" i="13" s="1"/>
  <c r="AL39" i="13" s="1"/>
  <c r="AM39" i="13" s="1"/>
  <c r="AN39" i="13" s="1"/>
  <c r="N9" i="7"/>
  <c r="N106" i="7"/>
  <c r="H56" i="2" s="1"/>
  <c r="H57" i="2" s="1"/>
  <c r="N92" i="7"/>
  <c r="H35" i="2" s="1"/>
  <c r="H36" i="2" s="1"/>
  <c r="H58" i="2" s="1"/>
  <c r="G20" i="13"/>
  <c r="G39" i="13"/>
  <c r="G58" i="13"/>
  <c r="AJ20" i="13"/>
  <c r="AI61" i="13"/>
  <c r="AI29" i="13"/>
  <c r="AI42" i="13"/>
  <c r="O58" i="13"/>
  <c r="O20" i="13"/>
  <c r="O39" i="13"/>
  <c r="T58" i="13"/>
  <c r="AH61" i="13"/>
  <c r="AH29" i="13"/>
  <c r="AH42" i="13"/>
  <c r="U52" i="13"/>
  <c r="U31" i="13" s="1"/>
  <c r="U33" i="13"/>
  <c r="E133" i="17" s="1"/>
  <c r="U51" i="13"/>
  <c r="AF42" i="13"/>
  <c r="AF29" i="13"/>
  <c r="AF61" i="13"/>
  <c r="K43" i="13"/>
  <c r="K56" i="13"/>
  <c r="K40" i="13"/>
  <c r="K44" i="13"/>
  <c r="K17" i="13"/>
  <c r="K47" i="13"/>
  <c r="K41" i="13"/>
  <c r="K46" i="13"/>
  <c r="K45" i="13"/>
  <c r="K48" i="13"/>
  <c r="K49" i="13"/>
  <c r="K50" i="13"/>
  <c r="AE51" i="13"/>
  <c r="AE33" i="13"/>
  <c r="G133" i="17" s="1"/>
  <c r="AE52" i="13"/>
  <c r="AE31" i="13" s="1"/>
  <c r="H20" i="13"/>
  <c r="H58" i="13"/>
  <c r="H39" i="13"/>
  <c r="L47" i="13"/>
  <c r="L48" i="13"/>
  <c r="L56" i="13"/>
  <c r="L17" i="13"/>
  <c r="L49" i="13"/>
  <c r="L40" i="13"/>
  <c r="L44" i="13"/>
  <c r="L45" i="13"/>
  <c r="L46" i="13"/>
  <c r="L41" i="13"/>
  <c r="L43" i="13"/>
  <c r="L50" i="13"/>
  <c r="Q56" i="13"/>
  <c r="T53" i="13"/>
  <c r="T34" i="13"/>
  <c r="N139" i="7"/>
  <c r="N138" i="7"/>
  <c r="Q34" i="13"/>
  <c r="Q53" i="13"/>
  <c r="AA53" i="13"/>
  <c r="AA34" i="13"/>
  <c r="AA35" i="13" s="1"/>
  <c r="N158" i="7"/>
  <c r="N175" i="7"/>
  <c r="N98" i="7"/>
  <c r="N159" i="7"/>
  <c r="AC53" i="13"/>
  <c r="AC34" i="13"/>
  <c r="AC35" i="13" s="1"/>
  <c r="N46" i="13"/>
  <c r="N50" i="13"/>
  <c r="N47" i="13"/>
  <c r="N17" i="13"/>
  <c r="N43" i="13"/>
  <c r="N40" i="13"/>
  <c r="N44" i="13"/>
  <c r="N41" i="13"/>
  <c r="N45" i="13"/>
  <c r="N49" i="13"/>
  <c r="N56" i="13"/>
  <c r="N48" i="13"/>
  <c r="S56" i="13"/>
  <c r="I53" i="13"/>
  <c r="I34" i="13"/>
  <c r="AN28" i="13"/>
  <c r="X34" i="13"/>
  <c r="X53" i="13"/>
  <c r="W64" i="13"/>
  <c r="AB64" i="13"/>
  <c r="CR506" i="11"/>
  <c r="CW506" i="11"/>
  <c r="DM452" i="11"/>
  <c r="DM503" i="11"/>
  <c r="DM506" i="11" s="1"/>
  <c r="DN449" i="11"/>
  <c r="DO437" i="11"/>
  <c r="DP397" i="11"/>
  <c r="DP400" i="11" s="1"/>
  <c r="DP399" i="11"/>
  <c r="CO508" i="11"/>
  <c r="CT508" i="11"/>
  <c r="CM508" i="11"/>
  <c r="DB438" i="11"/>
  <c r="CW439" i="11"/>
  <c r="CR454" i="11"/>
  <c r="CW454" i="11"/>
  <c r="AT424" i="11"/>
  <c r="AY424" i="11"/>
  <c r="CP508" i="11"/>
  <c r="CU508" i="11"/>
  <c r="CN508" i="11"/>
  <c r="CS508" i="11"/>
  <c r="AE508" i="11"/>
  <c r="CR507" i="11"/>
  <c r="CW507" i="11"/>
  <c r="CR505" i="11"/>
  <c r="P15" i="13" s="1"/>
  <c r="D132" i="17" s="1"/>
  <c r="D25" i="3" l="1"/>
  <c r="D26" i="3" s="1"/>
  <c r="H38" i="2"/>
  <c r="AG53" i="13"/>
  <c r="AG34" i="13"/>
  <c r="H61" i="13"/>
  <c r="H42" i="13"/>
  <c r="H29" i="13"/>
  <c r="AF30" i="13"/>
  <c r="AF62" i="13"/>
  <c r="AF51" i="13"/>
  <c r="AF33" i="13"/>
  <c r="AE34" i="13"/>
  <c r="AE35" i="13" s="1"/>
  <c r="AE53" i="13"/>
  <c r="L20" i="13"/>
  <c r="L39" i="13"/>
  <c r="L58" i="13"/>
  <c r="Q58" i="13"/>
  <c r="J64" i="13"/>
  <c r="J35" i="13"/>
  <c r="AI30" i="13"/>
  <c r="AI33" i="13" s="1"/>
  <c r="AI51" i="13"/>
  <c r="AI62" i="13"/>
  <c r="AJ42" i="13"/>
  <c r="AJ61" i="13"/>
  <c r="AJ29" i="13"/>
  <c r="G29" i="13"/>
  <c r="G42" i="13"/>
  <c r="G61" i="13"/>
  <c r="N151" i="7"/>
  <c r="N111" i="7"/>
  <c r="AH51" i="13"/>
  <c r="AH62" i="13"/>
  <c r="AH30" i="13"/>
  <c r="AH33" i="13"/>
  <c r="K20" i="13"/>
  <c r="K58" i="13"/>
  <c r="K39" i="13"/>
  <c r="O29" i="13"/>
  <c r="O61" i="13"/>
  <c r="O42" i="13"/>
  <c r="T61" i="13"/>
  <c r="N58" i="13"/>
  <c r="N20" i="13"/>
  <c r="N39" i="13"/>
  <c r="S58" i="13"/>
  <c r="N25" i="7"/>
  <c r="N26" i="7"/>
  <c r="I35" i="13"/>
  <c r="I64" i="13"/>
  <c r="P43" i="13"/>
  <c r="P47" i="13"/>
  <c r="P46" i="13"/>
  <c r="P45" i="13"/>
  <c r="P56" i="13"/>
  <c r="P40" i="13"/>
  <c r="P44" i="13"/>
  <c r="P49" i="13"/>
  <c r="P17" i="13"/>
  <c r="P41" i="13"/>
  <c r="P48" i="13"/>
  <c r="P50" i="13"/>
  <c r="U56" i="13"/>
  <c r="U53" i="13"/>
  <c r="U34" i="13"/>
  <c r="N149" i="7"/>
  <c r="M20" i="13"/>
  <c r="M39" i="13"/>
  <c r="M58" i="13"/>
  <c r="R58" i="13"/>
  <c r="X64" i="13"/>
  <c r="AC64" i="13"/>
  <c r="DO449" i="11"/>
  <c r="DP437" i="11"/>
  <c r="DP449" i="11" s="1"/>
  <c r="DN452" i="11"/>
  <c r="DN503" i="11"/>
  <c r="DN506" i="11" s="1"/>
  <c r="CR508" i="11"/>
  <c r="CW508" i="11"/>
  <c r="DG438" i="11"/>
  <c r="DB439" i="11"/>
  <c r="N117" i="7" l="1"/>
  <c r="H43" i="2"/>
  <c r="AJ30" i="13"/>
  <c r="L42" i="13"/>
  <c r="L29" i="13"/>
  <c r="L61" i="13"/>
  <c r="Q61" i="13"/>
  <c r="N61" i="13"/>
  <c r="N29" i="13"/>
  <c r="N42" i="13"/>
  <c r="S61" i="13"/>
  <c r="AJ51" i="13"/>
  <c r="AJ62" i="13"/>
  <c r="AJ33" i="13"/>
  <c r="H133" i="17" s="1"/>
  <c r="G62" i="13"/>
  <c r="G33" i="13"/>
  <c r="G52" i="13"/>
  <c r="G31" i="13" s="1"/>
  <c r="G51" i="13"/>
  <c r="H33" i="13"/>
  <c r="H52" i="13"/>
  <c r="H31" i="13" s="1"/>
  <c r="H51" i="13"/>
  <c r="H62" i="13"/>
  <c r="AI34" i="13"/>
  <c r="AI53" i="13"/>
  <c r="P58" i="13"/>
  <c r="P39" i="13"/>
  <c r="P20" i="13"/>
  <c r="U58" i="13"/>
  <c r="K61" i="13"/>
  <c r="K29" i="13"/>
  <c r="K42" i="13"/>
  <c r="AF53" i="13"/>
  <c r="AF34" i="13"/>
  <c r="M61" i="13"/>
  <c r="M29" i="13"/>
  <c r="M42" i="13"/>
  <c r="R61" i="13"/>
  <c r="U35" i="13"/>
  <c r="AH34" i="13"/>
  <c r="AH53" i="13"/>
  <c r="AG35" i="13"/>
  <c r="AG64" i="13"/>
  <c r="AJ52" i="13"/>
  <c r="AJ31" i="13" s="1"/>
  <c r="O51" i="13"/>
  <c r="O33" i="13"/>
  <c r="O52" i="13"/>
  <c r="O31" i="13" s="1"/>
  <c r="O62" i="13"/>
  <c r="T62" i="13"/>
  <c r="DP503" i="11"/>
  <c r="DP452" i="11"/>
  <c r="DO452" i="11"/>
  <c r="DO503" i="11"/>
  <c r="DO506" i="11" s="1"/>
  <c r="DG439" i="11"/>
  <c r="DL438" i="11"/>
  <c r="D9" i="3" l="1"/>
  <c r="AH64" i="13"/>
  <c r="AH35" i="13"/>
  <c r="G53" i="13"/>
  <c r="G34" i="13"/>
  <c r="K51" i="13"/>
  <c r="K62" i="13"/>
  <c r="K33" i="13"/>
  <c r="C133" i="17" s="1"/>
  <c r="K52" i="13"/>
  <c r="K31" i="13" s="1"/>
  <c r="H53" i="13"/>
  <c r="H34" i="13"/>
  <c r="AF35" i="13"/>
  <c r="AF64" i="13"/>
  <c r="N28" i="7"/>
  <c r="AJ34" i="13"/>
  <c r="AJ53" i="13"/>
  <c r="N52" i="13"/>
  <c r="N31" i="13" s="1"/>
  <c r="N51" i="13"/>
  <c r="N33" i="13"/>
  <c r="N62" i="13"/>
  <c r="S62" i="13"/>
  <c r="L52" i="13"/>
  <c r="L31" i="13" s="1"/>
  <c r="L33" i="13"/>
  <c r="L51" i="13"/>
  <c r="L62" i="13"/>
  <c r="Q62" i="13"/>
  <c r="M33" i="13"/>
  <c r="M52" i="13"/>
  <c r="M31" i="13" s="1"/>
  <c r="M51" i="13"/>
  <c r="M62" i="13"/>
  <c r="R62" i="13"/>
  <c r="O34" i="13"/>
  <c r="O53" i="13"/>
  <c r="P42" i="13"/>
  <c r="P61" i="13"/>
  <c r="P29" i="13"/>
  <c r="U61" i="13"/>
  <c r="AI64" i="13"/>
  <c r="AI35" i="13"/>
  <c r="N54" i="7"/>
  <c r="DP506" i="11"/>
  <c r="DL439" i="11"/>
  <c r="DM438" i="11"/>
  <c r="O35" i="13" l="1"/>
  <c r="O64" i="13"/>
  <c r="T64" i="13"/>
  <c r="M53" i="13"/>
  <c r="M34" i="13"/>
  <c r="AJ64" i="13"/>
  <c r="AJ35" i="13"/>
  <c r="N34" i="13"/>
  <c r="N53" i="13"/>
  <c r="N80" i="7"/>
  <c r="N32" i="7"/>
  <c r="H64" i="13"/>
  <c r="H35" i="13"/>
  <c r="K34" i="13"/>
  <c r="K53" i="13"/>
  <c r="L34" i="13"/>
  <c r="L53" i="13"/>
  <c r="G35" i="13"/>
  <c r="G64" i="13"/>
  <c r="P33" i="13"/>
  <c r="D133" i="17" s="1"/>
  <c r="P52" i="13"/>
  <c r="P31" i="13" s="1"/>
  <c r="P51" i="13"/>
  <c r="P62" i="13"/>
  <c r="U62" i="13"/>
  <c r="DM439" i="11"/>
  <c r="DN438" i="11"/>
  <c r="DM450" i="11"/>
  <c r="C43" i="3" l="1"/>
  <c r="H20" i="2"/>
  <c r="H44" i="2"/>
  <c r="K35" i="13"/>
  <c r="K64" i="13"/>
  <c r="L64" i="13"/>
  <c r="L35" i="13"/>
  <c r="Q64" i="13"/>
  <c r="N35" i="13"/>
  <c r="N64" i="13"/>
  <c r="S64" i="13"/>
  <c r="P34" i="13"/>
  <c r="P53" i="13"/>
  <c r="N39" i="7"/>
  <c r="N79" i="7"/>
  <c r="N81" i="7" s="1"/>
  <c r="M64" i="13"/>
  <c r="M35" i="13"/>
  <c r="R64" i="13"/>
  <c r="O54" i="7"/>
  <c r="DN439" i="11"/>
  <c r="DO438" i="11"/>
  <c r="DN450" i="11"/>
  <c r="DM504" i="11"/>
  <c r="DM451" i="11"/>
  <c r="DM454" i="11" s="1"/>
  <c r="N42" i="7" l="1"/>
  <c r="N43" i="7" s="1"/>
  <c r="N59" i="7" s="1"/>
  <c r="N40" i="7"/>
  <c r="P64" i="13"/>
  <c r="P35" i="13"/>
  <c r="U64" i="13"/>
  <c r="DO439" i="11"/>
  <c r="DP438" i="11"/>
  <c r="DO450" i="11"/>
  <c r="DM507" i="11"/>
  <c r="DM505" i="11"/>
  <c r="AK15" i="13" s="1"/>
  <c r="I132" i="17" s="1"/>
  <c r="DN504" i="11"/>
  <c r="DN451" i="11"/>
  <c r="DN454" i="11" s="1"/>
  <c r="N50" i="7" l="1"/>
  <c r="N56" i="7"/>
  <c r="N60" i="7"/>
  <c r="N62" i="7" s="1"/>
  <c r="N63" i="7" s="1"/>
  <c r="N51" i="7"/>
  <c r="N135" i="7"/>
  <c r="N154" i="7" s="1"/>
  <c r="N122" i="7"/>
  <c r="O5" i="7"/>
  <c r="AK43" i="13"/>
  <c r="AK18" i="13"/>
  <c r="AK19" i="13"/>
  <c r="AK56" i="13"/>
  <c r="AK46" i="13"/>
  <c r="AK47" i="13"/>
  <c r="AK45" i="13"/>
  <c r="AK44" i="13"/>
  <c r="AK49" i="13"/>
  <c r="AK16" i="13"/>
  <c r="AK48" i="13"/>
  <c r="AK50" i="13"/>
  <c r="P54" i="7"/>
  <c r="DN507" i="11"/>
  <c r="DN505" i="11"/>
  <c r="AL15" i="13" s="1"/>
  <c r="J132" i="17" s="1"/>
  <c r="DO504" i="11"/>
  <c r="DO451" i="11"/>
  <c r="DO454" i="11" s="1"/>
  <c r="DP439" i="11"/>
  <c r="DP450" i="11"/>
  <c r="DM508" i="11"/>
  <c r="D8" i="3" l="1"/>
  <c r="D12" i="3" s="1"/>
  <c r="C40" i="3"/>
  <c r="D17" i="3"/>
  <c r="H26" i="2"/>
  <c r="H22" i="2"/>
  <c r="H47" i="2" s="1"/>
  <c r="H24" i="2"/>
  <c r="H25" i="2"/>
  <c r="P5" i="7"/>
  <c r="AL43" i="13"/>
  <c r="AL18" i="13"/>
  <c r="AL19" i="13"/>
  <c r="AL46" i="13"/>
  <c r="AL47" i="13"/>
  <c r="AL56" i="13"/>
  <c r="AQ15" i="13"/>
  <c r="AL45" i="13"/>
  <c r="AL44" i="13"/>
  <c r="AL49" i="13"/>
  <c r="AL16" i="13"/>
  <c r="AL48" i="13"/>
  <c r="AL17" i="13"/>
  <c r="AL50" i="13"/>
  <c r="O8" i="7"/>
  <c r="AK57" i="13"/>
  <c r="O17" i="7"/>
  <c r="O18" i="7" s="1"/>
  <c r="AK60" i="13"/>
  <c r="N155" i="7"/>
  <c r="N189" i="7"/>
  <c r="O14" i="7"/>
  <c r="AK59" i="13"/>
  <c r="O137" i="7"/>
  <c r="O22" i="7"/>
  <c r="O20" i="7"/>
  <c r="O6" i="7"/>
  <c r="O90" i="7"/>
  <c r="I31" i="2" s="1"/>
  <c r="I32" i="2" s="1"/>
  <c r="O157" i="7"/>
  <c r="N125" i="7"/>
  <c r="AK17" i="13"/>
  <c r="N72" i="7"/>
  <c r="N57" i="7"/>
  <c r="Q54" i="7"/>
  <c r="R54" i="7" s="1"/>
  <c r="DO507" i="11"/>
  <c r="DO505" i="11"/>
  <c r="AM15" i="13" s="1"/>
  <c r="K132" i="17" s="1"/>
  <c r="DN508" i="11"/>
  <c r="DP504" i="11"/>
  <c r="DP451" i="11"/>
  <c r="DP454" i="11" s="1"/>
  <c r="N127" i="7" l="1"/>
  <c r="N88" i="7" s="1"/>
  <c r="D41" i="3"/>
  <c r="C41" i="3"/>
  <c r="H54" i="2"/>
  <c r="H53" i="2"/>
  <c r="H23" i="2"/>
  <c r="O11" i="7"/>
  <c r="I55" i="2" s="1"/>
  <c r="D40" i="3"/>
  <c r="D20" i="3"/>
  <c r="AQ17" i="13"/>
  <c r="AL20" i="13"/>
  <c r="AL58" i="13"/>
  <c r="N191" i="7"/>
  <c r="N192" i="7" s="1"/>
  <c r="N96" i="7"/>
  <c r="N37" i="7"/>
  <c r="O148" i="7"/>
  <c r="O138" i="7"/>
  <c r="O139" i="7"/>
  <c r="O16" i="7"/>
  <c r="O15" i="7"/>
  <c r="O141" i="7"/>
  <c r="O183" i="7" s="1"/>
  <c r="AQ18" i="13"/>
  <c r="P14" i="7"/>
  <c r="AL59" i="13"/>
  <c r="O9" i="7"/>
  <c r="O92" i="7"/>
  <c r="I35" i="2" s="1"/>
  <c r="I36" i="2" s="1"/>
  <c r="O106" i="7"/>
  <c r="I56" i="2" s="1"/>
  <c r="I57" i="2" s="1"/>
  <c r="AQ19" i="13"/>
  <c r="P17" i="7"/>
  <c r="P18" i="7" s="1"/>
  <c r="AL60" i="13"/>
  <c r="Q5" i="7"/>
  <c r="AM43" i="13"/>
  <c r="AM18" i="13"/>
  <c r="AM19" i="13"/>
  <c r="AM56" i="13"/>
  <c r="AM47" i="13"/>
  <c r="AM46" i="13"/>
  <c r="AM44" i="13"/>
  <c r="AM45" i="13"/>
  <c r="AM49" i="13"/>
  <c r="AM16" i="13"/>
  <c r="AM17" i="13" s="1"/>
  <c r="AM48" i="13"/>
  <c r="AM50" i="13"/>
  <c r="O158" i="7"/>
  <c r="O175" i="7"/>
  <c r="O159" i="7"/>
  <c r="O98" i="7"/>
  <c r="P8" i="7"/>
  <c r="P11" i="7" s="1"/>
  <c r="J55" i="2" s="1"/>
  <c r="AQ16" i="13"/>
  <c r="AL57" i="13"/>
  <c r="AK58" i="13"/>
  <c r="AK20" i="13"/>
  <c r="P157" i="7"/>
  <c r="P6" i="7"/>
  <c r="P90" i="7"/>
  <c r="P148" i="7" s="1"/>
  <c r="P20" i="7"/>
  <c r="P137" i="7"/>
  <c r="P138" i="7" s="1"/>
  <c r="P22" i="7"/>
  <c r="DP507" i="11"/>
  <c r="DP505" i="11"/>
  <c r="AN15" i="13" s="1"/>
  <c r="L132" i="17" s="1"/>
  <c r="DO508" i="11"/>
  <c r="O12" i="7" l="1"/>
  <c r="I58" i="2"/>
  <c r="J31" i="2"/>
  <c r="J32" i="2" s="1"/>
  <c r="E25" i="3"/>
  <c r="E26" i="3" s="1"/>
  <c r="I38" i="2"/>
  <c r="N104" i="7"/>
  <c r="D22" i="3"/>
  <c r="H29" i="2"/>
  <c r="H30" i="2"/>
  <c r="O24" i="7"/>
  <c r="O26" i="7" s="1"/>
  <c r="AN56" i="13"/>
  <c r="R5" i="7"/>
  <c r="AN18" i="13"/>
  <c r="AN19" i="13"/>
  <c r="AN43" i="13"/>
  <c r="AN46" i="13"/>
  <c r="AN47" i="13"/>
  <c r="AR15" i="13"/>
  <c r="AN44" i="13"/>
  <c r="AN45" i="13"/>
  <c r="AN49" i="13"/>
  <c r="AN48" i="13"/>
  <c r="AN16" i="13"/>
  <c r="AN17" i="13" s="1"/>
  <c r="AN50" i="13"/>
  <c r="P12" i="7"/>
  <c r="P24" i="7"/>
  <c r="AK42" i="13"/>
  <c r="AK61" i="13"/>
  <c r="AK29" i="13"/>
  <c r="P9" i="7"/>
  <c r="P92" i="7"/>
  <c r="J35" i="2" s="1"/>
  <c r="J36" i="2" s="1"/>
  <c r="P106" i="7"/>
  <c r="J56" i="2" s="1"/>
  <c r="J57" i="2" s="1"/>
  <c r="Q157" i="7"/>
  <c r="Q6" i="7"/>
  <c r="Q137" i="7"/>
  <c r="Q138" i="7" s="1"/>
  <c r="Q20" i="7"/>
  <c r="Q90" i="7"/>
  <c r="K31" i="2" s="1"/>
  <c r="K32" i="2" s="1"/>
  <c r="Q22" i="7"/>
  <c r="AQ20" i="13"/>
  <c r="AL42" i="13"/>
  <c r="AL61" i="13"/>
  <c r="AL29" i="13"/>
  <c r="AM59" i="13"/>
  <c r="Q14" i="7"/>
  <c r="O151" i="7"/>
  <c r="O111" i="7"/>
  <c r="AM20" i="13"/>
  <c r="AM58" i="13"/>
  <c r="AM60" i="13"/>
  <c r="Q17" i="7"/>
  <c r="P98" i="7"/>
  <c r="P139" i="7"/>
  <c r="P159" i="7"/>
  <c r="O149" i="7"/>
  <c r="Q8" i="7"/>
  <c r="AM57" i="13"/>
  <c r="P158" i="7"/>
  <c r="P175" i="7"/>
  <c r="P16" i="7"/>
  <c r="P15" i="7"/>
  <c r="P141" i="7"/>
  <c r="P183" i="7" s="1"/>
  <c r="AJ6" i="13"/>
  <c r="DP508" i="11"/>
  <c r="O25" i="7" l="1"/>
  <c r="D23" i="3"/>
  <c r="D28" i="3" s="1"/>
  <c r="D30" i="3" s="1"/>
  <c r="Q11" i="7"/>
  <c r="K55" i="2" s="1"/>
  <c r="Q9" i="7"/>
  <c r="N129" i="7"/>
  <c r="H42" i="2"/>
  <c r="H49" i="2" s="1"/>
  <c r="H37" i="2"/>
  <c r="H48" i="2" s="1"/>
  <c r="H50" i="2" s="1"/>
  <c r="H41" i="2"/>
  <c r="H21" i="2"/>
  <c r="F25" i="3"/>
  <c r="J38" i="2"/>
  <c r="J58" i="2"/>
  <c r="O117" i="7"/>
  <c r="I43" i="2" s="1"/>
  <c r="Q18" i="7"/>
  <c r="K21" i="17"/>
  <c r="AN58" i="13"/>
  <c r="AN20" i="13"/>
  <c r="AR17" i="13"/>
  <c r="Q159" i="7"/>
  <c r="Q139" i="7"/>
  <c r="Q98" i="7"/>
  <c r="R8" i="7"/>
  <c r="AR16" i="13"/>
  <c r="AN57" i="13"/>
  <c r="Q24" i="7"/>
  <c r="P151" i="7"/>
  <c r="P111" i="7"/>
  <c r="AM61" i="13"/>
  <c r="AM29" i="13"/>
  <c r="AM42" i="13"/>
  <c r="AR19" i="13"/>
  <c r="R17" i="7"/>
  <c r="R18" i="7" s="1"/>
  <c r="AN60" i="13"/>
  <c r="Q158" i="7"/>
  <c r="Q175" i="7"/>
  <c r="Q106" i="7"/>
  <c r="K56" i="2" s="1"/>
  <c r="K57" i="2" s="1"/>
  <c r="Q92" i="7"/>
  <c r="Q149" i="7" s="1"/>
  <c r="AN59" i="13"/>
  <c r="R14" i="7"/>
  <c r="AR18" i="13"/>
  <c r="Q148" i="7"/>
  <c r="Q16" i="7"/>
  <c r="Q15" i="7"/>
  <c r="Q141" i="7"/>
  <c r="Q183" i="7" s="1"/>
  <c r="AL30" i="13"/>
  <c r="AL33" i="13" s="1"/>
  <c r="J133" i="17" s="1"/>
  <c r="AL51" i="13"/>
  <c r="AL62" i="13"/>
  <c r="AQ29" i="13"/>
  <c r="R90" i="7"/>
  <c r="R148" i="7" s="1"/>
  <c r="R157" i="7"/>
  <c r="R20" i="7"/>
  <c r="R6" i="7"/>
  <c r="R137" i="7"/>
  <c r="R138" i="7" s="1"/>
  <c r="R11" i="7"/>
  <c r="L55" i="2" s="1"/>
  <c r="R22" i="7"/>
  <c r="AK62" i="13"/>
  <c r="AK30" i="13"/>
  <c r="AK33" i="13" s="1"/>
  <c r="I133" i="17" s="1"/>
  <c r="AK51" i="13"/>
  <c r="P149" i="7"/>
  <c r="P25" i="7"/>
  <c r="P26" i="7"/>
  <c r="AK6" i="13"/>
  <c r="L31" i="2" l="1"/>
  <c r="L32" i="2" s="1"/>
  <c r="F26" i="3"/>
  <c r="G25" i="3"/>
  <c r="G26" i="3" s="1"/>
  <c r="K38" i="2"/>
  <c r="P117" i="7"/>
  <c r="J43" i="2"/>
  <c r="K35" i="2"/>
  <c r="K36" i="2" s="1"/>
  <c r="K58" i="2" s="1"/>
  <c r="E9" i="3"/>
  <c r="Q12" i="7"/>
  <c r="O28" i="7"/>
  <c r="AK34" i="13"/>
  <c r="AK53" i="13"/>
  <c r="AM51" i="13"/>
  <c r="AM62" i="13"/>
  <c r="AM30" i="13"/>
  <c r="AM33" i="13" s="1"/>
  <c r="K133" i="17" s="1"/>
  <c r="R16" i="7"/>
  <c r="R15" i="7"/>
  <c r="R141" i="7"/>
  <c r="R183" i="7" s="1"/>
  <c r="P28" i="7"/>
  <c r="AQ33" i="13"/>
  <c r="AL34" i="13"/>
  <c r="AL53" i="13"/>
  <c r="R12" i="7"/>
  <c r="R24" i="7"/>
  <c r="R9" i="7"/>
  <c r="R106" i="7"/>
  <c r="L56" i="2" s="1"/>
  <c r="L57" i="2" s="1"/>
  <c r="R92" i="7"/>
  <c r="R149" i="7" s="1"/>
  <c r="R139" i="7"/>
  <c r="R98" i="7"/>
  <c r="R159" i="7"/>
  <c r="R158" i="7"/>
  <c r="R175" i="7"/>
  <c r="AN42" i="13"/>
  <c r="AN61" i="13"/>
  <c r="AN29" i="13"/>
  <c r="AR20" i="13"/>
  <c r="Q26" i="7"/>
  <c r="Q25" i="7"/>
  <c r="Q111" i="7"/>
  <c r="Q151" i="7"/>
  <c r="AL6" i="13"/>
  <c r="L35" i="2" l="1"/>
  <c r="L36" i="2" s="1"/>
  <c r="L58" i="2" s="1"/>
  <c r="F9" i="3"/>
  <c r="H25" i="3"/>
  <c r="L38" i="2"/>
  <c r="Q117" i="7"/>
  <c r="K43" i="2" s="1"/>
  <c r="H26" i="3"/>
  <c r="R26" i="7"/>
  <c r="R25" i="7"/>
  <c r="P80" i="7"/>
  <c r="P32" i="7"/>
  <c r="AQ34" i="13"/>
  <c r="AL64" i="13"/>
  <c r="AL35" i="13"/>
  <c r="AR29" i="13"/>
  <c r="AN30" i="13"/>
  <c r="AN33" i="13" s="1"/>
  <c r="L133" i="17" s="1"/>
  <c r="AN62" i="13"/>
  <c r="AN51" i="13"/>
  <c r="Q28" i="7"/>
  <c r="AM34" i="13"/>
  <c r="AM53" i="13"/>
  <c r="AK64" i="13"/>
  <c r="AK35" i="13"/>
  <c r="R111" i="7"/>
  <c r="R151" i="7"/>
  <c r="O80" i="7"/>
  <c r="O32" i="7"/>
  <c r="AN6" i="13"/>
  <c r="AM6" i="13"/>
  <c r="I44" i="2" l="1"/>
  <c r="I20" i="2"/>
  <c r="R117" i="7"/>
  <c r="G9" i="3"/>
  <c r="J44" i="2"/>
  <c r="J20" i="2"/>
  <c r="AM64" i="13"/>
  <c r="AM35" i="13"/>
  <c r="R28" i="7"/>
  <c r="AR33" i="13"/>
  <c r="AN34" i="13"/>
  <c r="AN53" i="13"/>
  <c r="O39" i="7"/>
  <c r="O79" i="7"/>
  <c r="O81" i="7" s="1"/>
  <c r="Q80" i="7"/>
  <c r="Q32" i="7"/>
  <c r="P39" i="7"/>
  <c r="P79" i="7"/>
  <c r="P81" i="7" s="1"/>
  <c r="H9" i="3" l="1"/>
  <c r="K44" i="2"/>
  <c r="K20" i="2"/>
  <c r="L43" i="2"/>
  <c r="P40" i="7"/>
  <c r="P42" i="7"/>
  <c r="P43" i="7" s="1"/>
  <c r="P59" i="7" s="1"/>
  <c r="Q39" i="7"/>
  <c r="Q79" i="7"/>
  <c r="Q81" i="7" s="1"/>
  <c r="O40" i="7"/>
  <c r="O42" i="7"/>
  <c r="O43" i="7" s="1"/>
  <c r="O59" i="7" s="1"/>
  <c r="AN35" i="13"/>
  <c r="AN64" i="13"/>
  <c r="AR34" i="13"/>
  <c r="R80" i="7"/>
  <c r="R32" i="7"/>
  <c r="L44" i="2" l="1"/>
  <c r="L20" i="2"/>
  <c r="O50" i="7"/>
  <c r="R79" i="7"/>
  <c r="R81" i="7" s="1"/>
  <c r="R39" i="7"/>
  <c r="O51" i="7"/>
  <c r="O56" i="7"/>
  <c r="O57" i="7" s="1"/>
  <c r="O60" i="7"/>
  <c r="O62" i="7" s="1"/>
  <c r="O63" i="7" s="1"/>
  <c r="O71" i="7" s="1"/>
  <c r="O135" i="7"/>
  <c r="O154" i="7" s="1"/>
  <c r="Q42" i="7"/>
  <c r="Q43" i="7" s="1"/>
  <c r="Q59" i="7" s="1"/>
  <c r="Q40" i="7"/>
  <c r="P50" i="7"/>
  <c r="Q50" i="7" l="1"/>
  <c r="F8" i="3"/>
  <c r="F12" i="3" s="1"/>
  <c r="F17" i="3"/>
  <c r="F20" i="3" s="1"/>
  <c r="J22" i="2"/>
  <c r="J47" i="2" s="1"/>
  <c r="G8" i="3"/>
  <c r="G12" i="3" s="1"/>
  <c r="K22" i="2"/>
  <c r="K47" i="2" s="1"/>
  <c r="G17" i="3"/>
  <c r="G20" i="3" s="1"/>
  <c r="E8" i="3"/>
  <c r="E12" i="3" s="1"/>
  <c r="E17" i="3"/>
  <c r="E20" i="3" s="1"/>
  <c r="I26" i="2"/>
  <c r="I22" i="2"/>
  <c r="I47" i="2" s="1"/>
  <c r="I24" i="2"/>
  <c r="I25" i="2"/>
  <c r="Q135" i="7"/>
  <c r="Q154" i="7" s="1"/>
  <c r="Q155" i="7" s="1"/>
  <c r="Q56" i="7"/>
  <c r="Q51" i="7"/>
  <c r="Q60" i="7"/>
  <c r="Q62" i="7" s="1"/>
  <c r="O155" i="7"/>
  <c r="R42" i="7"/>
  <c r="R43" i="7" s="1"/>
  <c r="R59" i="7" s="1"/>
  <c r="R40" i="7"/>
  <c r="P135" i="7"/>
  <c r="P154" i="7" s="1"/>
  <c r="P155" i="7" s="1"/>
  <c r="P51" i="7"/>
  <c r="P60" i="7"/>
  <c r="P62" i="7" s="1"/>
  <c r="P63" i="7" s="1"/>
  <c r="P71" i="7" s="1"/>
  <c r="P56" i="7"/>
  <c r="P57" i="7" s="1"/>
  <c r="O75" i="7"/>
  <c r="O180" i="7" s="1"/>
  <c r="O72" i="7"/>
  <c r="O76" i="7"/>
  <c r="O77" i="7" s="1"/>
  <c r="R50" i="7" l="1"/>
  <c r="P72" i="7"/>
  <c r="P75" i="7"/>
  <c r="P180" i="7" s="1"/>
  <c r="P185" i="7" s="1"/>
  <c r="P189" i="7" s="1"/>
  <c r="P76" i="7"/>
  <c r="P77" i="7" s="1"/>
  <c r="R135" i="7"/>
  <c r="R154" i="7" s="1"/>
  <c r="R155" i="7" s="1"/>
  <c r="R51" i="7"/>
  <c r="R56" i="7"/>
  <c r="R57" i="7" s="1"/>
  <c r="R60" i="7"/>
  <c r="R62" i="7" s="1"/>
  <c r="R63" i="7" s="1"/>
  <c r="Q57" i="7"/>
  <c r="O185" i="7"/>
  <c r="O189" i="7" s="1"/>
  <c r="O122" i="7"/>
  <c r="Q63" i="7"/>
  <c r="Q71" i="7" s="1"/>
  <c r="H8" i="3" l="1"/>
  <c r="H12" i="3" s="1"/>
  <c r="L22" i="2"/>
  <c r="L47" i="2" s="1"/>
  <c r="H17" i="3"/>
  <c r="H20" i="3" s="1"/>
  <c r="R71" i="7"/>
  <c r="Q76" i="7"/>
  <c r="Q77" i="7" s="1"/>
  <c r="Q72" i="7"/>
  <c r="Q75" i="7"/>
  <c r="Q180" i="7" s="1"/>
  <c r="Q185" i="7" s="1"/>
  <c r="Q189" i="7" s="1"/>
  <c r="O125" i="7"/>
  <c r="P122" i="7"/>
  <c r="O127" i="7" l="1"/>
  <c r="O88" i="7" s="1"/>
  <c r="I54" i="2"/>
  <c r="I53" i="2"/>
  <c r="I23" i="2"/>
  <c r="J26" i="2"/>
  <c r="J24" i="2"/>
  <c r="J25" i="2"/>
  <c r="Q122" i="7"/>
  <c r="P125" i="7"/>
  <c r="O37" i="7"/>
  <c r="O191" i="7"/>
  <c r="O192" i="7" s="1"/>
  <c r="O96" i="7"/>
  <c r="R72" i="7"/>
  <c r="R76" i="7"/>
  <c r="R77" i="7" s="1"/>
  <c r="R75" i="7"/>
  <c r="R180" i="7" s="1"/>
  <c r="R185" i="7" s="1"/>
  <c r="R189" i="7" s="1"/>
  <c r="P127" i="7" l="1"/>
  <c r="P88" i="7" s="1"/>
  <c r="J53" i="2"/>
  <c r="J54" i="2"/>
  <c r="J23" i="2"/>
  <c r="K24" i="2"/>
  <c r="K26" i="2"/>
  <c r="K25" i="2"/>
  <c r="O104" i="7"/>
  <c r="E22" i="3"/>
  <c r="I29" i="2"/>
  <c r="I30" i="2"/>
  <c r="P37" i="7"/>
  <c r="P191" i="7"/>
  <c r="P192" i="7" s="1"/>
  <c r="P96" i="7"/>
  <c r="R122" i="7"/>
  <c r="R125" i="7" s="1"/>
  <c r="Q125" i="7"/>
  <c r="Q127" i="7" l="1"/>
  <c r="Q88" i="7" s="1"/>
  <c r="K54" i="2"/>
  <c r="K53" i="2"/>
  <c r="K23" i="2"/>
  <c r="L25" i="2"/>
  <c r="L26" i="2"/>
  <c r="L24" i="2"/>
  <c r="P104" i="7"/>
  <c r="F22" i="3"/>
  <c r="F23" i="3" s="1"/>
  <c r="F28" i="3" s="1"/>
  <c r="F30" i="3" s="1"/>
  <c r="J29" i="2"/>
  <c r="J30" i="2"/>
  <c r="R127" i="7"/>
  <c r="R88" i="7" s="1"/>
  <c r="R37" i="7" s="1"/>
  <c r="L54" i="2"/>
  <c r="L53" i="2"/>
  <c r="L23" i="2"/>
  <c r="E23" i="3"/>
  <c r="E28" i="3" s="1"/>
  <c r="E30" i="3" s="1"/>
  <c r="O129" i="7"/>
  <c r="I42" i="2"/>
  <c r="I49" i="2" s="1"/>
  <c r="I37" i="2"/>
  <c r="I48" i="2" s="1"/>
  <c r="I50" i="2" s="1"/>
  <c r="I41" i="2"/>
  <c r="I21" i="2"/>
  <c r="Q96" i="7"/>
  <c r="Q191" i="7"/>
  <c r="Q192" i="7" s="1"/>
  <c r="Q37" i="7"/>
  <c r="R96" i="7" l="1"/>
  <c r="R191" i="7"/>
  <c r="R192" i="7" s="1"/>
  <c r="Q104" i="7"/>
  <c r="G22" i="3"/>
  <c r="K29" i="2"/>
  <c r="K30" i="2"/>
  <c r="P129" i="7"/>
  <c r="J42" i="2"/>
  <c r="J49" i="2" s="1"/>
  <c r="J37" i="2"/>
  <c r="J48" i="2" s="1"/>
  <c r="J41" i="2"/>
  <c r="J21" i="2"/>
  <c r="AG504" i="11"/>
  <c r="AG507" i="11" s="1"/>
  <c r="AH504" i="11"/>
  <c r="AJ504" i="11" s="1"/>
  <c r="J50" i="2" l="1"/>
  <c r="G23" i="3"/>
  <c r="G28" i="3" s="1"/>
  <c r="G30" i="3" s="1"/>
  <c r="Q129" i="7"/>
  <c r="K42" i="2"/>
  <c r="K49" i="2" s="1"/>
  <c r="K37" i="2"/>
  <c r="K48" i="2" s="1"/>
  <c r="K50" i="2" s="1"/>
  <c r="K41" i="2"/>
  <c r="K21" i="2"/>
  <c r="R104" i="7"/>
  <c r="H22" i="3"/>
  <c r="H23" i="3" s="1"/>
  <c r="H28" i="3" s="1"/>
  <c r="H29" i="3" s="1"/>
  <c r="H30" i="3" s="1"/>
  <c r="C33" i="3" s="1"/>
  <c r="L29" i="2"/>
  <c r="L30" i="2"/>
  <c r="AG505" i="11"/>
  <c r="AM507" i="11"/>
  <c r="AO507" i="11"/>
  <c r="AJ507" i="11"/>
  <c r="AH507" i="11"/>
  <c r="AL507" i="11"/>
  <c r="AH505" i="11"/>
  <c r="C35" i="3" l="1"/>
  <c r="C37" i="3" s="1"/>
  <c r="C46" i="3" s="1"/>
  <c r="D43" i="3"/>
  <c r="R129" i="7"/>
  <c r="L42" i="2"/>
  <c r="L49" i="2" s="1"/>
  <c r="L37" i="2"/>
  <c r="L48" i="2" s="1"/>
  <c r="L41" i="2"/>
  <c r="L21" i="2"/>
  <c r="AG508" i="11"/>
  <c r="AL508" i="11"/>
  <c r="AJ505" i="11"/>
  <c r="AH508" i="11"/>
  <c r="AM508" i="11"/>
  <c r="L50" i="2" l="1"/>
  <c r="B3" i="16"/>
  <c r="C48" i="3"/>
  <c r="C49" i="3" s="1"/>
  <c r="B4" i="16" s="1"/>
  <c r="AO508" i="11"/>
  <c r="AJ508" i="11"/>
  <c r="CX397" i="11" l="1"/>
  <c r="DC400" i="11" s="1"/>
  <c r="DC398" i="11"/>
  <c r="CX398" i="11"/>
  <c r="CX503" i="11"/>
  <c r="DB503" i="11" s="1"/>
  <c r="DC506" i="11" l="1"/>
  <c r="CX506" i="11"/>
  <c r="CX505" i="11"/>
  <c r="CX508" i="11" s="1"/>
  <c r="DG506" i="11"/>
  <c r="DB506" i="11"/>
  <c r="CX400" i="11"/>
  <c r="DC508" i="11" l="1"/>
  <c r="V15" i="13"/>
  <c r="DB505" i="11"/>
  <c r="DG508" i="11" l="1"/>
  <c r="DB508" i="11"/>
  <c r="V45" i="13"/>
  <c r="AA56" i="13"/>
  <c r="V56" i="13"/>
  <c r="V41" i="13"/>
  <c r="V47" i="13"/>
  <c r="V17" i="13"/>
  <c r="Z17" i="13" s="1"/>
  <c r="V43" i="13"/>
  <c r="V49" i="13"/>
  <c r="V44" i="13"/>
  <c r="V40" i="13"/>
  <c r="V48" i="13"/>
  <c r="V50" i="13"/>
  <c r="V46" i="13"/>
  <c r="V39" i="13" l="1"/>
  <c r="V58" i="13"/>
  <c r="V20" i="13"/>
  <c r="AA58" i="13"/>
  <c r="Z48" i="13"/>
  <c r="Z47" i="13"/>
  <c r="Z40" i="13"/>
  <c r="Z56" i="13"/>
  <c r="Z46" i="13"/>
  <c r="AE56" i="13"/>
  <c r="F132" i="17"/>
  <c r="Z43" i="13"/>
  <c r="Z41" i="13"/>
  <c r="V42" i="13" l="1"/>
  <c r="V29" i="13"/>
  <c r="Z20" i="13"/>
  <c r="V61" i="13"/>
  <c r="AA61" i="13"/>
  <c r="AE58" i="13"/>
  <c r="Z58" i="13"/>
  <c r="Z39" i="13"/>
  <c r="V62" i="13" l="1"/>
  <c r="V33" i="13"/>
  <c r="V52" i="13"/>
  <c r="V31" i="13" s="1"/>
  <c r="AA62" i="13"/>
  <c r="V51" i="13"/>
  <c r="Z42" i="13"/>
  <c r="Z61" i="13"/>
  <c r="AE61" i="13"/>
  <c r="V53" i="13" l="1"/>
  <c r="V34" i="13"/>
  <c r="AA64" i="13" l="1"/>
  <c r="V64" i="13"/>
  <c r="Z22" i="13"/>
  <c r="Z44" i="13" s="1"/>
  <c r="Y44" i="13"/>
  <c r="Y45" i="13"/>
  <c r="Y27" i="13"/>
  <c r="Y28" i="13" s="1"/>
  <c r="Z23" i="13"/>
  <c r="Z45" i="13" s="1"/>
  <c r="Y29" i="13" l="1"/>
  <c r="Y50" i="13"/>
  <c r="Z27" i="13"/>
  <c r="Y49" i="13"/>
  <c r="Z28" i="13" l="1"/>
  <c r="Z49" i="13"/>
  <c r="Y51" i="13"/>
  <c r="Y33" i="13"/>
  <c r="Y52" i="13"/>
  <c r="Y31" i="13" s="1"/>
  <c r="AD62" i="13"/>
  <c r="Y62" i="13"/>
  <c r="Y34" i="13" l="1"/>
  <c r="Y53" i="13"/>
  <c r="Z50" i="13"/>
  <c r="Z29" i="13"/>
  <c r="Z62" i="13" l="1"/>
  <c r="AE62" i="13"/>
  <c r="Z52" i="13"/>
  <c r="Z31" i="13" s="1"/>
  <c r="Z33" i="13"/>
  <c r="Z51" i="13"/>
  <c r="AD64" i="13"/>
  <c r="Y64" i="13"/>
  <c r="Z34" i="13" l="1"/>
  <c r="F133" i="17"/>
  <c r="Z53" i="13"/>
  <c r="Z35" i="13" l="1"/>
  <c r="AE64" i="13"/>
  <c r="Z64" i="13"/>
  <c r="AJ252" i="11" l="1"/>
  <c r="AJ249" i="11"/>
  <c r="AO252" i="11"/>
  <c r="BX271" i="11"/>
  <c r="BX268" i="11"/>
  <c r="BY391" i="11"/>
  <c r="BT388" i="11"/>
  <c r="BT391" i="11"/>
  <c r="BT271" i="11"/>
  <c r="BT268" i="11"/>
  <c r="AT339" i="11"/>
  <c r="AT336" i="11"/>
  <c r="AY339" i="11"/>
  <c r="BH508" i="11"/>
  <c r="BH505" i="11"/>
  <c r="BM508" i="11"/>
  <c r="BI277" i="11"/>
  <c r="BI274" i="11"/>
  <c r="BN277" i="11"/>
  <c r="BI400" i="11"/>
  <c r="BI397" i="11"/>
  <c r="BN400" i="11"/>
  <c r="BN276" i="11"/>
  <c r="BI273" i="11"/>
  <c r="BI276" i="11"/>
  <c r="AP341" i="11"/>
  <c r="AU341" i="11"/>
  <c r="BX266" i="11"/>
  <c r="BX269" i="11"/>
  <c r="BE277" i="11"/>
  <c r="BE274" i="11"/>
  <c r="BJ277" i="11"/>
  <c r="BN101" i="11"/>
  <c r="BI98" i="11"/>
  <c r="BI101" i="11"/>
  <c r="BM100" i="11"/>
  <c r="AO335" i="11"/>
  <c r="AJ332" i="11"/>
  <c r="AJ335" i="11"/>
  <c r="AJ251" i="11"/>
  <c r="AJ248" i="11"/>
  <c r="AO251" i="11"/>
  <c r="BN508" i="11"/>
  <c r="BI505" i="11"/>
  <c r="BI508" i="11"/>
  <c r="BT389" i="11"/>
  <c r="BY389" i="11"/>
  <c r="AU339" i="11"/>
  <c r="BI507" i="11"/>
  <c r="BI504" i="11"/>
  <c r="BN507" i="11"/>
  <c r="CC391" i="11"/>
  <c r="BX388" i="11"/>
  <c r="BX391" i="11"/>
  <c r="BJ400" i="11"/>
  <c r="BE397" i="11"/>
  <c r="BE400" i="11"/>
  <c r="AO334" i="11"/>
  <c r="AJ331" i="11"/>
  <c r="AJ334" i="11"/>
  <c r="BN399" i="11"/>
  <c r="BI396" i="11"/>
  <c r="BI399" i="11"/>
  <c r="BN100" i="11"/>
  <c r="BI97" i="11"/>
  <c r="BI100" i="11"/>
  <c r="BE399" i="11"/>
  <c r="BJ399" i="11"/>
  <c r="BJ276" i="11"/>
  <c r="BE507" i="11"/>
  <c r="BJ507" i="11"/>
  <c r="AG334" i="11"/>
  <c r="AG331" i="11"/>
  <c r="AL334" i="11"/>
  <c r="BJ508" i="11"/>
  <c r="BE276" i="11"/>
  <c r="BE273" i="11"/>
  <c r="BE396" i="11"/>
  <c r="BE504" i="11"/>
  <c r="BE505" i="11"/>
  <c r="BE508" i="11"/>
  <c r="AH251" i="11"/>
  <c r="AH248" i="11"/>
  <c r="AM251" i="11"/>
  <c r="AY341" i="11"/>
  <c r="AP339" i="11"/>
  <c r="AP336" i="11"/>
  <c r="AP338" i="11"/>
  <c r="AT338" i="11"/>
  <c r="AT341" i="11"/>
  <c r="BH399" i="11"/>
  <c r="BM399" i="11"/>
  <c r="BH400" i="11"/>
  <c r="BH397" i="11"/>
  <c r="BM400" i="11"/>
  <c r="BH507" i="11"/>
  <c r="BH100" i="11"/>
  <c r="BH97" i="11"/>
  <c r="BH396" i="11"/>
  <c r="BH504" i="11"/>
  <c r="BM507" i="11"/>
  <c r="CX222" i="11"/>
  <c r="CX220" i="11"/>
  <c r="CX217" i="11"/>
  <c r="CX219" i="11"/>
  <c r="V14" i="13"/>
  <c r="CC389" i="11"/>
  <c r="BT269" i="11"/>
  <c r="BT266" i="11"/>
  <c r="BT386" i="11"/>
  <c r="BX386" i="11"/>
  <c r="BX389"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dconover</author>
    <author>John  Zecy</author>
  </authors>
  <commentList>
    <comment ref="F5" authorId="0" shapeId="0" xr:uid="{B3916143-50FB-A64C-B914-39DD5A047D49}">
      <text>
        <r>
          <rPr>
            <b/>
            <sz val="8"/>
            <color indexed="81"/>
            <rFont val="Tahoma"/>
            <family val="2"/>
          </rPr>
          <t>dconover:</t>
        </r>
        <r>
          <rPr>
            <sz val="8"/>
            <color indexed="81"/>
            <rFont val="Tahoma"/>
            <family val="2"/>
          </rPr>
          <t xml:space="preserve">
Includes sales as part of Medco</t>
        </r>
      </text>
    </comment>
    <comment ref="BN505" authorId="1" shapeId="0" xr:uid="{7250F957-2078-C047-BFFE-917F465FEC66}">
      <text>
        <r>
          <rPr>
            <b/>
            <sz val="9"/>
            <color indexed="81"/>
            <rFont val="Tahoma"/>
            <family val="2"/>
          </rPr>
          <t>John Zecy:</t>
        </r>
        <r>
          <rPr>
            <sz val="9"/>
            <color indexed="81"/>
            <rFont val="Tahoma"/>
            <family val="2"/>
          </rPr>
          <t xml:space="preserve">
adjusted for rounding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<sst xmlns="http://schemas.openxmlformats.org/spreadsheetml/2006/main" count="2235" uniqueCount="1034">
  <si>
    <t>Merck &amp; Co.</t>
  </si>
  <si>
    <t xml:space="preserve"> Tura Ventola Franch</t>
  </si>
  <si>
    <t xml:space="preserve"> Financial Models</t>
  </si>
  <si>
    <t>Financial Ratios</t>
  </si>
  <si>
    <t>Liquidity (Safety)</t>
  </si>
  <si>
    <t xml:space="preserve">  Current ratio</t>
  </si>
  <si>
    <t xml:space="preserve">  Quick ratio</t>
  </si>
  <si>
    <t xml:space="preserve">  Accounts Receivable Turnover</t>
  </si>
  <si>
    <t xml:space="preserve">   Inventory Turnover</t>
  </si>
  <si>
    <t xml:space="preserve">   Days in Inventory</t>
  </si>
  <si>
    <t xml:space="preserve">   Total Asset Turnover</t>
  </si>
  <si>
    <t xml:space="preserve">   Total Fixed Asset Turnover</t>
  </si>
  <si>
    <t xml:space="preserve">   Operating profit margin (%)</t>
  </si>
  <si>
    <t xml:space="preserve">   Return on Sales, net profit margin (%)</t>
  </si>
  <si>
    <t xml:space="preserve">   Return on Equity (%)</t>
  </si>
  <si>
    <t xml:space="preserve">   Debt Ratio</t>
  </si>
  <si>
    <t xml:space="preserve">   Asset to Equity (Equity Multiplier)</t>
  </si>
  <si>
    <t xml:space="preserve">   Current Liabilities to Total Debt Ratio</t>
  </si>
  <si>
    <t xml:space="preserve">   Interest Coverage</t>
  </si>
  <si>
    <t xml:space="preserve">   Asset Turnover</t>
  </si>
  <si>
    <t xml:space="preserve">   Asset to Equity</t>
  </si>
  <si>
    <t xml:space="preserve">   Debt to Equity</t>
  </si>
  <si>
    <t xml:space="preserve">   Long-term Debt to Equity</t>
  </si>
  <si>
    <t xml:space="preserve">   Gross profit margin</t>
  </si>
  <si>
    <t xml:space="preserve">   Payables turnover</t>
  </si>
  <si>
    <t xml:space="preserve">   Days of Payables</t>
  </si>
  <si>
    <t xml:space="preserve">   Cash conversion cycle (Net operating cycle)</t>
  </si>
  <si>
    <t>Productivity (Efficiency)</t>
  </si>
  <si>
    <t>Profitability (Performance)</t>
  </si>
  <si>
    <t>Insolvency (Leverage)</t>
  </si>
  <si>
    <t xml:space="preserve">  Days in Receivable</t>
  </si>
  <si>
    <t>*projected</t>
  </si>
  <si>
    <t>Additional Ratios</t>
  </si>
  <si>
    <t>DuPont Analysis (ROE break-down)</t>
  </si>
  <si>
    <t>($ millions)</t>
  </si>
  <si>
    <t>2021A</t>
  </si>
  <si>
    <t>2022A</t>
  </si>
  <si>
    <t>Q1</t>
  </si>
  <si>
    <t>Q2</t>
  </si>
  <si>
    <t>Q3</t>
  </si>
  <si>
    <t>Q4</t>
  </si>
  <si>
    <t>Q1A</t>
  </si>
  <si>
    <t>Q2A</t>
  </si>
  <si>
    <t>Q3A</t>
  </si>
  <si>
    <t>Q4A</t>
  </si>
  <si>
    <t>2023E</t>
  </si>
  <si>
    <t>2024E</t>
  </si>
  <si>
    <t>2025E</t>
  </si>
  <si>
    <t>2026E</t>
  </si>
  <si>
    <t>2027E</t>
  </si>
  <si>
    <t>Oncology</t>
  </si>
  <si>
    <t>Keytruda/Pembrolizumab (PD-1) US</t>
  </si>
  <si>
    <t>Pembrolizumab International</t>
  </si>
  <si>
    <t xml:space="preserve">  Pembrolizumab Worldwide</t>
  </si>
  <si>
    <t>% Growth US</t>
  </si>
  <si>
    <t>% Growth International</t>
  </si>
  <si>
    <t xml:space="preserve">  % Growth Worldwide</t>
  </si>
  <si>
    <t>Emend US (80% IV)</t>
  </si>
  <si>
    <t>Emend International</t>
  </si>
  <si>
    <t xml:space="preserve">  Emend Worldwide</t>
  </si>
  <si>
    <t>Lynparza US</t>
  </si>
  <si>
    <t>Lynparza Intl</t>
  </si>
  <si>
    <t xml:space="preserve">  Lynparza Worldwide</t>
  </si>
  <si>
    <t>Lenvima US</t>
  </si>
  <si>
    <t>Lenvima Intl</t>
  </si>
  <si>
    <t xml:space="preserve">  Lenvima Worldwide</t>
  </si>
  <si>
    <t>Reblozyl US</t>
  </si>
  <si>
    <t>Reblozyl Intl</t>
  </si>
  <si>
    <t xml:space="preserve">  Reblozyl Worldwide</t>
  </si>
  <si>
    <t>Temodar US</t>
  </si>
  <si>
    <t>Temodar International</t>
  </si>
  <si>
    <t xml:space="preserve">  Temodar Worldwide</t>
  </si>
  <si>
    <t>Vaccines</t>
  </si>
  <si>
    <t>Gardasil/V503 (HPV Vaccine) US</t>
  </si>
  <si>
    <t>Gardasil International</t>
  </si>
  <si>
    <t xml:space="preserve">  Gardasil Wordlwide</t>
  </si>
  <si>
    <t>Varivax/ProQuad,Viral Vaccines US</t>
  </si>
  <si>
    <t>Viral Vaccines International</t>
  </si>
  <si>
    <t xml:space="preserve">  Viral Vaccines Worldwide</t>
  </si>
  <si>
    <t>RotaTeq US</t>
  </si>
  <si>
    <t>RotaTeq International</t>
  </si>
  <si>
    <t xml:space="preserve">  RotaTeq Worldwide</t>
  </si>
  <si>
    <t>Pneumovax Vaccine US</t>
  </si>
  <si>
    <t>Pneumovax Vaccine International</t>
  </si>
  <si>
    <t xml:space="preserve">  Pneumovax Vaccine World.</t>
  </si>
  <si>
    <t>Vaqta US (Hep A Vaccine)</t>
  </si>
  <si>
    <t>Vaqta  International</t>
  </si>
  <si>
    <t xml:space="preserve">   Vaqta  Worldwide</t>
  </si>
  <si>
    <t>Zostavax US - Herpes Zoster Vaccine</t>
  </si>
  <si>
    <t>Zostavax Intl</t>
  </si>
  <si>
    <t xml:space="preserve">  Zostavax Worldwide</t>
  </si>
  <si>
    <t>Hospital Acute Care</t>
  </si>
  <si>
    <t>Bridion US</t>
  </si>
  <si>
    <t>Bridion International</t>
  </si>
  <si>
    <t xml:space="preserve"> Bridion World.</t>
  </si>
  <si>
    <t xml:space="preserve"> % Growth Worldwide</t>
  </si>
  <si>
    <t>Dificid US</t>
  </si>
  <si>
    <t>Dificid Int'l</t>
  </si>
  <si>
    <t>Dificid Worldwide</t>
  </si>
  <si>
    <t>Noxafil US</t>
  </si>
  <si>
    <t>Noxafil Int'l</t>
  </si>
  <si>
    <t>Noxafil Worldwide</t>
  </si>
  <si>
    <t>Primaxin US</t>
  </si>
  <si>
    <t>Primaxin International</t>
  </si>
  <si>
    <t xml:space="preserve">  Primaxin Worldwide</t>
  </si>
  <si>
    <t>Prevymic US (cytomegalovirus (CMV) infection)</t>
  </si>
  <si>
    <t>Prevymis International</t>
  </si>
  <si>
    <t xml:space="preserve">  Prevymis Worldwide</t>
  </si>
  <si>
    <t xml:space="preserve">Cancidas US </t>
  </si>
  <si>
    <t>Cancidas International</t>
  </si>
  <si>
    <t xml:space="preserve">  Cancidas Worldwide</t>
  </si>
  <si>
    <t xml:space="preserve">Invanz US  </t>
  </si>
  <si>
    <t>Invanz International</t>
  </si>
  <si>
    <t xml:space="preserve">  Invanz Worldwide</t>
  </si>
  <si>
    <t>Zerbaxa US</t>
  </si>
  <si>
    <t>Zerbaxa Intl</t>
  </si>
  <si>
    <t xml:space="preserve">  Zerbaxa Total</t>
  </si>
  <si>
    <t>Cubist/Cubicin</t>
  </si>
  <si>
    <t>Cubicin Intl</t>
  </si>
  <si>
    <t xml:space="preserve">  Cubicin Total</t>
  </si>
  <si>
    <t>Immunology</t>
  </si>
  <si>
    <t>Simponi/Golimumab (No rights) US</t>
  </si>
  <si>
    <t xml:space="preserve">Simponi Intl (PH III Inflammatory) </t>
  </si>
  <si>
    <t xml:space="preserve">  Simponi Worldwide</t>
  </si>
  <si>
    <t>Remicade US</t>
  </si>
  <si>
    <t>Remicade International</t>
  </si>
  <si>
    <t xml:space="preserve">  Remicade Worldwide</t>
  </si>
  <si>
    <t xml:space="preserve">  % Growth Worlwide</t>
  </si>
  <si>
    <t>Neuroscience</t>
  </si>
  <si>
    <t>Belsomra US</t>
  </si>
  <si>
    <t>Belsomra Int'l</t>
  </si>
  <si>
    <t>Belsomra Worldwide</t>
  </si>
  <si>
    <t>Virology</t>
  </si>
  <si>
    <t>Lagevrio/Mulnupiravir US</t>
  </si>
  <si>
    <t>Mulnupiravir Int'l</t>
  </si>
  <si>
    <t>Mulnupiravir WorldWide</t>
  </si>
  <si>
    <t>Isentress (integrase inh, HIV) US</t>
  </si>
  <si>
    <t>Isentress Intl.</t>
  </si>
  <si>
    <t xml:space="preserve">  Isentress Worldwide</t>
  </si>
  <si>
    <t>Zepatier US: MK-5172/MK-8742 (Hep. C) plus IDIX combos</t>
  </si>
  <si>
    <t>Zepatier Int'l</t>
  </si>
  <si>
    <t>Zepatier Worldwide</t>
  </si>
  <si>
    <t xml:space="preserve">Cardiovascular </t>
  </si>
  <si>
    <t>Zetia US</t>
  </si>
  <si>
    <t>Zetia International</t>
  </si>
  <si>
    <t xml:space="preserve">  Total Zetia Worldwide</t>
  </si>
  <si>
    <t>Vytorin US</t>
  </si>
  <si>
    <t>Vytorin International</t>
  </si>
  <si>
    <t xml:space="preserve">  Vytorin Worldwide</t>
  </si>
  <si>
    <t>Atozet US (Zetia/Lipitor)</t>
  </si>
  <si>
    <t>Atozet International</t>
  </si>
  <si>
    <t>Atozet Worldwide</t>
  </si>
  <si>
    <t>Adempas/Verquvo US</t>
  </si>
  <si>
    <t>Adempas International</t>
  </si>
  <si>
    <t>Adempas Worldwide</t>
  </si>
  <si>
    <t>Diabetes &amp; Obesity</t>
  </si>
  <si>
    <t>Januvia+Janumet /DPP4 Inhibitor US</t>
  </si>
  <si>
    <t>DPP4 Inhibitor International</t>
  </si>
  <si>
    <t xml:space="preserve">  DPP4 Inhibitor Worldwide</t>
  </si>
  <si>
    <t>Women's Health &amp; Endocrine</t>
  </si>
  <si>
    <t>Nuvaring US</t>
  </si>
  <si>
    <t>Nuvaring International</t>
  </si>
  <si>
    <t xml:space="preserve">  Nuvaring World.</t>
  </si>
  <si>
    <t>Implanon US (contraceptive)</t>
  </si>
  <si>
    <t>Implanon International</t>
  </si>
  <si>
    <t xml:space="preserve">  Implanon World.</t>
  </si>
  <si>
    <t>Diversified Brands</t>
  </si>
  <si>
    <t xml:space="preserve">Singulair US </t>
  </si>
  <si>
    <t>Singulair International</t>
  </si>
  <si>
    <t xml:space="preserve">  Singulair Worldwide</t>
  </si>
  <si>
    <t xml:space="preserve">Cozaar/ Hyzaar US </t>
  </si>
  <si>
    <t>Cozaar/ Hyzaar International</t>
  </si>
  <si>
    <t xml:space="preserve">  Cozaar/ Hyzaar Worldwide</t>
  </si>
  <si>
    <t>Arcoxia US</t>
  </si>
  <si>
    <t>Arcoxia International</t>
  </si>
  <si>
    <t xml:space="preserve">  Arcoxia Worldwide</t>
  </si>
  <si>
    <t xml:space="preserve">Nasonex US </t>
  </si>
  <si>
    <t xml:space="preserve">Nasonex International </t>
  </si>
  <si>
    <t xml:space="preserve">  Nasonex Worldwide</t>
  </si>
  <si>
    <t>Follistim US (Reproductive drug)</t>
  </si>
  <si>
    <t>Follistim International</t>
  </si>
  <si>
    <t xml:space="preserve">  Follistim World.</t>
  </si>
  <si>
    <t xml:space="preserve">Fosamax US </t>
  </si>
  <si>
    <t>Fosamax International</t>
  </si>
  <si>
    <t xml:space="preserve">  Fosamax Worldwide</t>
  </si>
  <si>
    <t>Dulera (Approved Asthma, PH III COPD) US</t>
  </si>
  <si>
    <t>Mometasonel/For. International</t>
  </si>
  <si>
    <t xml:space="preserve">  Mometasonel/For. Worldwide</t>
  </si>
  <si>
    <t xml:space="preserve">Clarinex US** </t>
  </si>
  <si>
    <t>Clarinex International</t>
  </si>
  <si>
    <t xml:space="preserve">  Clarinex Worldwide</t>
  </si>
  <si>
    <t>Propecia US</t>
  </si>
  <si>
    <t>Propecia International</t>
  </si>
  <si>
    <t xml:space="preserve">  Propecia Worldwide</t>
  </si>
  <si>
    <t xml:space="preserve">Asmanex US </t>
  </si>
  <si>
    <t>Asmanex International</t>
  </si>
  <si>
    <t xml:space="preserve">  Asmanex Worldwide</t>
  </si>
  <si>
    <t xml:space="preserve">Integrilin US </t>
  </si>
  <si>
    <t>Integrilin International</t>
  </si>
  <si>
    <t xml:space="preserve">  Integrilin Worldwide</t>
  </si>
  <si>
    <t>PEG Intron US</t>
  </si>
  <si>
    <t>PEG Intron International</t>
  </si>
  <si>
    <t xml:space="preserve">  PEG Intron Worldwide</t>
  </si>
  <si>
    <t>Avelox US</t>
  </si>
  <si>
    <t>Avelox Intl</t>
  </si>
  <si>
    <t xml:space="preserve">  Avelox WW</t>
  </si>
  <si>
    <t>Rebetol US</t>
  </si>
  <si>
    <t>Rebetol International</t>
  </si>
  <si>
    <t xml:space="preserve">  Rebetol Worldwide</t>
  </si>
  <si>
    <t xml:space="preserve">Crixivan/ Stocrin US </t>
  </si>
  <si>
    <t>Crixivan/ Stocrin International</t>
  </si>
  <si>
    <t xml:space="preserve">  Crixivan/ Stocrin Worldwide</t>
  </si>
  <si>
    <t>Mature Brands</t>
  </si>
  <si>
    <t xml:space="preserve">Claritin Rx US </t>
  </si>
  <si>
    <t xml:space="preserve">Claritin Rx International </t>
  </si>
  <si>
    <t xml:space="preserve">  Claritin Worldwide</t>
  </si>
  <si>
    <t>NA</t>
  </si>
  <si>
    <t xml:space="preserve">Zocor US </t>
  </si>
  <si>
    <t>Zocor International</t>
  </si>
  <si>
    <t xml:space="preserve">  Zocor Worldwide</t>
  </si>
  <si>
    <t>Vasotec/Vasoretic US</t>
  </si>
  <si>
    <t>Vasotec/Vasoretic International</t>
  </si>
  <si>
    <t xml:space="preserve">  Vasotec/Vasoretic Worldwide</t>
  </si>
  <si>
    <t xml:space="preserve">Proscar US </t>
  </si>
  <si>
    <t>Proscar International</t>
  </si>
  <si>
    <t xml:space="preserve">  Proscar Worldwide</t>
  </si>
  <si>
    <t xml:space="preserve">Proventil US </t>
  </si>
  <si>
    <t>Proventil International</t>
  </si>
  <si>
    <t xml:space="preserve">  Proventil Worldwide</t>
  </si>
  <si>
    <t>Neurosciences &amp; Ophthalmology</t>
  </si>
  <si>
    <t xml:space="preserve">Maxalt US  </t>
  </si>
  <si>
    <t>Maxalt International</t>
  </si>
  <si>
    <t xml:space="preserve">  Maxalt Worldwide</t>
  </si>
  <si>
    <t xml:space="preserve">Trusopt/Cosopt US </t>
  </si>
  <si>
    <t>Trusopt/Cosopt International</t>
  </si>
  <si>
    <t xml:space="preserve">  Trusopt/Cosopt Worldwide</t>
  </si>
  <si>
    <t xml:space="preserve">  Subutex International</t>
  </si>
  <si>
    <t xml:space="preserve">  % Growth International</t>
  </si>
  <si>
    <t>Remeron US (anti-depression)</t>
  </si>
  <si>
    <t>Remeron International</t>
  </si>
  <si>
    <t xml:space="preserve">  Remeron World.</t>
  </si>
  <si>
    <t xml:space="preserve">  Caelyx International</t>
  </si>
  <si>
    <t>Intron A US</t>
  </si>
  <si>
    <t>Intron A International</t>
  </si>
  <si>
    <t xml:space="preserve">  Intron A Worldwide</t>
  </si>
  <si>
    <t>Cerazette US (contraceptive)</t>
  </si>
  <si>
    <t>Cerazette International</t>
  </si>
  <si>
    <t xml:space="preserve">  Cerazette World.</t>
  </si>
  <si>
    <t>Victrelis/Boceprevir (PH III Hepatitis C) US</t>
  </si>
  <si>
    <t>Protease Inhibitor International</t>
  </si>
  <si>
    <t xml:space="preserve">  Protease Inhibitor Worldwide</t>
  </si>
  <si>
    <t>Other US</t>
  </si>
  <si>
    <t>Other Intl</t>
  </si>
  <si>
    <t xml:space="preserve">  Other Worldwide</t>
  </si>
  <si>
    <t>Rounding US</t>
  </si>
  <si>
    <t>Rounding Intil</t>
  </si>
  <si>
    <t xml:space="preserve">  Rounding WW</t>
  </si>
  <si>
    <t>Human Health US</t>
  </si>
  <si>
    <t>Human Health International</t>
  </si>
  <si>
    <t xml:space="preserve">  Human Health World.</t>
  </si>
  <si>
    <t>Livestock US</t>
  </si>
  <si>
    <t>Livestock International</t>
  </si>
  <si>
    <t xml:space="preserve">  Livestock World.</t>
  </si>
  <si>
    <t>Companion Animals US</t>
  </si>
  <si>
    <t>Companion Animals International</t>
  </si>
  <si>
    <t xml:space="preserve">  Companion Animals World.</t>
  </si>
  <si>
    <t>Animal Health US</t>
  </si>
  <si>
    <t>Animal Health International</t>
  </si>
  <si>
    <t xml:space="preserve">  Animal Health Worldwide</t>
  </si>
  <si>
    <t>Claritin/Claritin-D OTC US</t>
  </si>
  <si>
    <t>Claritin/Claritin-D OTC International</t>
  </si>
  <si>
    <t xml:space="preserve">  Claritin/Clar.-D OTC World.</t>
  </si>
  <si>
    <t>Other OTC US</t>
  </si>
  <si>
    <t>Other OTC International</t>
  </si>
  <si>
    <t xml:space="preserve">  Other OTC World.</t>
  </si>
  <si>
    <t>Consumer Care US</t>
  </si>
  <si>
    <t>Consumer Care International</t>
  </si>
  <si>
    <t xml:space="preserve">  OTC World.</t>
  </si>
  <si>
    <t>Astra US</t>
  </si>
  <si>
    <t>Astra International</t>
  </si>
  <si>
    <t xml:space="preserve">  Astra World.</t>
  </si>
  <si>
    <t>Other (Non Astra) US</t>
  </si>
  <si>
    <t>Other (Non Astra) International</t>
  </si>
  <si>
    <t xml:space="preserve">  Other World.</t>
  </si>
  <si>
    <t>Total Other US</t>
  </si>
  <si>
    <t>Total Other International</t>
  </si>
  <si>
    <t xml:space="preserve">  Total Other World.</t>
  </si>
  <si>
    <t>MK-3682 (hep C. Nuc) U.S.</t>
  </si>
  <si>
    <t>MK-3682 (hep C. Nuc) International</t>
  </si>
  <si>
    <t xml:space="preserve">  MK-3682 Worldwide</t>
  </si>
  <si>
    <t>MK-0364 (PH III Obesity) US</t>
  </si>
  <si>
    <t>MK-0364 International</t>
  </si>
  <si>
    <t xml:space="preserve">  MK-0364 Worldwide</t>
  </si>
  <si>
    <t>Omargliptin (DPP-IV weekly) US</t>
  </si>
  <si>
    <t>Omargliptin (DPP-IV weekly) International</t>
  </si>
  <si>
    <t xml:space="preserve">  Omarigliptin Worldwide</t>
  </si>
  <si>
    <t>Vericiguat (Heart failure) US</t>
  </si>
  <si>
    <t>(Bayer has OUS rights)</t>
  </si>
  <si>
    <t xml:space="preserve">  Vericiguat Worldwide</t>
  </si>
  <si>
    <t>ARQ 531 (BTK B-cell cancer) U.S.</t>
  </si>
  <si>
    <t>ARQ 531 International</t>
  </si>
  <si>
    <t xml:space="preserve">  ARQ 531 Worldwide</t>
  </si>
  <si>
    <t>Gefapixant (cough)</t>
  </si>
  <si>
    <t>Gefapixant International</t>
  </si>
  <si>
    <t xml:space="preserve">  Gefepixant Worldwide</t>
  </si>
  <si>
    <t>V114 (Pneumococcal Vaccine) US</t>
  </si>
  <si>
    <t>V114 International</t>
  </si>
  <si>
    <t xml:space="preserve">  V114 Worldwide</t>
  </si>
  <si>
    <t>Sotatercept (PAH from Acceleron)</t>
  </si>
  <si>
    <t>Sotatercept International</t>
  </si>
  <si>
    <t xml:space="preserve">  Sotatercept Worldwide</t>
  </si>
  <si>
    <t>Islatravir/MK-8591 (HIV) NRTI US</t>
  </si>
  <si>
    <t>MK-8591 (HIV) NRTI Intl.</t>
  </si>
  <si>
    <t xml:space="preserve">  MK-8591 WW</t>
  </si>
  <si>
    <t>PT2977 (cancer, renal lead from Peloton)</t>
  </si>
  <si>
    <t>PT2977 International</t>
  </si>
  <si>
    <t xml:space="preserve">  PT2977 WW.</t>
  </si>
  <si>
    <t>mRNA-4157/V940 PCV (Melanoma, Moderna 50/50 split) U.S.</t>
  </si>
  <si>
    <t>mRNA-4157/V940 PCV (Melanoma, Moderna 50/50 split) Intl.</t>
  </si>
  <si>
    <t xml:space="preserve">  mRNA</t>
  </si>
  <si>
    <t>Tukysa HER2+ tyrosine kinase inh US</t>
  </si>
  <si>
    <t>Tukysa International</t>
  </si>
  <si>
    <t xml:space="preserve">  Tukysa WW.</t>
  </si>
  <si>
    <t>Early Stage Pipeline</t>
  </si>
  <si>
    <t>Early Stage Pipeline Intl.</t>
  </si>
  <si>
    <t xml:space="preserve">  Early Stage Pipeline WW.</t>
  </si>
  <si>
    <t>Pipeline US</t>
  </si>
  <si>
    <t>Pipeline Intl.</t>
  </si>
  <si>
    <t xml:space="preserve">  Pipeline WW.</t>
  </si>
  <si>
    <t>Total MRK Sales US</t>
  </si>
  <si>
    <t>Total MRK Sales International</t>
  </si>
  <si>
    <t xml:space="preserve">  Total Sales Worldwide</t>
  </si>
  <si>
    <t>Vaccines WW</t>
  </si>
  <si>
    <t>Vaccines as % of total</t>
  </si>
  <si>
    <t>(Millions, except per share data)</t>
  </si>
  <si>
    <t>CAGR</t>
  </si>
  <si>
    <t>3 Yr.</t>
  </si>
  <si>
    <t>5 Yr.</t>
  </si>
  <si>
    <t>Balance Sheet: Cash</t>
  </si>
  <si>
    <t>Januvia/met</t>
  </si>
  <si>
    <t>Remicade</t>
  </si>
  <si>
    <t>Gardasil (HPV Vaccine)</t>
  </si>
  <si>
    <t>Insentress</t>
  </si>
  <si>
    <t>Keytruda</t>
  </si>
  <si>
    <t>Cozaar/Hyzaar (hypertension)</t>
  </si>
  <si>
    <t>Singulair (asthma and allergy)</t>
  </si>
  <si>
    <t>Revenue</t>
  </si>
  <si>
    <t xml:space="preserve">  Materials And Production</t>
  </si>
  <si>
    <t>Gross Profits</t>
  </si>
  <si>
    <t xml:space="preserve">  Marketing &amp; Administration</t>
  </si>
  <si>
    <t xml:space="preserve">  Research &amp; Development</t>
  </si>
  <si>
    <t>Operating Income</t>
  </si>
  <si>
    <t xml:space="preserve">  Equity Income From Affiliates</t>
  </si>
  <si>
    <t xml:space="preserve">    Interest Income</t>
  </si>
  <si>
    <t xml:space="preserve">    Interest Expense</t>
  </si>
  <si>
    <t xml:space="preserve">    Foreign Exchange</t>
  </si>
  <si>
    <t xml:space="preserve">    Minority Interests</t>
  </si>
  <si>
    <t xml:space="preserve">    Goodwill &amp; Intangibles</t>
  </si>
  <si>
    <t xml:space="preserve">    Other</t>
  </si>
  <si>
    <t xml:space="preserve">  Total Other Expense Net</t>
  </si>
  <si>
    <t>Pretax Income</t>
  </si>
  <si>
    <t xml:space="preserve">  Taxes</t>
  </si>
  <si>
    <t xml:space="preserve">  Tax Rate</t>
  </si>
  <si>
    <t xml:space="preserve">  Noncontolling Interests</t>
  </si>
  <si>
    <t>Net Income</t>
  </si>
  <si>
    <t>Diluted EPS</t>
  </si>
  <si>
    <t>GAAP EPS</t>
  </si>
  <si>
    <t>Diluted Shares</t>
  </si>
  <si>
    <t>Margin Analysis</t>
  </si>
  <si>
    <t xml:space="preserve">  Gross Margin</t>
  </si>
  <si>
    <t xml:space="preserve">  Operating Margin</t>
  </si>
  <si>
    <t xml:space="preserve">  Interest Income</t>
  </si>
  <si>
    <t xml:space="preserve">  Interest Expense</t>
  </si>
  <si>
    <t xml:space="preserve">  Foreign Exchange</t>
  </si>
  <si>
    <t xml:space="preserve">  Minority Interests</t>
  </si>
  <si>
    <t xml:space="preserve">  Goodwill &amp; Intangibles</t>
  </si>
  <si>
    <t xml:space="preserve">  Other</t>
  </si>
  <si>
    <t xml:space="preserve">  Total Other Expense</t>
  </si>
  <si>
    <t xml:space="preserve">  Pretax Margin</t>
  </si>
  <si>
    <t xml:space="preserve">  Net Margin</t>
  </si>
  <si>
    <t>Percentage Change</t>
  </si>
  <si>
    <t xml:space="preserve">  Revenue</t>
  </si>
  <si>
    <t xml:space="preserve">  COGS</t>
  </si>
  <si>
    <t xml:space="preserve">  Gross Profit</t>
  </si>
  <si>
    <t xml:space="preserve">  Operating Income</t>
  </si>
  <si>
    <t xml:space="preserve">  Pretax Income</t>
  </si>
  <si>
    <t xml:space="preserve">  Diluted Shares</t>
  </si>
  <si>
    <t xml:space="preserve">  EPS</t>
  </si>
  <si>
    <t>Income Statement</t>
  </si>
  <si>
    <t>Revenue Model</t>
  </si>
  <si>
    <t xml:space="preserve">   Revenue Growth %</t>
  </si>
  <si>
    <t>Cost of Goods Sold</t>
  </si>
  <si>
    <t xml:space="preserve">   COGS as % Sales</t>
  </si>
  <si>
    <t>Gross Profit</t>
  </si>
  <si>
    <t xml:space="preserve">   Gross Margin %</t>
  </si>
  <si>
    <t>Selling, General, and Administrative Expenses</t>
  </si>
  <si>
    <t xml:space="preserve">   SG&amp;A as % Sales</t>
  </si>
  <si>
    <t xml:space="preserve">   SG&amp;A % Growth</t>
  </si>
  <si>
    <t>Research &amp; Development</t>
  </si>
  <si>
    <t xml:space="preserve">   as % Sales</t>
  </si>
  <si>
    <t>Other Operating Expense (Income)</t>
  </si>
  <si>
    <t>Depreciation &amp; Amortization</t>
  </si>
  <si>
    <t xml:space="preserve">   D&amp;A as % Sales</t>
  </si>
  <si>
    <t>Operating Income (ex charges)</t>
  </si>
  <si>
    <t xml:space="preserve">   Operating Margin %</t>
  </si>
  <si>
    <t xml:space="preserve">   Operating Income Growth %</t>
  </si>
  <si>
    <t>Restructuring &amp; Other Cash Charges</t>
  </si>
  <si>
    <t>Impairment Charges</t>
  </si>
  <si>
    <t>Other Non-Cash (Income) / Charges</t>
  </si>
  <si>
    <t>Operating Income (incl charges)</t>
  </si>
  <si>
    <t>Interest Expense</t>
  </si>
  <si>
    <t xml:space="preserve">   Interest Expense as % Average Debt</t>
  </si>
  <si>
    <t>Interest Income</t>
  </si>
  <si>
    <t xml:space="preserve">   Interest Income as % Average Cash and Investments</t>
  </si>
  <si>
    <t>Pre-Tax Income</t>
  </si>
  <si>
    <t xml:space="preserve">   Pre-Tax Margin %</t>
  </si>
  <si>
    <t>Income Tax Expense</t>
  </si>
  <si>
    <t xml:space="preserve">   Income Tax as % Pre-Tax Income</t>
  </si>
  <si>
    <t>Other After-Tax Cash Gains (Losses)</t>
  </si>
  <si>
    <t>Other After-Tax Non-Cash Gains (Losses)</t>
  </si>
  <si>
    <t>(Minority Interest)</t>
  </si>
  <si>
    <t>(Preferred Dividends)</t>
  </si>
  <si>
    <t xml:space="preserve">   Net Income Margin %</t>
  </si>
  <si>
    <t>Weighted Average Diluted Shares Outstanding</t>
  </si>
  <si>
    <t>Year-End Diluted Shares Outstanding</t>
  </si>
  <si>
    <t>Diluted Earnings Per Share (GAAP)</t>
  </si>
  <si>
    <t xml:space="preserve">   EPS Growth %</t>
  </si>
  <si>
    <t>Adjustments to Net Income</t>
  </si>
  <si>
    <t>Adjusted Net Income</t>
  </si>
  <si>
    <t>Diluted Earnings Per Share (Adjusted)</t>
  </si>
  <si>
    <t xml:space="preserve">   Adjusted EPS Growth %</t>
  </si>
  <si>
    <t>Dividends</t>
  </si>
  <si>
    <t>Regular Dividends Per Share</t>
  </si>
  <si>
    <t xml:space="preserve">   Dividend Payout Ratio %</t>
  </si>
  <si>
    <t>Special Dividends Per Share</t>
  </si>
  <si>
    <t>(Total Common Dividends)</t>
  </si>
  <si>
    <t>Total Dividends Per Share</t>
  </si>
  <si>
    <t xml:space="preserve">   Dividend Per Share Growth %</t>
  </si>
  <si>
    <t>Adjustments to EBITDA</t>
  </si>
  <si>
    <t>EBITDA</t>
  </si>
  <si>
    <t xml:space="preserve">   Adjustments to EBITDA</t>
  </si>
  <si>
    <t>Adjusted EBITDA</t>
  </si>
  <si>
    <t>Cash and Equivalents</t>
  </si>
  <si>
    <t>Investments</t>
  </si>
  <si>
    <t>Accounts Receivable</t>
  </si>
  <si>
    <t xml:space="preserve">   Receivable Days (End of Year)</t>
  </si>
  <si>
    <t>Inventory</t>
  </si>
  <si>
    <t xml:space="preserve">   Inventory Days (End of Year)</t>
  </si>
  <si>
    <t>Deferred Tax Assets (Current)</t>
  </si>
  <si>
    <t>Other Short-Term Assets</t>
  </si>
  <si>
    <t>Current Assets</t>
  </si>
  <si>
    <t>Net Property, Plant, and Equipment</t>
  </si>
  <si>
    <t>Goodwill</t>
  </si>
  <si>
    <t>Other Intangibles</t>
  </si>
  <si>
    <t>Deferred Tax Assets (Long-Term)</t>
  </si>
  <si>
    <t>Other Long-Term Operating Assets</t>
  </si>
  <si>
    <t>Long-Term Non-Operating Assets</t>
  </si>
  <si>
    <t>Total Assets</t>
  </si>
  <si>
    <t>Accounts Payable</t>
  </si>
  <si>
    <t xml:space="preserve">   Payable Days (End of Year)</t>
  </si>
  <si>
    <t>Short-Term Debt</t>
  </si>
  <si>
    <t>Deferred Tax Liabilities (Current)</t>
  </si>
  <si>
    <t>Other Short-Term Liabilities</t>
  </si>
  <si>
    <t>Current Liabilities</t>
  </si>
  <si>
    <t>Long-Term Debt</t>
  </si>
  <si>
    <t>Deferred Tax Liabilities (Long-Term)</t>
  </si>
  <si>
    <t>Other Long-Term Operating Liabilities</t>
  </si>
  <si>
    <t>Long-Term Non-Operating Liabilities</t>
  </si>
  <si>
    <t>Total Liabilities</t>
  </si>
  <si>
    <t>Preferred Stock</t>
  </si>
  <si>
    <t>Common Stock</t>
  </si>
  <si>
    <t>Additional Paid-In Capital</t>
  </si>
  <si>
    <t>Retained Earnings (Deficit)</t>
  </si>
  <si>
    <t>(Treasury Stock)</t>
  </si>
  <si>
    <t>Other Equity</t>
  </si>
  <si>
    <t>Shareholder's Equity</t>
  </si>
  <si>
    <t>Minority Interest</t>
  </si>
  <si>
    <t>Total Equity</t>
  </si>
  <si>
    <t>Check: Assets - Liabilities - Equity</t>
  </si>
  <si>
    <t>Depreciation</t>
  </si>
  <si>
    <t xml:space="preserve">   Depreciation as % Sales</t>
  </si>
  <si>
    <t xml:space="preserve">   Remaining Useful Life of PP&amp;E, in Years</t>
  </si>
  <si>
    <t>Amortization</t>
  </si>
  <si>
    <t>Stock-Based Compensation</t>
  </si>
  <si>
    <t xml:space="preserve">   as % SG&amp;A</t>
  </si>
  <si>
    <t>Impairment of Goodwill</t>
  </si>
  <si>
    <t>Impairment of Other Intangibles</t>
  </si>
  <si>
    <t>Deferred Taxes</t>
  </si>
  <si>
    <t>Other Non-Cash Adjustments</t>
  </si>
  <si>
    <t>(Increase) Decrease in Accounts Receivable</t>
  </si>
  <si>
    <t>(Increase) Decrease in Inventory</t>
  </si>
  <si>
    <t>Change in Other Short-Term Assets</t>
  </si>
  <si>
    <t>Increase (Decrease) in Accounts Payable</t>
  </si>
  <si>
    <t>Change in Other Short-Term Liabilities</t>
  </si>
  <si>
    <t>Cash From Operations</t>
  </si>
  <si>
    <t xml:space="preserve">   CFO as % Net Income</t>
  </si>
  <si>
    <t>(Capital Expenditures)</t>
  </si>
  <si>
    <t xml:space="preserve">   Capex as % Sales</t>
  </si>
  <si>
    <t xml:space="preserve">   Time to Replace PP&amp;E, in Years</t>
  </si>
  <si>
    <t>Net (Acquisitions), Asset Sales, and Disposals</t>
  </si>
  <si>
    <t xml:space="preserve">     % of Acquisition/Disposal Price Allocated to:</t>
  </si>
  <si>
    <t xml:space="preserve">     Net Property, Plant, and Equipment</t>
  </si>
  <si>
    <t xml:space="preserve">     Intangibles</t>
  </si>
  <si>
    <t xml:space="preserve">     Net Working Capital</t>
  </si>
  <si>
    <t xml:space="preserve">     Goodwill</t>
  </si>
  <si>
    <t xml:space="preserve">     Acquired (Divested) PP&amp;E</t>
  </si>
  <si>
    <t xml:space="preserve">     Acquired (Divested) Intangibles</t>
  </si>
  <si>
    <t xml:space="preserve">     Acquired (Divested) Net Working Capital</t>
  </si>
  <si>
    <t xml:space="preserve">     Change in Goodwill</t>
  </si>
  <si>
    <t>Net (Purchases) Sales of Investments</t>
  </si>
  <si>
    <t>Other Investing Cash Flow</t>
  </si>
  <si>
    <t>Cash From Investing</t>
  </si>
  <si>
    <t>Common Stock Issuance or (Repurchase)</t>
  </si>
  <si>
    <t xml:space="preserve">   Shares Issued/(Repurchased)</t>
  </si>
  <si>
    <t>Common Stock (Dividends)</t>
  </si>
  <si>
    <t>Short-Term Debt Issuance (Retirement)</t>
  </si>
  <si>
    <t>Long-Term Debt Issuance (Retirement)</t>
  </si>
  <si>
    <t>Other Financing Cash Flows</t>
  </si>
  <si>
    <t>Cash From Financing</t>
  </si>
  <si>
    <t>Exchange Rates, Discontinued Ops, etc. (net)</t>
  </si>
  <si>
    <t>Net Change in Cash</t>
  </si>
  <si>
    <t>Check: Change in Cash on Balance Sheet</t>
  </si>
  <si>
    <t>Difference</t>
  </si>
  <si>
    <t>Balance Sheet</t>
  </si>
  <si>
    <t>Cash Flow</t>
  </si>
  <si>
    <t xml:space="preserve">   Issuance/Repurchase Price Per Share (assumption)</t>
  </si>
  <si>
    <t>Equity Market Value</t>
  </si>
  <si>
    <t>Common Shares Price</t>
  </si>
  <si>
    <t>Average Price 2022</t>
  </si>
  <si>
    <t>Shares Outstanding</t>
  </si>
  <si>
    <t>Average Equity Market Value</t>
  </si>
  <si>
    <t>Date</t>
  </si>
  <si>
    <t>Source: Yahoo! Finance</t>
  </si>
  <si>
    <t>Weighted Aveage Cost of Capital (WACC)</t>
  </si>
  <si>
    <t>Monthly price of market and stock</t>
  </si>
  <si>
    <t>CAPM &amp; WACC</t>
  </si>
  <si>
    <t>Dates</t>
  </si>
  <si>
    <t>Prices</t>
  </si>
  <si>
    <t>Monthly rate</t>
  </si>
  <si>
    <t>S&amp;P500 (SPY ETF)</t>
  </si>
  <si>
    <t>5Y</t>
  </si>
  <si>
    <t>Merck &amp; Co., MRK</t>
  </si>
  <si>
    <t>Rm (S&amp;P500, %)</t>
  </si>
  <si>
    <t>Market Risk Premium (MRP, %)</t>
  </si>
  <si>
    <t>Unlevered Beta</t>
  </si>
  <si>
    <t>Equity Risk Premium (ERP, %)</t>
  </si>
  <si>
    <t>Required rate of return on Equity</t>
  </si>
  <si>
    <t>2. Input variables II. Weighted Average Cost of Capital</t>
  </si>
  <si>
    <t>CS outstanding shares (million)</t>
  </si>
  <si>
    <t>Tax rate (%)</t>
  </si>
  <si>
    <t>MV of Debt ($, million)</t>
  </si>
  <si>
    <t>MV of CS ($, million)</t>
  </si>
  <si>
    <t>Total MV of Capital Resouces ($, million)</t>
  </si>
  <si>
    <t>Cost of Debt (%)</t>
  </si>
  <si>
    <t>Cost of CS (%)</t>
  </si>
  <si>
    <t>WACC (%)</t>
  </si>
  <si>
    <t>Price of CS per share ($) as of today  (12/30/2022)</t>
  </si>
  <si>
    <t>https://finance.yahoo.com/quote/MRK/history?p=MRK</t>
  </si>
  <si>
    <t>https://finance.yahoo.com/quote/SPY/history?p=SPY</t>
  </si>
  <si>
    <t>Source: Morningstar and Merck &amp; Co. corporate reports.</t>
  </si>
  <si>
    <t>Sources:</t>
  </si>
  <si>
    <t>https://ycharts.com/indicators/10_year_treasury_rate</t>
  </si>
  <si>
    <t>https://seekingalpha.com/article/4571595-data-update-2-for-2023-rocky-year-equities</t>
  </si>
  <si>
    <t>https://www.merck.com/news/merck-announces-fourth-quarter-and-full-year-2022-financial-results/</t>
  </si>
  <si>
    <t>https://www.gurufocus.com/term/wacc/MRK/WACC-Percentage/Merck</t>
  </si>
  <si>
    <t xml:space="preserve">   Economic Value Added (EVA)</t>
  </si>
  <si>
    <t xml:space="preserve">   Residual Income (RI)</t>
  </si>
  <si>
    <t xml:space="preserve">   Return on Capital (ROC, %)</t>
  </si>
  <si>
    <t xml:space="preserve">   Return on Assets (ROA, %)</t>
  </si>
  <si>
    <t xml:space="preserve">   Return on Equity (ROE, %)</t>
  </si>
  <si>
    <t>Value Measurement</t>
  </si>
  <si>
    <t xml:space="preserve">   Market Capitalization (Market Value)</t>
  </si>
  <si>
    <t xml:space="preserve">   Price to Earnings</t>
  </si>
  <si>
    <t xml:space="preserve">   Market to Book ratio</t>
  </si>
  <si>
    <t xml:space="preserve">   Market Value Added (MVA)</t>
  </si>
  <si>
    <t>Financial Information</t>
  </si>
  <si>
    <t>Price per share</t>
  </si>
  <si>
    <t>Shares outstanding</t>
  </si>
  <si>
    <t>Interest Expense on the I/S</t>
  </si>
  <si>
    <t>Tax Rate (%)</t>
  </si>
  <si>
    <t>Current (2022)</t>
  </si>
  <si>
    <t>Shares outstanding (millions)</t>
  </si>
  <si>
    <t>Relative Valuation Methods</t>
  </si>
  <si>
    <t>Company</t>
  </si>
  <si>
    <t>Ticker</t>
  </si>
  <si>
    <t>Market Cap (millions)</t>
  </si>
  <si>
    <t>Operating Margin</t>
  </si>
  <si>
    <t>EV/Revenue</t>
  </si>
  <si>
    <t>P/E</t>
  </si>
  <si>
    <t>P/BV</t>
  </si>
  <si>
    <t>Median</t>
  </si>
  <si>
    <t>Average</t>
  </si>
  <si>
    <t>Company Valuation on FCFF Model</t>
  </si>
  <si>
    <t>Projected Assumptions</t>
  </si>
  <si>
    <t>MV of Equity</t>
  </si>
  <si>
    <t>MV of Debt</t>
  </si>
  <si>
    <t>Levered Beta</t>
  </si>
  <si>
    <t>Cost of Equity</t>
  </si>
  <si>
    <t>WACC</t>
  </si>
  <si>
    <t>(1) Operating cash flows:</t>
  </si>
  <si>
    <t xml:space="preserve"> = Net Income</t>
  </si>
  <si>
    <t xml:space="preserve"> + add back Interest after tax</t>
  </si>
  <si>
    <t xml:space="preserve"> + add back Depreciation</t>
  </si>
  <si>
    <t xml:space="preserve"> = Operating Cash Flows</t>
  </si>
  <si>
    <t xml:space="preserve">(2) Cash flows in NOWC: </t>
  </si>
  <si>
    <t>Net Operating Working capital</t>
  </si>
  <si>
    <t xml:space="preserve"> = Cash flows of Changes in NOWC</t>
  </si>
  <si>
    <t>(3) Cash flows in capital investment:</t>
  </si>
  <si>
    <t>Fixed asset (PPE)</t>
  </si>
  <si>
    <t xml:space="preserve"> = Cash flows of Changes in fixed assets </t>
  </si>
  <si>
    <t>(4) Free Cash Flows of the Firm = (1) + (2) + (3)</t>
  </si>
  <si>
    <t>Free Cash Flows of the firm (Y1~Y5)</t>
  </si>
  <si>
    <t xml:space="preserve"> + Terminal Value at the end of Y5 (Y6 ~ forever)</t>
  </si>
  <si>
    <t xml:space="preserve"> = Total Free Cash Flows of the firm</t>
  </si>
  <si>
    <t>Enterprise Value of the firm (the Entire Business)</t>
  </si>
  <si>
    <t xml:space="preserve"> - MV of the Debt and PS</t>
  </si>
  <si>
    <t xml:space="preserve"> = Intrinsic Value of CS</t>
  </si>
  <si>
    <t xml:space="preserve">Intrinsice Value (Target price) of CS per share </t>
  </si>
  <si>
    <t>Final Target Price per share</t>
  </si>
  <si>
    <t xml:space="preserve"> - Market Price of CS per share (as of today)</t>
  </si>
  <si>
    <t xml:space="preserve"> = Expected G/L on the CS investment ($)</t>
  </si>
  <si>
    <t xml:space="preserve"> = Expected return on the CS investment (%)</t>
  </si>
  <si>
    <t>Investment Proposal (BUY / HOLD / SELL)</t>
  </si>
  <si>
    <t>Free Cash Flows of the Firm (FCFF)</t>
  </si>
  <si>
    <t xml:space="preserve"> Intrinsic Value of Common Stock on FCFF</t>
  </si>
  <si>
    <t>Final Target Price &amp; Investment Proposal</t>
  </si>
  <si>
    <t>Target Prices on Relative Methods</t>
  </si>
  <si>
    <t xml:space="preserve">  Target Price by P/E Forward</t>
  </si>
  <si>
    <t xml:space="preserve">  Target Price by P/B </t>
  </si>
  <si>
    <t xml:space="preserve">  Target Price by P/S</t>
  </si>
  <si>
    <t xml:space="preserve">  Target Price by EV/EBIDTA Forward</t>
  </si>
  <si>
    <t>MRK</t>
  </si>
  <si>
    <t>ROG</t>
  </si>
  <si>
    <t>Roche</t>
  </si>
  <si>
    <t>Pfizer</t>
  </si>
  <si>
    <t>PFE</t>
  </si>
  <si>
    <t>Novartis</t>
  </si>
  <si>
    <t>NOVN</t>
  </si>
  <si>
    <t>Bristol-Myers</t>
  </si>
  <si>
    <t>BMY</t>
  </si>
  <si>
    <t>Amgen</t>
  </si>
  <si>
    <t>AMGN</t>
  </si>
  <si>
    <t>Sanofi</t>
  </si>
  <si>
    <t>Gilead Sciences</t>
  </si>
  <si>
    <t>GlaxoSmithKline</t>
  </si>
  <si>
    <t>Biogen</t>
  </si>
  <si>
    <t>SAN</t>
  </si>
  <si>
    <t>GILD</t>
  </si>
  <si>
    <t>GSK</t>
  </si>
  <si>
    <t>BIIB</t>
  </si>
  <si>
    <t>EBITDA % Growth</t>
  </si>
  <si>
    <t>Debt</t>
  </si>
  <si>
    <t>Cash</t>
  </si>
  <si>
    <t>Equity Value</t>
  </si>
  <si>
    <t>Last Price</t>
  </si>
  <si>
    <t>Total Revenue</t>
  </si>
  <si>
    <t>EV</t>
  </si>
  <si>
    <t>Revenue % Growth</t>
  </si>
  <si>
    <t>EV/EBITDA</t>
  </si>
  <si>
    <t>Debt to Equity</t>
  </si>
  <si>
    <t>Upside</t>
  </si>
  <si>
    <t>Price (EV/EBITDA)</t>
  </si>
  <si>
    <t>Price (EV/Revenue)</t>
  </si>
  <si>
    <t>Avg Price</t>
  </si>
  <si>
    <t>Price (20/03/2023)</t>
  </si>
  <si>
    <t>Income Statement (TTM)</t>
  </si>
  <si>
    <t>Downloaded On: 16-Mar-2023</t>
  </si>
  <si>
    <t>Summary Stats</t>
  </si>
  <si>
    <t>Mean</t>
  </si>
  <si>
    <t>Min</t>
  </si>
  <si>
    <t>Max</t>
  </si>
  <si>
    <t>25th pctile</t>
  </si>
  <si>
    <t>75th pctile</t>
  </si>
  <si>
    <t>Std. Dev</t>
  </si>
  <si>
    <t>Coefficient of Variation</t>
  </si>
  <si>
    <t>Bristol-Myers Squibb</t>
  </si>
  <si>
    <t>Amounts in Thousands, USD (except Ratios, Multiples &amp; per share items)</t>
  </si>
  <si>
    <t>Dec-2022</t>
  </si>
  <si>
    <t>Jun-2022</t>
  </si>
  <si>
    <t/>
  </si>
  <si>
    <t>No</t>
  </si>
  <si>
    <t>Yes</t>
  </si>
  <si>
    <t>© PitchBook Data, Inc. 2023</t>
  </si>
  <si>
    <t>Public Fundamental Data provided by Morningstar, Inc.</t>
  </si>
  <si>
    <t>Source: Pitchbook (data in hidden spreadsheet)</t>
  </si>
  <si>
    <t>Weighted Average Cost of Capital (%)</t>
  </si>
  <si>
    <t>Cost of Equity (%)</t>
  </si>
  <si>
    <t>($, %)</t>
  </si>
  <si>
    <t>Firm</t>
  </si>
  <si>
    <t>Industry</t>
  </si>
  <si>
    <r>
      <t xml:space="preserve">Source: </t>
    </r>
    <r>
      <rPr>
        <i/>
        <u/>
        <sz val="12"/>
        <color theme="1"/>
        <rFont val="Calibri (Body)"/>
      </rPr>
      <t>https://pages.stern.nyu.edu/~adamodar/New_Home_Page/datacurrent.html#multiples</t>
    </r>
  </si>
  <si>
    <t>Beta</t>
  </si>
  <si>
    <t>Rf (%)</t>
  </si>
  <si>
    <t>1. Input variables I. CAPM</t>
  </si>
  <si>
    <t>Tax rate</t>
  </si>
  <si>
    <t>Buy</t>
  </si>
  <si>
    <t>*includes market information that may impact target price</t>
  </si>
  <si>
    <t xml:space="preserve">Note: due to the low value of Merck's beta, if did by calculations, since we would be  </t>
  </si>
  <si>
    <t>multiplying by such a small value it would result in 0. To calculate value we use source:</t>
  </si>
  <si>
    <t>https://finbox.com/NYSE:MRK/explorer/beta</t>
  </si>
  <si>
    <t>Merck</t>
  </si>
  <si>
    <t>AstraZeneca</t>
  </si>
  <si>
    <t>FORECAST INDUSTRY</t>
  </si>
  <si>
    <t>Total revenue in billions</t>
  </si>
  <si>
    <t>R&amp;D forecast 2026</t>
  </si>
  <si>
    <t>Johnson &amp; Johnosn</t>
  </si>
  <si>
    <t>Eli Lilly</t>
  </si>
  <si>
    <t>AbbVie</t>
  </si>
  <si>
    <t>Annual change in drug spending (customers)</t>
  </si>
  <si>
    <t>Chage</t>
  </si>
  <si>
    <t xml:space="preserve">Provides oversight with respect to the Company’s ESG matters and strategy related thereto. </t>
  </si>
  <si>
    <t xml:space="preserve">Monitors and assists the Board in its oversight of our ESG matters, including ensuring that applicable ESG matters are subject to review by Board committees with relevant areas of competency, by monitoring and evaluating programs and activities, reviewing strategy regarding political engagement and reviewing environmental sustainability practices. </t>
  </si>
  <si>
    <t xml:space="preserve">Assists the Board with its oversight of human capital management, including our policies and practices related to talent management, culture, diversity, equity and inclusion. This includes maintaining fair hiring and promotion practices and a commitment to sustain pay equity for employees of all genders, races and ethnicities. </t>
  </si>
  <si>
    <t xml:space="preserve">Monitors compliance with the Company’s policies on ethical business practices. </t>
  </si>
  <si>
    <t xml:space="preserve">Monitors compliance with the highest standards of scientific integrity in the conduct of our research and development. </t>
  </si>
  <si>
    <t xml:space="preserve">Management is responsible for reviewing, refining and implementing long-term ESG strategy, including through its Public Policy &amp; Responsibility Council comprising diverse cross-functional members, and for updating the Board and its committees, as applicable, on ESG matters. </t>
  </si>
  <si>
    <t>Board</t>
  </si>
  <si>
    <t>Governance Committee</t>
  </si>
  <si>
    <t>Compensation &amp; Management Development Committee</t>
  </si>
  <si>
    <t>Audit Committee</t>
  </si>
  <si>
    <t>Research Committee</t>
  </si>
  <si>
    <t>Management</t>
  </si>
  <si>
    <t>Responsible Party</t>
  </si>
  <si>
    <t>Oversight for ESG topics</t>
  </si>
  <si>
    <t>Source: Personal Consensus, Merck &amp; Co.</t>
  </si>
  <si>
    <t>*data from window: Equity</t>
  </si>
  <si>
    <t>*data from window: Cost of Capital</t>
  </si>
  <si>
    <t>Figure 3: Monthly Stock Price Evolution</t>
  </si>
  <si>
    <t xml:space="preserve">Figure 4: </t>
  </si>
  <si>
    <t xml:space="preserve">Figure 5: </t>
  </si>
  <si>
    <t xml:space="preserve">Figure 6: </t>
  </si>
  <si>
    <t>Figure1: Valuation Summary</t>
  </si>
  <si>
    <t>Closing Price</t>
  </si>
  <si>
    <t>Target Price</t>
  </si>
  <si>
    <t>Upside (potential)</t>
  </si>
  <si>
    <t>PE Ratio</t>
  </si>
  <si>
    <t>Shares outstanding (million)</t>
  </si>
  <si>
    <t>Market Capitalization</t>
  </si>
  <si>
    <t>Figure 2: Share Price daily evolution 2022</t>
  </si>
  <si>
    <t>Annex: Corporate Governance</t>
  </si>
  <si>
    <t>Corporate Governance</t>
  </si>
  <si>
    <t>Independent directors on the Board</t>
  </si>
  <si>
    <t>Percent on Board memebers who are independent</t>
  </si>
  <si>
    <t>Separate chairman of the Board and CEO</t>
  </si>
  <si>
    <t>Lead Independent Director</t>
  </si>
  <si>
    <t>Independent audit committee</t>
  </si>
  <si>
    <t>Independent compensation and management development committee</t>
  </si>
  <si>
    <t>Independent governance committee</t>
  </si>
  <si>
    <t>Women on the Board</t>
  </si>
  <si>
    <t>Memebers of underrepresented ethnic groups on the Board</t>
  </si>
  <si>
    <t>Number of Board meetings scheduled or held</t>
  </si>
  <si>
    <t>Shareholder support of the advisory vote on executive compensation</t>
  </si>
  <si>
    <t>Annex: Supply chain</t>
  </si>
  <si>
    <t>Supply Chain</t>
  </si>
  <si>
    <t>Employees trained on mitigating modern slavery risks in our supply chain</t>
  </si>
  <si>
    <t>N/A</t>
  </si>
  <si>
    <t>Employees trained on updated Business Partner Code of Condust (Edition II)</t>
  </si>
  <si>
    <t>Employees trained on Third-Party Risk Management</t>
  </si>
  <si>
    <t>Aupplier Self-Assessments</t>
  </si>
  <si>
    <t>Supplier Labor and Human Rights (LHR) audits conducted</t>
  </si>
  <si>
    <t>Supplier Labor and Human Rights (LHR) audit observations addressed/remediated</t>
  </si>
  <si>
    <t>Supplier personnel trained in ESG</t>
  </si>
  <si>
    <t>GREEN supplier spend (in millions)</t>
  </si>
  <si>
    <t>Score</t>
  </si>
  <si>
    <t>Figure 8:</t>
  </si>
  <si>
    <t>Figure 10: ESG Management Structure</t>
  </si>
  <si>
    <t>Figure 9:</t>
  </si>
  <si>
    <t>Figure 11:</t>
  </si>
  <si>
    <t>Development</t>
  </si>
  <si>
    <t>Testing</t>
  </si>
  <si>
    <t>AVERAGE TIME</t>
  </si>
  <si>
    <t>AVERAGE COST</t>
  </si>
  <si>
    <t>https://csdd.tufts.edu</t>
  </si>
  <si>
    <t xml:space="preserve">    phase 1</t>
  </si>
  <si>
    <t xml:space="preserve">    phase 2</t>
  </si>
  <si>
    <t xml:space="preserve">    phase 3</t>
  </si>
  <si>
    <t>Country</t>
  </si>
  <si>
    <t>United States</t>
  </si>
  <si>
    <t>United Kingdom</t>
  </si>
  <si>
    <t>China</t>
  </si>
  <si>
    <t>India</t>
  </si>
  <si>
    <t>United Arab Emirates</t>
  </si>
  <si>
    <t>France</t>
  </si>
  <si>
    <t>Israel</t>
  </si>
  <si>
    <t>Japan</t>
  </si>
  <si>
    <t>Germany</t>
  </si>
  <si>
    <t>COUNTRY NAME</t>
  </si>
  <si>
    <t>% OF POPULATION RECEIVING AT LEAST 1 DOSE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</si>
  <si>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</si>
  <si>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</si>
  <si>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</si>
  <si>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</si>
  <si>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</si>
  <si>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</si>
  <si>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</si>
  <si>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</si>
  <si>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</si>
  <si>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</si>
  <si>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</si>
  <si>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</si>
  <si>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</si>
  <si>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</si>
  <si>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</si>
  <si>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</si>
  <si>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</si>
  <si>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</si>
  <si>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</si>
  <si>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</si>
  <si>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</si>
  <si>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</si>
  <si>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</si>
  <si>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</si>
  <si>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</si>
  <si>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</si>
  <si>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</si>
  <si>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Burma</t>
  </si>
  <si>
    <t>Burundi</t>
  </si>
  <si>
    <t>Cabo Verde</t>
  </si>
  <si>
    <t>Cambodia</t>
  </si>
  <si>
    <t>Cameroon</t>
  </si>
  <si>
    <t>Canada</t>
  </si>
  <si>
    <t>Central African Republic</t>
  </si>
  <si>
    <t>Chad</t>
  </si>
  <si>
    <t>Chile</t>
  </si>
  <si>
    <t>Colombia</t>
  </si>
  <si>
    <t>Comoros</t>
  </si>
  <si>
    <t>Congo (Brazzaville)</t>
  </si>
  <si>
    <t>Congo (Kinshasa)</t>
  </si>
  <si>
    <t>Costa Rica</t>
  </si>
  <si>
    <t>Cote d'Ivoire</t>
  </si>
  <si>
    <t>Croatia</t>
  </si>
  <si>
    <t>Cuba</t>
  </si>
  <si>
    <t>Cyprus</t>
  </si>
  <si>
    <t>Czechia</t>
  </si>
  <si>
    <t>Denmark</t>
  </si>
  <si>
    <t>Dominica</t>
  </si>
  <si>
    <t>Dominican Republic</t>
  </si>
  <si>
    <t>Ecuador</t>
  </si>
  <si>
    <t>Egypt</t>
  </si>
  <si>
    <t>El Salvador</t>
  </si>
  <si>
    <t>Equatorial Guinea</t>
  </si>
  <si>
    <t>Estonia</t>
  </si>
  <si>
    <t>Eswatini</t>
  </si>
  <si>
    <t>Ethiopia</t>
  </si>
  <si>
    <t>Fiji</t>
  </si>
  <si>
    <t>Finland</t>
  </si>
  <si>
    <t>Gabon</t>
  </si>
  <si>
    <t>Gambia</t>
  </si>
  <si>
    <t>Georgia</t>
  </si>
  <si>
    <t>Ghana</t>
  </si>
  <si>
    <t>Greece</t>
  </si>
  <si>
    <t>Grenada</t>
  </si>
  <si>
    <t>Guatemala</t>
  </si>
  <si>
    <t>Guinea</t>
  </si>
  <si>
    <t>Guinea-Bissau</t>
  </si>
  <si>
    <t>Guyana</t>
  </si>
  <si>
    <t>Haiti</t>
  </si>
  <si>
    <t>Honduras</t>
  </si>
  <si>
    <t>Hungary</t>
  </si>
  <si>
    <t>Iceland</t>
  </si>
  <si>
    <t>Indonesia</t>
  </si>
  <si>
    <t>Iran</t>
  </si>
  <si>
    <t>Iraq</t>
  </si>
  <si>
    <t>Ireland</t>
  </si>
  <si>
    <t>Italy</t>
  </si>
  <si>
    <t>Jamaica</t>
  </si>
  <si>
    <t>Jordan</t>
  </si>
  <si>
    <t>Kazakhstan</t>
  </si>
  <si>
    <t>Kenya</t>
  </si>
  <si>
    <t>Kiribati</t>
  </si>
  <si>
    <t>Korea, South</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</si>
  <si>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</si>
  <si>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</si>
  <si>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</si>
  <si>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</si>
  <si>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</si>
  <si>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</si>
  <si>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</si>
  <si>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</si>
  <si>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</si>
  <si>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</si>
  <si>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</si>
  <si>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</si>
  <si>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</si>
  <si>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</si>
  <si>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</si>
  <si>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</si>
  <si>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</si>
  <si>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</si>
  <si>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</si>
  <si>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</si>
  <si>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</si>
  <si>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</si>
  <si>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</si>
  <si>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</si>
  <si>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</si>
  <si>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</si>
  <si>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</si>
  <si>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</si>
  <si>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</si>
  <si>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Namibia</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</si>
  <si>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</si>
  <si>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</si>
  <si>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</si>
  <si>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</si>
  <si>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</si>
  <si>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</si>
  <si>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</si>
  <si>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</si>
  <si>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</si>
  <si>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</si>
  <si>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</si>
  <si>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</si>
  <si>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</si>
  <si>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</si>
  <si>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</si>
  <si>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</si>
  <si>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</si>
  <si>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</si>
  <si>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</si>
  <si>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</si>
  <si>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t>
  </si>
  <si>
    <t>Rwanda</t>
  </si>
  <si>
    <t>Saint Kitts and Nevis</t>
  </si>
  <si>
    <t>Saint Lucia</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</si>
  <si>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</si>
  <si>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</si>
  <si>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</si>
  <si>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</si>
  <si>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</si>
  <si>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</si>
  <si>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</si>
  <si>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</si>
  <si>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</si>
  <si>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</si>
  <si>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</si>
  <si>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</si>
  <si>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</si>
  <si>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</si>
  <si>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</si>
  <si>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</si>
  <si>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</si>
  <si>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Saint Vincent and the Grenadines</t>
  </si>
  <si>
    <t>Sudan</t>
  </si>
  <si>
    <t>Suriname</t>
  </si>
  <si>
    <t>Sweden</t>
  </si>
  <si>
    <t>Switzerland</t>
  </si>
  <si>
    <t>Syria</t>
  </si>
  <si>
    <t>Taiwan*</t>
  </si>
  <si>
    <t>Tajikistan</t>
  </si>
  <si>
    <t>Tanzania</t>
  </si>
  <si>
    <t>Thailand</t>
  </si>
  <si>
    <t>Timor-Leste</t>
  </si>
  <si>
    <t>Togo</t>
  </si>
  <si>
    <t>Trinidad and Tobago</t>
  </si>
  <si>
    <t>Tunisia</t>
  </si>
  <si>
    <t>Turkey</t>
  </si>
  <si>
    <t>Uganda</t>
  </si>
  <si>
    <t>Ukraine</t>
  </si>
  <si>
    <t>Uruguay</t>
  </si>
  <si>
    <t>Uzbekistan</t>
  </si>
  <si>
    <t>Vanuatu</t>
  </si>
  <si>
    <t>Venezuela</t>
  </si>
  <si>
    <t>Vietnam</t>
  </si>
  <si>
    <t>West Bank and Gaza</t>
  </si>
  <si>
    <t>Yemen</t>
  </si>
  <si>
    <t>Zambia</t>
  </si>
  <si>
    <t>Zimbabwe</t>
  </si>
  <si>
    <t>*Graph done with Insert &gt; Maps</t>
  </si>
  <si>
    <t>this one is a screenshot since the original was too heavy for the excel to function properly</t>
  </si>
  <si>
    <t>date</t>
  </si>
  <si>
    <t>Products</t>
  </si>
  <si>
    <t>69K</t>
  </si>
  <si>
    <t>Employees</t>
  </si>
  <si>
    <t>$13.6B</t>
  </si>
  <si>
    <t>R&amp;D Investment 2022</t>
  </si>
  <si>
    <t>$1.85B</t>
  </si>
  <si>
    <t>Total giving 2021</t>
  </si>
  <si>
    <t>Figure 12:</t>
  </si>
  <si>
    <t>Figure 13:</t>
  </si>
  <si>
    <t>Figure 15:</t>
  </si>
  <si>
    <t>Figure 16</t>
  </si>
  <si>
    <t>Figure 18 &amp; 19:</t>
  </si>
  <si>
    <t>Figure 17:</t>
  </si>
  <si>
    <t>Bulk manufacturing</t>
  </si>
  <si>
    <t>Research and development</t>
  </si>
  <si>
    <t>Formulation, packaging, and filing</t>
  </si>
  <si>
    <t>Offices</t>
  </si>
  <si>
    <t>Warehouses</t>
  </si>
  <si>
    <t>Misc.</t>
  </si>
  <si>
    <t>Energy use in the pharmaceutical industry</t>
  </si>
  <si>
    <t>Risk</t>
  </si>
  <si>
    <t>Likelihood</t>
  </si>
  <si>
    <t>Impact</t>
  </si>
  <si>
    <t>Category</t>
  </si>
  <si>
    <t>MR1: Patent Expirations</t>
  </si>
  <si>
    <t>MR2: Competitive Pressure</t>
  </si>
  <si>
    <t>MR3: Litigation Risk</t>
  </si>
  <si>
    <t>M4: Foreign exchange Risk</t>
  </si>
  <si>
    <t>PR1: Drug Pricing Policies</t>
  </si>
  <si>
    <t>PR2: Regulatory Approval</t>
  </si>
  <si>
    <t>PR4: Trade Policies</t>
  </si>
  <si>
    <t>PR3: Political Instability</t>
  </si>
  <si>
    <t>B1: R&amp;D Risk</t>
  </si>
  <si>
    <t>B2: Supply Chain Risk</t>
  </si>
  <si>
    <t>High</t>
  </si>
  <si>
    <t>Medium</t>
  </si>
  <si>
    <t>Low</t>
  </si>
  <si>
    <t xml:space="preserve">Category: </t>
  </si>
  <si>
    <t xml:space="preserve">High </t>
  </si>
  <si>
    <t>Figures 22, 23:</t>
  </si>
  <si>
    <t>Figure 24:</t>
  </si>
  <si>
    <t>Figure 21:</t>
  </si>
  <si>
    <t>Vioxx Lawsuits</t>
  </si>
  <si>
    <t>$7B fines</t>
  </si>
  <si>
    <t>&gt; 26,000</t>
  </si>
  <si>
    <t>Lawsuits Rofecoxib</t>
  </si>
  <si>
    <t>Current Price</t>
  </si>
  <si>
    <t>Figure 29:</t>
  </si>
  <si>
    <t>Figure 27:</t>
  </si>
  <si>
    <t>Figure 26:</t>
  </si>
  <si>
    <t>Operating profit</t>
  </si>
  <si>
    <t>Figure 30:</t>
  </si>
  <si>
    <t>Figure 31:</t>
  </si>
  <si>
    <t>Figure 32:</t>
  </si>
  <si>
    <t>ROA</t>
  </si>
  <si>
    <t>ROE</t>
  </si>
  <si>
    <t>ROC</t>
  </si>
  <si>
    <t>P</t>
  </si>
  <si>
    <t>Figure 33:</t>
  </si>
  <si>
    <t>Figure 34:</t>
  </si>
  <si>
    <t>Figure 35:</t>
  </si>
  <si>
    <t>Figure 36:</t>
  </si>
  <si>
    <t>Figure 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</si>
</sst>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6" formatCode="&quot;$&quot;#,##0_);[Red]\(&quot;$&quot;#,##0\)"/>
    <numFmt numFmtId="8" formatCode="&quot;$&quot;#,##0.00_);[Red]\(&quot;$&quot;#,##0.00\)"/>
    <numFmt numFmtId="44" formatCode="_(&quot;$&quot;* #,##0.00_);_(&quot;$&quot;* \(#,##0.00\);_(&quot;$&quot;* &quot;-&quot;??_);_(@_)"/>
    <numFmt numFmtId="43" formatCode="_(* #,##0.00_);_(* \(#,##0.00\);_(* &quot;-&quot;??_);_(@_)"/>
    <numFmt numFmtId="164" formatCode="[$-F800]dddd\,\ mmmm\ dd\,\ yyyy"/>
    <numFmt numFmtId="165" formatCode="&quot;$&quot;#,##0"/>
    <numFmt numFmtId="166" formatCode="_(* #,##0_);_(* \(#,##0\);_(* &quot;-&quot;??_);_(@_)"/>
    <numFmt numFmtId="167" formatCode="General_)"/>
    <numFmt numFmtId="168" formatCode="0.0%"/>
    <numFmt numFmtId="169" formatCode="0.0_)"/>
    <numFmt numFmtId="170" formatCode="0.0"/>
    <numFmt numFmtId="171" formatCode="&quot;$&quot;#,##0.00"/>
    <numFmt numFmtId="172" formatCode="0.0%;[Red]\-0.0%"/>
    <numFmt numFmtId="173" formatCode="0%;[Red]\-0%"/>
    <numFmt numFmtId="174" formatCode="#,##0.0_);[Red]\(#,##0.0\)"/>
    <numFmt numFmtId="175" formatCode="0.0000"/>
    <numFmt numFmtId="176" formatCode="_([$$-409]* #,##0.00_);_([$$-409]* \(#,##0.00\);_([$$-409]* &quot;-&quot;??_);_(@_)"/>
    <numFmt numFmtId="177" formatCode="_([$$-409]* #,##0.0000_);_([$$-409]* \(#,##0.0000\);_([$$-409]* &quot;-&quot;??_);_(@_)"/>
    <numFmt numFmtId="178" formatCode="_(&quot;$&quot;* #,##0_);_(&quot;$&quot;* \(#,##0\);_(&quot;$&quot;* &quot;-&quot;??_);_(@_)"/>
    <numFmt numFmtId="179" formatCode="#,##0;[Red]\(#,##0\)"/>
    <numFmt numFmtId="180" formatCode="#,##0.00;[Red]\-#,##0.00"/>
    <numFmt numFmtId="181" formatCode="#,##0.00;[Red]\(#,##0.00\)"/>
    <numFmt numFmtId="182" formatCode="d\-mmm\-yyyy"/>
    <numFmt numFmtId="183" formatCode="#,##0.00%;[Red]\-#,##0.00%"/>
    <numFmt numFmtId="184" formatCode="[$-409]#,##0.00_);[Red]\(#,##0.00\)"/>
  </numFmts>
  <fonts count="63"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4"/>
      <color theme="1"/>
      <name val="Calibri"/>
      <family val="2"/>
      <scheme val="minor"/>
    </font>
    <font>
      <sz val="48"/>
      <color theme="1"/>
      <name val="Calibri"/>
      <family val="2"/>
      <scheme val="minor"/>
    </font>
    <font>
      <b/>
      <sz val="14"/>
      <color theme="1"/>
      <name val="Calibri (Body)"/>
    </font>
    <font>
      <b/>
      <sz val="12"/>
      <color theme="1"/>
      <name val="Calibri Light"/>
      <family val="2"/>
    </font>
    <font>
      <sz val="12"/>
      <color theme="1"/>
      <name val="Calibri Light"/>
      <family val="2"/>
    </font>
    <font>
      <sz val="11"/>
      <color theme="1"/>
      <name val="Calibri Light"/>
      <family val="2"/>
      <scheme val="major"/>
    </font>
    <font>
      <i/>
      <sz val="12"/>
      <color theme="1"/>
      <name val="Calibri"/>
      <family val="2"/>
      <scheme val="minor"/>
    </font>
    <font>
      <i/>
      <sz val="11"/>
      <color theme="1"/>
      <name val="Calibri"/>
      <family val="2"/>
      <scheme val="minor"/>
    </font>
    <font>
      <sz val="10"/>
      <name val="Arial Narrow"/>
      <family val="2"/>
    </font>
    <font>
      <sz val="11"/>
      <color indexed="8"/>
      <name val="Calibri"/>
      <family val="2"/>
    </font>
    <font>
      <b/>
      <sz val="8"/>
      <color indexed="81"/>
      <name val="Tahoma"/>
      <family val="2"/>
    </font>
    <font>
      <sz val="8"/>
      <color indexed="81"/>
      <name val="Tahoma"/>
      <family val="2"/>
    </font>
    <font>
      <b/>
      <sz val="9"/>
      <color indexed="81"/>
      <name val="Tahoma"/>
      <family val="2"/>
    </font>
    <font>
      <sz val="9"/>
      <color indexed="81"/>
      <name val="Tahoma"/>
      <family val="2"/>
    </font>
    <font>
      <b/>
      <sz val="14"/>
      <color theme="1"/>
      <name val="Calibri"/>
      <family val="2"/>
      <scheme val="minor"/>
    </font>
    <font>
      <sz val="12"/>
      <name val="Calibri"/>
      <family val="2"/>
      <scheme val="minor"/>
    </font>
    <font>
      <sz val="12"/>
      <color indexed="8"/>
      <name val="Calibri"/>
      <family val="2"/>
      <scheme val="minor"/>
    </font>
    <font>
      <b/>
      <sz val="12"/>
      <name val="Calibri"/>
      <family val="2"/>
      <scheme val="minor"/>
    </font>
    <font>
      <b/>
      <u/>
      <sz val="12"/>
      <name val="Calibri"/>
      <family val="2"/>
      <scheme val="minor"/>
    </font>
    <font>
      <u/>
      <sz val="12"/>
      <color indexed="8"/>
      <name val="Calibri"/>
      <family val="2"/>
      <scheme val="minor"/>
    </font>
    <font>
      <b/>
      <u/>
      <sz val="12"/>
      <color indexed="8"/>
      <name val="Calibri"/>
      <family val="2"/>
      <scheme val="minor"/>
    </font>
    <font>
      <i/>
      <sz val="12"/>
      <name val="Calibri"/>
      <family val="2"/>
      <scheme val="minor"/>
    </font>
    <font>
      <i/>
      <sz val="12"/>
      <color indexed="8"/>
      <name val="Calibri"/>
      <family val="2"/>
      <scheme val="minor"/>
    </font>
    <font>
      <b/>
      <sz val="12"/>
      <color indexed="8"/>
      <name val="Calibri"/>
      <family val="2"/>
      <scheme val="minor"/>
    </font>
    <font>
      <u/>
      <sz val="12"/>
      <name val="Calibri"/>
      <family val="2"/>
      <scheme val="minor"/>
    </font>
    <font>
      <b/>
      <u/>
      <sz val="12"/>
      <color theme="0"/>
      <name val="Calibri"/>
      <family val="2"/>
      <scheme val="minor"/>
    </font>
    <font>
      <b/>
      <sz val="12"/>
      <color rgb="FF008079"/>
      <name val="Calibri"/>
      <family val="2"/>
      <scheme val="minor"/>
    </font>
    <font>
      <sz val="12"/>
      <color rgb="FFC00000"/>
      <name val="Calibri"/>
      <family val="2"/>
      <scheme val="minor"/>
    </font>
    <font>
      <sz val="12"/>
      <color theme="0"/>
      <name val="Calibri"/>
      <family val="2"/>
      <scheme val="minor"/>
    </font>
    <font>
      <u/>
      <sz val="12"/>
      <color theme="10"/>
      <name val="Calibri"/>
      <family val="2"/>
      <scheme val="minor"/>
    </font>
    <font>
      <u/>
      <sz val="12"/>
      <color theme="1"/>
      <name val="Calibri"/>
      <family val="2"/>
      <scheme val="minor"/>
    </font>
    <font>
      <sz val="8"/>
      <color rgb="FF010000"/>
      <name val="Arial"/>
      <family val="2"/>
      <charset val="204"/>
    </font>
    <font>
      <b/>
      <i/>
      <sz val="14"/>
      <color rgb="FF010000"/>
      <name val="Calibri"/>
      <family val="2"/>
      <charset val="204"/>
    </font>
    <font>
      <b/>
      <sz val="16"/>
      <color rgb="FF010000"/>
      <name val="Calibri"/>
      <family val="2"/>
      <charset val="204"/>
    </font>
    <font>
      <b/>
      <sz val="10"/>
      <color rgb="FF010000"/>
      <name val="Calibri"/>
      <family val="2"/>
      <charset val="204"/>
    </font>
    <font>
      <b/>
      <u/>
      <sz val="10"/>
      <color rgb="FF558ED5"/>
      <name val="Calibri"/>
      <family val="2"/>
      <charset val="1"/>
    </font>
    <font>
      <i/>
      <sz val="9"/>
      <color rgb="FF010000"/>
      <name val="Calibri"/>
      <family val="2"/>
      <charset val="204"/>
    </font>
    <font>
      <sz val="8"/>
      <color rgb="FF010000"/>
      <name val="Calibri"/>
      <family val="2"/>
      <charset val="1"/>
    </font>
    <font>
      <sz val="10"/>
      <color rgb="FF010000"/>
      <name val="Calibri"/>
      <family val="2"/>
      <charset val="1"/>
    </font>
    <font>
      <b/>
      <sz val="10"/>
      <color rgb="FF010000"/>
      <name val="Calibri"/>
      <family val="2"/>
      <charset val="1"/>
    </font>
    <font>
      <sz val="8"/>
      <name val="Arial"/>
      <family val="2"/>
    </font>
    <font>
      <i/>
      <u/>
      <sz val="12"/>
      <color theme="1"/>
      <name val="Calibri (Body)"/>
    </font>
    <font>
      <sz val="12"/>
      <color theme="1"/>
      <name val="Times New Roman"/>
      <family val="1"/>
    </font>
    <font>
      <sz val="8"/>
      <color theme="0"/>
      <name val="Times New Roman"/>
      <family val="1"/>
    </font>
    <font>
      <sz val="8"/>
      <color theme="1"/>
      <name val="Times New Roman"/>
      <family val="1"/>
    </font>
    <font>
      <sz val="12"/>
      <color rgb="FF000000"/>
      <name val="Calibri"/>
      <family val="2"/>
      <scheme val="minor"/>
    </font>
    <font>
      <sz val="10"/>
      <color rgb="FF000000"/>
      <name val="Times New Roman"/>
      <family val="1"/>
    </font>
    <font>
      <b/>
      <sz val="12"/>
      <color theme="1"/>
      <name val="Times New Roman"/>
      <family val="1"/>
    </font>
    <font>
      <sz val="10"/>
      <color theme="1"/>
      <name val="Times New Roman"/>
      <family val="1"/>
    </font>
    <font>
      <b/>
      <sz val="10"/>
      <color theme="1"/>
      <name val="Times New Roman"/>
      <family val="1"/>
    </font>
    <font>
      <b/>
      <sz val="10"/>
      <color theme="0"/>
      <name val="Times New Roman"/>
      <family val="1"/>
    </font>
    <font>
      <b/>
      <sz val="24"/>
      <color rgb="FF03837E"/>
      <name val="Times New Roman"/>
      <family val="1"/>
    </font>
    <font>
      <sz val="10.5"/>
      <color rgb="FF000000"/>
      <name val="Times New Roman"/>
      <family val="1"/>
    </font>
    <font>
      <b/>
      <sz val="12"/>
      <color rgb="FF000000"/>
      <name val="Calibri"/>
      <family val="2"/>
      <scheme val="minor"/>
    </font>
    <font>
      <b/>
      <sz val="8"/>
      <color theme="1"/>
      <name val="Verdana"/>
      <family val="2"/>
    </font>
    <font>
      <sz val="8"/>
      <color theme="1"/>
      <name val="Verdana"/>
      <family val="2"/>
    </font>
    <font>
      <sz val="8"/>
      <color theme="1"/>
      <name val="Arial"/>
      <family val="2"/>
    </font>
    <font>
      <b/>
      <u/>
      <sz val="12"/>
      <color theme="1"/>
      <name val="Times New Roman"/>
      <family val="1"/>
    </font>
    <font>
      <b/>
      <sz val="9"/>
      <color theme="0"/>
      <name val="Times New Roman"/>
      <family val="1"/>
    </font>
  </fonts>
  <fills count="27">
    <fill>
      <patternFill patternType="none"/>
    </fill>
    <fill>
      <patternFill patternType="gray125"/>
    </fill>
    <fill>
      <patternFill patternType="solid">
        <fgColor theme="0"/>
        <bgColor indexed="64"/>
      </patternFill>
    </fill>
    <fill>
      <patternFill patternType="solid">
        <fgColor rgb="FF9ECAC6"/>
        <bgColor indexed="64"/>
      </patternFill>
    </fill>
    <fill>
      <patternFill patternType="solid">
        <fgColor rgb="FF008079"/>
        <bgColor indexed="64"/>
      </patternFill>
    </fill>
    <fill>
      <patternFill patternType="solid">
        <fgColor rgb="FFBFE5D9"/>
        <bgColor indexed="64"/>
      </patternFill>
    </fill>
    <fill>
      <patternFill patternType="solid">
        <fgColor rgb="FFFFFF00"/>
        <bgColor indexed="64"/>
      </patternFill>
    </fill>
    <fill>
      <patternFill patternType="solid">
        <fgColor rgb="FFD8D8D8"/>
        <bgColor rgb="FFBFBFBF"/>
      </patternFill>
    </fill>
    <fill>
      <patternFill patternType="solid">
        <fgColor theme="9" tint="0.79998168889431442"/>
        <bgColor rgb="FFBFBFBF"/>
      </patternFill>
    </fill>
    <fill>
      <patternFill patternType="solid">
        <fgColor theme="9" tint="0.79998168889431442"/>
        <bgColor indexed="64"/>
      </patternFill>
    </fill>
    <fill>
      <patternFill patternType="solid">
        <fgColor rgb="FFF2F2F2"/>
        <bgColor rgb="FFFFFFFF"/>
      </patternFill>
    </fill>
    <fill>
      <patternFill patternType="solid">
        <fgColor rgb="FFFFFFFF"/>
        <bgColor rgb="FFF2F2F2"/>
      </patternFill>
    </fill>
    <fill>
      <patternFill patternType="solid">
        <fgColor theme="9" tint="0.79998168889431442"/>
        <bgColor rgb="FFF2F2F2"/>
      </patternFill>
    </fill>
    <fill>
      <patternFill patternType="solid">
        <fgColor theme="9" tint="0.79998168889431442"/>
        <bgColor rgb="FFFFFFFF"/>
      </patternFill>
    </fill>
    <fill>
      <patternFill patternType="solid">
        <fgColor theme="0"/>
        <bgColor rgb="FFF2F2F2"/>
      </patternFill>
    </fill>
    <fill>
      <patternFill patternType="solid">
        <fgColor rgb="FFFFFF00"/>
        <bgColor rgb="FFBFBFBF"/>
      </patternFill>
    </fill>
    <fill>
      <patternFill patternType="solid">
        <fgColor rgb="FFFFFF00"/>
        <bgColor rgb="FFF2F2F2"/>
      </patternFill>
    </fill>
    <fill>
      <patternFill patternType="solid">
        <fgColor rgb="FFFFFF00"/>
        <bgColor rgb="FFFFFFFF"/>
      </patternFill>
    </fill>
    <fill>
      <patternFill patternType="solid">
        <fgColor theme="2" tint="-9.9978637043366805E-2"/>
        <bgColor rgb="FFBFBFBF"/>
      </patternFill>
    </fill>
    <fill>
      <patternFill patternType="solid">
        <fgColor theme="2" tint="-9.9978637043366805E-2"/>
        <bgColor indexed="64"/>
      </patternFill>
    </fill>
    <fill>
      <patternFill patternType="solid">
        <fgColor rgb="FFE0F3FF"/>
        <bgColor indexed="64"/>
      </patternFill>
    </fill>
    <fill>
      <patternFill patternType="solid">
        <fgColor rgb="FFE8FFF2"/>
        <bgColor indexed="64"/>
      </patternFill>
    </fill>
    <fill>
      <patternFill patternType="solid">
        <fgColor rgb="FFFFFFFF"/>
        <bgColor rgb="FF000000"/>
      </patternFill>
    </fill>
    <fill>
      <patternFill patternType="solid">
        <fgColor rgb="FFFF0000"/>
        <bgColor indexed="64"/>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40">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
      <left/>
      <right/>
      <top style="medium">
        <color indexed="64"/>
      </top>
      <bottom/>
      <diagonal/>
    </border>
    <border>
      <left/>
      <right style="thin">
        <color indexed="64"/>
      </right>
      <top/>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rgb="FFFFFFFF"/>
      </left>
      <right style="thin">
        <color rgb="FFFFFFFF"/>
      </right>
      <top style="thin">
        <color rgb="FFFFFFFF"/>
      </top>
      <bottom style="thin">
        <color rgb="FFFFFFFF"/>
      </bottom>
      <diagonal/>
    </border>
    <border>
      <left style="thin">
        <color rgb="FF008079"/>
      </left>
      <right style="thin">
        <color rgb="FF008079"/>
      </right>
      <top/>
      <bottom style="thin">
        <color rgb="FF008079"/>
      </bottom>
      <diagonal/>
    </border>
    <border>
      <left/>
      <right/>
      <top/>
      <bottom style="thin">
        <color rgb="FF008079"/>
      </bottom>
      <diagonal/>
    </border>
    <border>
      <left/>
      <right style="thin">
        <color rgb="FF008079"/>
      </right>
      <top/>
      <bottom style="thin">
        <color rgb="FF008079"/>
      </bottom>
      <diagonal/>
    </border>
    <border>
      <left style="thin">
        <color rgb="FF008079"/>
      </left>
      <right style="thin">
        <color rgb="FF008079"/>
      </right>
      <top/>
      <bottom/>
      <diagonal/>
    </border>
    <border>
      <left/>
      <right style="thin">
        <color rgb="FF008079"/>
      </right>
      <top/>
      <bottom/>
      <diagonal/>
    </border>
    <border>
      <left style="thin">
        <color rgb="FF008079"/>
      </left>
      <right/>
      <top/>
      <bottom/>
      <diagonal/>
    </border>
    <border>
      <left/>
      <right/>
      <top/>
      <bottom style="thin">
        <color rgb="FF808080"/>
      </bottom>
      <diagonal/>
    </border>
    <border>
      <left/>
      <right style="thin">
        <color rgb="FF808080"/>
      </right>
      <top/>
      <bottom/>
      <diagonal/>
    </border>
    <border>
      <left style="medium">
        <color rgb="FF808080"/>
      </left>
      <right/>
      <top/>
      <bottom/>
      <diagonal/>
    </border>
    <border>
      <left style="thin">
        <color rgb="FFF2F2F2"/>
      </left>
      <right style="thin">
        <color rgb="FFF2F2F2"/>
      </right>
      <top style="thin">
        <color rgb="FFF2F2F2"/>
      </top>
      <bottom style="thin">
        <color rgb="FFF2F2F2"/>
      </bottom>
      <diagonal/>
    </border>
    <border>
      <left/>
      <right/>
      <top style="medium">
        <color rgb="FF808080"/>
      </top>
      <bottom/>
      <diagonal/>
    </border>
    <border>
      <left/>
      <right/>
      <top/>
      <bottom style="thin">
        <color theme="1"/>
      </bottom>
      <diagonal/>
    </border>
    <border>
      <left style="medium">
        <color theme="1"/>
      </left>
      <right style="medium">
        <color theme="1"/>
      </right>
      <top style="medium">
        <color theme="1"/>
      </top>
      <bottom style="medium">
        <color theme="1"/>
      </bottom>
      <diagonal/>
    </border>
    <border>
      <left style="thin">
        <color rgb="FFBFE5D9"/>
      </left>
      <right style="thin">
        <color rgb="FFBFE5D9"/>
      </right>
      <top style="thin">
        <color rgb="FFBFE5D9"/>
      </top>
      <bottom style="thin">
        <color rgb="FFBFE5D9"/>
      </bottom>
      <diagonal/>
    </border>
    <border>
      <left/>
      <right style="thin">
        <color rgb="FFBFE5D9"/>
      </right>
      <top/>
      <bottom style="thin">
        <color rgb="FFBFE5D9"/>
      </bottom>
      <diagonal/>
    </border>
    <border>
      <left/>
      <right style="thin">
        <color rgb="FFBFE5D9"/>
      </right>
      <top style="thin">
        <color rgb="FFBFE5D9"/>
      </top>
      <bottom style="thin">
        <color rgb="FFBFE5D9"/>
      </bottom>
      <diagonal/>
    </border>
    <border>
      <left/>
      <right style="thin">
        <color rgb="FFBFE5D9"/>
      </right>
      <top style="thin">
        <color rgb="FFBFE5D9"/>
      </top>
      <bottom/>
      <diagonal/>
    </border>
    <border>
      <left style="thin">
        <color rgb="FF00C0B7"/>
      </left>
      <right style="thin">
        <color rgb="FF00C0B7"/>
      </right>
      <top style="thin">
        <color rgb="FF00C0B7"/>
      </top>
      <bottom style="thin">
        <color rgb="FF00C0B7"/>
      </bottom>
      <diagonal/>
    </border>
    <border>
      <left style="thin">
        <color rgb="FF00C0B7"/>
      </left>
      <right style="thin">
        <color rgb="FF00C0B7"/>
      </right>
      <top/>
      <bottom style="thin">
        <color rgb="FF00C0B7"/>
      </bottom>
      <diagonal/>
    </border>
    <border>
      <left style="thin">
        <color rgb="FF00C0B7"/>
      </left>
      <right/>
      <top style="thin">
        <color rgb="FF00C0B7"/>
      </top>
      <bottom style="thin">
        <color rgb="FF00C0B7"/>
      </bottom>
      <diagonal/>
    </border>
    <border>
      <left/>
      <right style="thin">
        <color rgb="FF00C0B7"/>
      </right>
      <top style="thin">
        <color rgb="FF00C0B7"/>
      </top>
      <bottom style="thin">
        <color rgb="FF00C0B7"/>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0" fontId="12" fillId="0" borderId="0" applyNumberFormat="0" applyFill="0" applyBorder="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0" fontId="33" fillId="0" borderId="0" applyNumberFormat="0" applyFill="0" applyBorder="0" applyAlignment="0" applyProtection="0"/>
  </cellStyleXfs>
  <cellXfs count="514">
    <xf numFmtId="0" fontId="0" fillId="0" borderId="0" xfId="0"/>
    <xf numFmtId="0" fontId="0" fillId="2" borderId="0" xfId="0" applyFill="1"/>
    <xf numFmtId="0" fontId="0" fillId="3" borderId="0" xfId="0" applyFill="1"/>
    <xf numFmtId="0" fontId="4" fillId="3" borderId="0" xfId="0" applyFont="1" applyFill="1"/>
    <xf numFmtId="0" fontId="5" fillId="3" borderId="0" xfId="0" applyFont="1" applyFill="1"/>
    <xf numFmtId="164" fontId="4" fillId="3" borderId="0" xfId="0" applyNumberFormat="1" applyFont="1" applyFill="1"/>
    <xf numFmtId="0" fontId="6" fillId="3" borderId="0" xfId="0" applyFont="1" applyFill="1"/>
    <xf numFmtId="0" fontId="7" fillId="2" borderId="0" xfId="1" applyNumberFormat="1" applyFont="1" applyFill="1" applyAlignment="1">
      <alignment vertical="center"/>
    </xf>
    <xf numFmtId="0" fontId="8" fillId="2" borderId="0" xfId="1" applyNumberFormat="1" applyFont="1" applyFill="1" applyAlignment="1">
      <alignment vertical="center"/>
    </xf>
    <xf numFmtId="0" fontId="9" fillId="2" borderId="0" xfId="1" applyNumberFormat="1" applyFont="1" applyFill="1" applyBorder="1" applyAlignment="1">
      <alignment vertical="center"/>
    </xf>
    <xf numFmtId="0" fontId="7" fillId="2" borderId="0" xfId="1" applyNumberFormat="1" applyFont="1" applyFill="1" applyAlignment="1">
      <alignment vertical="center" wrapText="1"/>
    </xf>
    <xf numFmtId="0" fontId="3" fillId="2" borderId="1" xfId="0" applyFont="1" applyFill="1" applyBorder="1"/>
    <xf numFmtId="0" fontId="0" fillId="5" borderId="0" xfId="0" applyFill="1"/>
    <xf numFmtId="0" fontId="2" fillId="4" borderId="1" xfId="0" applyFont="1" applyFill="1" applyBorder="1"/>
    <xf numFmtId="0" fontId="10" fillId="2" borderId="0" xfId="0" applyFont="1" applyFill="1"/>
    <xf numFmtId="0" fontId="11" fillId="2" borderId="0" xfId="0" applyFont="1" applyFill="1"/>
    <xf numFmtId="0" fontId="18" fillId="3" borderId="0" xfId="0" applyFont="1" applyFill="1"/>
    <xf numFmtId="0" fontId="1" fillId="3" borderId="0" xfId="0" applyFont="1" applyFill="1"/>
    <xf numFmtId="0" fontId="1" fillId="2" borderId="0" xfId="0" applyFont="1" applyFill="1"/>
    <xf numFmtId="0" fontId="19" fillId="2" borderId="0" xfId="3" applyFont="1" applyFill="1" applyBorder="1" applyAlignment="1">
      <alignment horizontal="left"/>
    </xf>
    <xf numFmtId="0" fontId="19" fillId="2" borderId="0" xfId="3" applyFont="1" applyFill="1" applyBorder="1"/>
    <xf numFmtId="0" fontId="19" fillId="2" borderId="0" xfId="3" applyFont="1" applyFill="1"/>
    <xf numFmtId="3" fontId="20" fillId="2" borderId="0" xfId="3" applyNumberFormat="1" applyFont="1" applyFill="1" applyAlignment="1" applyProtection="1">
      <alignment horizontal="right"/>
      <protection locked="0"/>
    </xf>
    <xf numFmtId="0" fontId="19" fillId="2" borderId="0" xfId="3" applyFont="1" applyFill="1" applyAlignment="1">
      <alignment horizontal="left"/>
    </xf>
    <xf numFmtId="0" fontId="22" fillId="2" borderId="0" xfId="3" applyFont="1" applyFill="1" applyAlignment="1">
      <alignment horizontal="center"/>
    </xf>
    <xf numFmtId="167" fontId="23" fillId="2" borderId="0" xfId="3" applyNumberFormat="1" applyFont="1" applyFill="1" applyAlignment="1" applyProtection="1">
      <alignment horizontal="right"/>
      <protection locked="0"/>
    </xf>
    <xf numFmtId="167" fontId="24" fillId="2" borderId="0" xfId="3" applyNumberFormat="1" applyFont="1" applyFill="1" applyAlignment="1" applyProtection="1">
      <alignment horizontal="right"/>
      <protection locked="0"/>
    </xf>
    <xf numFmtId="167" fontId="23" fillId="2" borderId="0" xfId="3" applyNumberFormat="1" applyFont="1" applyFill="1" applyAlignment="1" applyProtection="1">
      <alignment horizontal="center"/>
      <protection locked="0"/>
    </xf>
    <xf numFmtId="9" fontId="20" fillId="2" borderId="0" xfId="9" applyFont="1" applyFill="1" applyAlignment="1" applyProtection="1">
      <alignment horizontal="right"/>
      <protection locked="0"/>
    </xf>
    <xf numFmtId="9" fontId="19" fillId="2" borderId="0" xfId="9" applyFont="1" applyFill="1"/>
    <xf numFmtId="165" fontId="21" fillId="2" borderId="0" xfId="3" applyNumberFormat="1" applyFont="1" applyFill="1"/>
    <xf numFmtId="0" fontId="21" fillId="2" borderId="0" xfId="3" applyFont="1" applyFill="1"/>
    <xf numFmtId="169" fontId="20" fillId="2" borderId="0" xfId="3" applyNumberFormat="1" applyFont="1" applyFill="1" applyAlignment="1" applyProtection="1">
      <alignment horizontal="left" wrapText="1"/>
      <protection locked="0"/>
    </xf>
    <xf numFmtId="3" fontId="28" fillId="2" borderId="0" xfId="8" applyNumberFormat="1" applyFont="1" applyFill="1"/>
    <xf numFmtId="169" fontId="27" fillId="2" borderId="0" xfId="3" applyNumberFormat="1" applyFont="1" applyFill="1" applyAlignment="1" applyProtection="1">
      <alignment horizontal="left" wrapText="1"/>
      <protection locked="0"/>
    </xf>
    <xf numFmtId="3" fontId="21" fillId="2" borderId="0" xfId="8" applyNumberFormat="1" applyFont="1" applyFill="1"/>
    <xf numFmtId="3" fontId="19" fillId="2" borderId="0" xfId="3" applyNumberFormat="1" applyFont="1" applyFill="1"/>
    <xf numFmtId="0" fontId="20" fillId="2" borderId="0" xfId="3" applyFont="1" applyFill="1" applyProtection="1">
      <protection locked="0"/>
    </xf>
    <xf numFmtId="3" fontId="28" fillId="2" borderId="0" xfId="3" applyNumberFormat="1" applyFont="1" applyFill="1"/>
    <xf numFmtId="3" fontId="21" fillId="2" borderId="0" xfId="3" applyNumberFormat="1" applyFont="1" applyFill="1"/>
    <xf numFmtId="3" fontId="19" fillId="2" borderId="0" xfId="3" applyNumberFormat="1" applyFont="1" applyFill="1" applyAlignment="1">
      <alignment horizontal="right"/>
    </xf>
    <xf numFmtId="170" fontId="20" fillId="2" borderId="0" xfId="3" applyNumberFormat="1" applyFont="1" applyFill="1" applyAlignment="1" applyProtection="1">
      <alignment horizontal="left" wrapText="1"/>
      <protection locked="0"/>
    </xf>
    <xf numFmtId="170" fontId="19" fillId="2" borderId="0" xfId="3" applyNumberFormat="1" applyFont="1" applyFill="1" applyAlignment="1">
      <alignment horizontal="left" wrapText="1"/>
    </xf>
    <xf numFmtId="9" fontId="21" fillId="2" borderId="0" xfId="9" applyFont="1" applyFill="1"/>
    <xf numFmtId="166" fontId="19" fillId="2" borderId="0" xfId="8" applyNumberFormat="1" applyFont="1" applyFill="1"/>
    <xf numFmtId="171" fontId="21" fillId="2" borderId="0" xfId="3" applyNumberFormat="1" applyFont="1" applyFill="1"/>
    <xf numFmtId="171" fontId="19" fillId="2" borderId="0" xfId="3" applyNumberFormat="1" applyFont="1" applyFill="1"/>
    <xf numFmtId="37" fontId="20" fillId="2" borderId="0" xfId="3" applyNumberFormat="1" applyFont="1" applyFill="1" applyAlignment="1" applyProtection="1">
      <alignment horizontal="left" wrapText="1"/>
      <protection locked="0"/>
    </xf>
    <xf numFmtId="2" fontId="19" fillId="2" borderId="0" xfId="3" applyNumberFormat="1" applyFont="1" applyFill="1"/>
    <xf numFmtId="168" fontId="27" fillId="2" borderId="0" xfId="3" applyNumberFormat="1" applyFont="1" applyFill="1" applyAlignment="1" applyProtection="1">
      <alignment horizontal="right"/>
      <protection locked="0"/>
    </xf>
    <xf numFmtId="168" fontId="21" fillId="2" borderId="0" xfId="3" applyNumberFormat="1" applyFont="1" applyFill="1"/>
    <xf numFmtId="168" fontId="20" fillId="2" borderId="0" xfId="3" applyNumberFormat="1" applyFont="1" applyFill="1" applyAlignment="1" applyProtection="1">
      <alignment horizontal="right"/>
      <protection locked="0"/>
    </xf>
    <xf numFmtId="168" fontId="19" fillId="2" borderId="0" xfId="3" applyNumberFormat="1" applyFont="1" applyFill="1"/>
    <xf numFmtId="168" fontId="21" fillId="2" borderId="0" xfId="9" applyNumberFormat="1" applyFont="1" applyFill="1"/>
    <xf numFmtId="168" fontId="19" fillId="2" borderId="0" xfId="9" applyNumberFormat="1" applyFont="1" applyFill="1"/>
    <xf numFmtId="0" fontId="21" fillId="2" borderId="2" xfId="3" applyFont="1" applyFill="1" applyBorder="1" applyAlignment="1">
      <alignment horizontal="left"/>
    </xf>
    <xf numFmtId="9" fontId="21" fillId="2" borderId="2" xfId="9" applyFont="1" applyFill="1" applyBorder="1"/>
    <xf numFmtId="0" fontId="19" fillId="2" borderId="2" xfId="3" applyFont="1" applyFill="1" applyBorder="1"/>
    <xf numFmtId="1" fontId="19" fillId="2" borderId="2" xfId="4" applyNumberFormat="1" applyFont="1" applyFill="1" applyBorder="1"/>
    <xf numFmtId="3" fontId="19" fillId="2" borderId="2" xfId="3" applyNumberFormat="1" applyFont="1" applyFill="1" applyBorder="1"/>
    <xf numFmtId="9" fontId="19" fillId="2" borderId="2" xfId="4" applyFont="1" applyFill="1" applyBorder="1"/>
    <xf numFmtId="165" fontId="19" fillId="2" borderId="2" xfId="3" applyNumberFormat="1" applyFont="1" applyFill="1" applyBorder="1"/>
    <xf numFmtId="0" fontId="19" fillId="2" borderId="0" xfId="3" applyFont="1" applyFill="1" applyAlignment="1">
      <alignment wrapText="1"/>
    </xf>
    <xf numFmtId="9" fontId="19" fillId="2" borderId="0" xfId="2" applyFont="1" applyFill="1"/>
    <xf numFmtId="166" fontId="19" fillId="2" borderId="0" xfId="1" applyNumberFormat="1" applyFont="1" applyFill="1"/>
    <xf numFmtId="0" fontId="20" fillId="2" borderId="0" xfId="3" applyFont="1" applyFill="1"/>
    <xf numFmtId="167" fontId="27" fillId="2" borderId="0" xfId="3" applyNumberFormat="1" applyFont="1" applyFill="1" applyAlignment="1" applyProtection="1">
      <alignment horizontal="left"/>
      <protection locked="0"/>
    </xf>
    <xf numFmtId="9" fontId="21" fillId="2" borderId="0" xfId="3" applyNumberFormat="1" applyFont="1" applyFill="1" applyAlignment="1">
      <alignment horizontal="right"/>
    </xf>
    <xf numFmtId="167" fontId="20" fillId="2" borderId="0" xfId="3" applyNumberFormat="1" applyFont="1" applyFill="1" applyAlignment="1" applyProtection="1">
      <alignment horizontal="left"/>
      <protection locked="0"/>
    </xf>
    <xf numFmtId="9" fontId="27" fillId="2" borderId="0" xfId="4" applyFont="1" applyFill="1" applyAlignment="1" applyProtection="1">
      <alignment horizontal="right"/>
      <protection locked="0"/>
    </xf>
    <xf numFmtId="1" fontId="27" fillId="2" borderId="0" xfId="4" applyNumberFormat="1" applyFont="1" applyFill="1" applyAlignment="1" applyProtection="1">
      <alignment horizontal="right"/>
      <protection locked="0"/>
    </xf>
    <xf numFmtId="3" fontId="20" fillId="2" borderId="0" xfId="4" applyNumberFormat="1" applyFont="1" applyFill="1" applyAlignment="1" applyProtection="1">
      <alignment horizontal="right"/>
      <protection locked="0"/>
    </xf>
    <xf numFmtId="166" fontId="20" fillId="2" borderId="0" xfId="5" applyNumberFormat="1" applyFont="1" applyFill="1" applyAlignment="1" applyProtection="1">
      <alignment horizontal="right"/>
      <protection locked="0"/>
    </xf>
    <xf numFmtId="3" fontId="27" fillId="2" borderId="0" xfId="4" applyNumberFormat="1" applyFont="1" applyFill="1" applyAlignment="1" applyProtection="1">
      <alignment horizontal="right"/>
      <protection locked="0"/>
    </xf>
    <xf numFmtId="166" fontId="27" fillId="2" borderId="0" xfId="5" applyNumberFormat="1" applyFont="1" applyFill="1" applyAlignment="1" applyProtection="1">
      <alignment horizontal="right"/>
      <protection locked="0"/>
    </xf>
    <xf numFmtId="9" fontId="19" fillId="2" borderId="0" xfId="3" applyNumberFormat="1" applyFont="1" applyFill="1" applyAlignment="1">
      <alignment horizontal="right"/>
    </xf>
    <xf numFmtId="9" fontId="20" fillId="2" borderId="0" xfId="4" applyFont="1" applyFill="1" applyAlignment="1" applyProtection="1">
      <alignment horizontal="right"/>
      <protection locked="0"/>
    </xf>
    <xf numFmtId="9" fontId="20" fillId="2" borderId="0" xfId="2" applyFont="1" applyFill="1" applyAlignment="1" applyProtection="1">
      <alignment horizontal="right"/>
      <protection locked="0"/>
    </xf>
    <xf numFmtId="167" fontId="27" fillId="2" borderId="1" xfId="3" applyNumberFormat="1" applyFont="1" applyFill="1" applyBorder="1" applyAlignment="1" applyProtection="1">
      <alignment horizontal="left"/>
      <protection locked="0"/>
    </xf>
    <xf numFmtId="0" fontId="21" fillId="2" borderId="1" xfId="3" applyFont="1" applyFill="1" applyBorder="1"/>
    <xf numFmtId="9" fontId="27" fillId="2" borderId="1" xfId="4" applyFont="1" applyFill="1" applyBorder="1" applyAlignment="1" applyProtection="1">
      <alignment horizontal="right"/>
      <protection locked="0"/>
    </xf>
    <xf numFmtId="3" fontId="27" fillId="2" borderId="1" xfId="4" applyNumberFormat="1" applyFont="1" applyFill="1" applyBorder="1" applyAlignment="1" applyProtection="1">
      <alignment horizontal="right"/>
      <protection locked="0"/>
    </xf>
    <xf numFmtId="166" fontId="27" fillId="2" borderId="1" xfId="5" applyNumberFormat="1" applyFont="1" applyFill="1" applyBorder="1" applyAlignment="1" applyProtection="1">
      <alignment horizontal="right"/>
      <protection locked="0"/>
    </xf>
    <xf numFmtId="9" fontId="21" fillId="2" borderId="1" xfId="3" applyNumberFormat="1" applyFont="1" applyFill="1" applyBorder="1" applyAlignment="1">
      <alignment horizontal="right"/>
    </xf>
    <xf numFmtId="9" fontId="27" fillId="2" borderId="1" xfId="2" applyFont="1" applyFill="1" applyBorder="1" applyAlignment="1" applyProtection="1">
      <alignment horizontal="right"/>
      <protection locked="0"/>
    </xf>
    <xf numFmtId="0" fontId="20" fillId="2" borderId="0" xfId="3" applyFont="1" applyFill="1" applyAlignment="1">
      <alignment wrapText="1"/>
    </xf>
    <xf numFmtId="3" fontId="20" fillId="2" borderId="0" xfId="3" applyNumberFormat="1" applyFont="1" applyFill="1" applyProtection="1">
      <protection locked="0"/>
    </xf>
    <xf numFmtId="0" fontId="27" fillId="2" borderId="0" xfId="3" applyFont="1" applyFill="1" applyAlignment="1">
      <alignment wrapText="1"/>
    </xf>
    <xf numFmtId="3" fontId="27" fillId="2" borderId="0" xfId="3" applyNumberFormat="1" applyFont="1" applyFill="1" applyProtection="1">
      <protection locked="0"/>
    </xf>
    <xf numFmtId="9" fontId="20" fillId="2" borderId="0" xfId="4" applyFont="1" applyFill="1" applyProtection="1">
      <protection locked="0"/>
    </xf>
    <xf numFmtId="9" fontId="19" fillId="2" borderId="0" xfId="4" applyFont="1" applyFill="1"/>
    <xf numFmtId="9" fontId="27" fillId="2" borderId="1" xfId="6" applyFont="1" applyFill="1" applyBorder="1" applyAlignment="1" applyProtection="1">
      <alignment horizontal="right"/>
      <protection locked="0"/>
    </xf>
    <xf numFmtId="9" fontId="21" fillId="2" borderId="0" xfId="4" applyFont="1" applyFill="1"/>
    <xf numFmtId="9" fontId="21" fillId="2" borderId="0" xfId="4" applyFont="1" applyFill="1" applyAlignment="1">
      <alignment horizontal="right"/>
    </xf>
    <xf numFmtId="166" fontId="21" fillId="2" borderId="0" xfId="5" applyNumberFormat="1" applyFont="1" applyFill="1" applyAlignment="1">
      <alignment horizontal="right"/>
    </xf>
    <xf numFmtId="9" fontId="21" fillId="2" borderId="0" xfId="2" applyFont="1" applyFill="1" applyAlignment="1">
      <alignment horizontal="right"/>
    </xf>
    <xf numFmtId="166" fontId="20" fillId="2" borderId="0" xfId="1" applyNumberFormat="1" applyFont="1" applyFill="1" applyAlignment="1" applyProtection="1">
      <alignment horizontal="right"/>
      <protection locked="0"/>
    </xf>
    <xf numFmtId="3" fontId="21" fillId="2" borderId="1" xfId="3" applyNumberFormat="1" applyFont="1" applyFill="1" applyBorder="1"/>
    <xf numFmtId="0" fontId="19" fillId="2" borderId="1" xfId="3" applyFont="1" applyFill="1" applyBorder="1"/>
    <xf numFmtId="9" fontId="21" fillId="2" borderId="1" xfId="4" applyFont="1" applyFill="1" applyBorder="1"/>
    <xf numFmtId="9" fontId="21" fillId="2" borderId="1" xfId="4" applyFont="1" applyFill="1" applyBorder="1" applyAlignment="1">
      <alignment horizontal="right"/>
    </xf>
    <xf numFmtId="166" fontId="21" fillId="2" borderId="1" xfId="5" applyNumberFormat="1" applyFont="1" applyFill="1" applyBorder="1" applyAlignment="1">
      <alignment horizontal="right"/>
    </xf>
    <xf numFmtId="9" fontId="21" fillId="2" borderId="1" xfId="2" applyFont="1" applyFill="1" applyBorder="1" applyAlignment="1">
      <alignment horizontal="right"/>
    </xf>
    <xf numFmtId="166" fontId="27" fillId="2" borderId="1" xfId="4" applyNumberFormat="1" applyFont="1" applyFill="1" applyBorder="1" applyAlignment="1" applyProtection="1">
      <alignment horizontal="right"/>
      <protection locked="0"/>
    </xf>
    <xf numFmtId="0" fontId="27" fillId="2" borderId="0" xfId="3" applyFont="1" applyFill="1"/>
    <xf numFmtId="43" fontId="20" fillId="2" borderId="0" xfId="5" applyFont="1" applyFill="1" applyAlignment="1" applyProtection="1">
      <alignment horizontal="right"/>
      <protection locked="0"/>
    </xf>
    <xf numFmtId="1" fontId="19" fillId="2" borderId="0" xfId="3" applyNumberFormat="1" applyFont="1" applyFill="1"/>
    <xf numFmtId="166" fontId="20" fillId="2" borderId="0" xfId="4" applyNumberFormat="1" applyFont="1" applyFill="1" applyAlignment="1" applyProtection="1">
      <alignment horizontal="right"/>
      <protection locked="0"/>
    </xf>
    <xf numFmtId="166" fontId="20" fillId="2" borderId="0" xfId="7" applyNumberFormat="1" applyFont="1" applyFill="1" applyAlignment="1" applyProtection="1">
      <alignment horizontal="right"/>
      <protection locked="0"/>
    </xf>
    <xf numFmtId="166" fontId="27" fillId="2" borderId="0" xfId="4" applyNumberFormat="1" applyFont="1" applyFill="1" applyAlignment="1" applyProtection="1">
      <alignment horizontal="right"/>
      <protection locked="0"/>
    </xf>
    <xf numFmtId="166" fontId="27" fillId="2" borderId="0" xfId="7" applyNumberFormat="1" applyFont="1" applyFill="1" applyAlignment="1" applyProtection="1">
      <alignment horizontal="right"/>
      <protection locked="0"/>
    </xf>
    <xf numFmtId="9" fontId="19" fillId="2" borderId="0" xfId="2" applyFont="1" applyFill="1" applyAlignment="1">
      <alignment horizontal="right"/>
    </xf>
    <xf numFmtId="165" fontId="27" fillId="2" borderId="0" xfId="4" applyNumberFormat="1" applyFont="1" applyFill="1" applyAlignment="1" applyProtection="1">
      <alignment horizontal="right"/>
      <protection locked="0"/>
    </xf>
    <xf numFmtId="165" fontId="20" fillId="2" borderId="0" xfId="4" applyNumberFormat="1" applyFont="1" applyFill="1" applyAlignment="1" applyProtection="1">
      <alignment horizontal="right"/>
      <protection locked="0"/>
    </xf>
    <xf numFmtId="9" fontId="27" fillId="2" borderId="0" xfId="6" applyFont="1" applyFill="1" applyAlignment="1" applyProtection="1">
      <alignment horizontal="right"/>
      <protection locked="0"/>
    </xf>
    <xf numFmtId="167" fontId="20" fillId="2" borderId="0" xfId="3" applyNumberFormat="1" applyFont="1" applyFill="1" applyProtection="1">
      <protection locked="0"/>
    </xf>
    <xf numFmtId="167" fontId="27" fillId="2" borderId="0" xfId="3" applyNumberFormat="1" applyFont="1" applyFill="1" applyProtection="1">
      <protection locked="0"/>
    </xf>
    <xf numFmtId="167" fontId="20" fillId="2" borderId="0" xfId="3" applyNumberFormat="1" applyFont="1" applyFill="1" applyAlignment="1" applyProtection="1">
      <alignment wrapText="1"/>
      <protection locked="0"/>
    </xf>
    <xf numFmtId="167" fontId="27" fillId="2" borderId="0" xfId="3" applyNumberFormat="1" applyFont="1" applyFill="1" applyAlignment="1" applyProtection="1">
      <alignment wrapText="1"/>
      <protection locked="0"/>
    </xf>
    <xf numFmtId="9" fontId="19" fillId="2" borderId="0" xfId="4" applyFont="1" applyFill="1" applyAlignment="1">
      <alignment horizontal="right"/>
    </xf>
    <xf numFmtId="166" fontId="19" fillId="2" borderId="0" xfId="5" applyNumberFormat="1" applyFont="1" applyFill="1" applyAlignment="1">
      <alignment horizontal="right"/>
    </xf>
    <xf numFmtId="166" fontId="19" fillId="2" borderId="0" xfId="4" applyNumberFormat="1" applyFont="1" applyFill="1" applyAlignment="1">
      <alignment horizontal="right"/>
    </xf>
    <xf numFmtId="166" fontId="21" fillId="2" borderId="0" xfId="4" applyNumberFormat="1" applyFont="1" applyFill="1" applyAlignment="1">
      <alignment horizontal="right"/>
    </xf>
    <xf numFmtId="166" fontId="19" fillId="2" borderId="0" xfId="7" applyNumberFormat="1" applyFont="1" applyFill="1" applyAlignment="1">
      <alignment horizontal="right"/>
    </xf>
    <xf numFmtId="166" fontId="21" fillId="2" borderId="0" xfId="7" applyNumberFormat="1" applyFont="1" applyFill="1" applyAlignment="1">
      <alignment horizontal="right"/>
    </xf>
    <xf numFmtId="167" fontId="20" fillId="2" borderId="0" xfId="3" applyNumberFormat="1" applyFont="1" applyFill="1" applyAlignment="1" applyProtection="1">
      <alignment horizontal="left" wrapText="1"/>
      <protection locked="0"/>
    </xf>
    <xf numFmtId="167" fontId="27" fillId="2" borderId="0" xfId="3" applyNumberFormat="1" applyFont="1" applyFill="1" applyAlignment="1" applyProtection="1">
      <alignment horizontal="left" wrapText="1"/>
      <protection locked="0"/>
    </xf>
    <xf numFmtId="168" fontId="19" fillId="2" borderId="0" xfId="3" applyNumberFormat="1" applyFont="1" applyFill="1" applyAlignment="1">
      <alignment horizontal="right"/>
    </xf>
    <xf numFmtId="37" fontId="19" fillId="2" borderId="0" xfId="3" applyNumberFormat="1" applyFont="1" applyFill="1" applyAlignment="1">
      <alignment horizontal="right"/>
    </xf>
    <xf numFmtId="37" fontId="21" fillId="2" borderId="0" xfId="3" applyNumberFormat="1" applyFont="1" applyFill="1" applyAlignment="1">
      <alignment horizontal="right"/>
    </xf>
    <xf numFmtId="168" fontId="21" fillId="2" borderId="1" xfId="3" applyNumberFormat="1" applyFont="1" applyFill="1" applyBorder="1" applyAlignment="1">
      <alignment horizontal="right"/>
    </xf>
    <xf numFmtId="168" fontId="21" fillId="2" borderId="0" xfId="3" applyNumberFormat="1" applyFont="1" applyFill="1" applyAlignment="1">
      <alignment horizontal="right"/>
    </xf>
    <xf numFmtId="167" fontId="27" fillId="2" borderId="0" xfId="3" applyNumberFormat="1" applyFont="1" applyFill="1" applyAlignment="1" applyProtection="1">
      <alignment horizontal="left" indent="1"/>
      <protection locked="0"/>
    </xf>
    <xf numFmtId="0" fontId="19" fillId="2" borderId="0" xfId="3" applyFont="1" applyFill="1" applyAlignment="1">
      <alignment horizontal="right"/>
    </xf>
    <xf numFmtId="0" fontId="21" fillId="2" borderId="0" xfId="3" applyFont="1" applyFill="1" applyAlignment="1">
      <alignment horizontal="right"/>
    </xf>
    <xf numFmtId="165" fontId="19" fillId="2" borderId="0" xfId="3" applyNumberFormat="1" applyFont="1" applyFill="1"/>
    <xf numFmtId="165" fontId="20" fillId="2" borderId="0" xfId="3" applyNumberFormat="1" applyFont="1" applyFill="1" applyProtection="1">
      <protection locked="0"/>
    </xf>
    <xf numFmtId="2" fontId="20" fillId="2" borderId="0" xfId="3" applyNumberFormat="1" applyFont="1" applyFill="1"/>
    <xf numFmtId="2" fontId="27" fillId="2" borderId="0" xfId="3" applyNumberFormat="1" applyFont="1" applyFill="1"/>
    <xf numFmtId="9" fontId="19" fillId="2" borderId="0" xfId="6" applyFont="1" applyFill="1"/>
    <xf numFmtId="166" fontId="27" fillId="2" borderId="0" xfId="1" applyNumberFormat="1" applyFont="1" applyFill="1" applyAlignment="1" applyProtection="1">
      <alignment horizontal="right"/>
      <protection locked="0"/>
    </xf>
    <xf numFmtId="1" fontId="20" fillId="2" borderId="0" xfId="3" applyNumberFormat="1" applyFont="1" applyFill="1" applyProtection="1">
      <protection locked="0"/>
    </xf>
    <xf numFmtId="9" fontId="19" fillId="2" borderId="1" xfId="3" applyNumberFormat="1" applyFont="1" applyFill="1" applyBorder="1" applyAlignment="1">
      <alignment horizontal="right"/>
    </xf>
    <xf numFmtId="17" fontId="22" fillId="2" borderId="0" xfId="3" applyNumberFormat="1" applyFont="1" applyFill="1" applyAlignment="1">
      <alignment horizontal="center"/>
    </xf>
    <xf numFmtId="3" fontId="19" fillId="2" borderId="0" xfId="3" quotePrefix="1" applyNumberFormat="1" applyFont="1" applyFill="1" applyAlignment="1">
      <alignment horizontal="right"/>
    </xf>
    <xf numFmtId="3" fontId="21" fillId="2" borderId="0" xfId="3" quotePrefix="1" applyNumberFormat="1" applyFont="1" applyFill="1" applyAlignment="1">
      <alignment horizontal="right"/>
    </xf>
    <xf numFmtId="3" fontId="21" fillId="2" borderId="0" xfId="3" applyNumberFormat="1" applyFont="1" applyFill="1" applyAlignment="1">
      <alignment horizontal="right"/>
    </xf>
    <xf numFmtId="0" fontId="22" fillId="2" borderId="0" xfId="3" quotePrefix="1" applyFont="1" applyFill="1" applyAlignment="1">
      <alignment horizontal="right"/>
    </xf>
    <xf numFmtId="17" fontId="22" fillId="2" borderId="0" xfId="3" applyNumberFormat="1" applyFont="1" applyFill="1" applyAlignment="1">
      <alignment horizontal="right"/>
    </xf>
    <xf numFmtId="17" fontId="22" fillId="2" borderId="1" xfId="3" applyNumberFormat="1" applyFont="1" applyFill="1" applyBorder="1" applyAlignment="1">
      <alignment horizontal="center"/>
    </xf>
    <xf numFmtId="0" fontId="22" fillId="2" borderId="1" xfId="3" quotePrefix="1" applyFont="1" applyFill="1" applyBorder="1" applyAlignment="1">
      <alignment horizontal="right"/>
    </xf>
    <xf numFmtId="17" fontId="22" fillId="2" borderId="1" xfId="3" applyNumberFormat="1" applyFont="1" applyFill="1" applyBorder="1" applyAlignment="1">
      <alignment horizontal="right"/>
    </xf>
    <xf numFmtId="3" fontId="19" fillId="2" borderId="0" xfId="4" applyNumberFormat="1" applyFont="1" applyFill="1"/>
    <xf numFmtId="3" fontId="19" fillId="2" borderId="0" xfId="4" applyNumberFormat="1" applyFont="1" applyFill="1" applyAlignment="1">
      <alignment horizontal="right"/>
    </xf>
    <xf numFmtId="3" fontId="21" fillId="2" borderId="0" xfId="4" applyNumberFormat="1" applyFont="1" applyFill="1"/>
    <xf numFmtId="3" fontId="21" fillId="2" borderId="0" xfId="4" applyNumberFormat="1" applyFont="1" applyFill="1" applyAlignment="1">
      <alignment horizontal="right"/>
    </xf>
    <xf numFmtId="9" fontId="21" fillId="2" borderId="1" xfId="6" applyFont="1" applyFill="1" applyBorder="1"/>
    <xf numFmtId="9" fontId="19" fillId="2" borderId="0" xfId="6" applyFont="1" applyFill="1" applyAlignment="1">
      <alignment horizontal="right"/>
    </xf>
    <xf numFmtId="167" fontId="27" fillId="2" borderId="2" xfId="3" applyNumberFormat="1" applyFont="1" applyFill="1" applyBorder="1" applyAlignment="1" applyProtection="1">
      <alignment horizontal="left"/>
      <protection locked="0"/>
    </xf>
    <xf numFmtId="0" fontId="21" fillId="2" borderId="2" xfId="3" applyFont="1" applyFill="1" applyBorder="1"/>
    <xf numFmtId="9" fontId="27" fillId="2" borderId="2" xfId="4" applyFont="1" applyFill="1" applyBorder="1" applyAlignment="1" applyProtection="1">
      <alignment horizontal="right"/>
      <protection locked="0"/>
    </xf>
    <xf numFmtId="9" fontId="27" fillId="2" borderId="2" xfId="6" applyFont="1" applyFill="1" applyBorder="1" applyAlignment="1" applyProtection="1">
      <alignment horizontal="right"/>
      <protection locked="0"/>
    </xf>
    <xf numFmtId="167" fontId="20" fillId="2" borderId="0" xfId="3" applyNumberFormat="1" applyFont="1" applyFill="1" applyAlignment="1" applyProtection="1">
      <alignment vertical="top"/>
      <protection locked="0"/>
    </xf>
    <xf numFmtId="9" fontId="21" fillId="2" borderId="3" xfId="3" applyNumberFormat="1" applyFont="1" applyFill="1" applyBorder="1" applyAlignment="1">
      <alignment horizontal="right"/>
    </xf>
    <xf numFmtId="3" fontId="21" fillId="2" borderId="3" xfId="3" applyNumberFormat="1" applyFont="1" applyFill="1" applyBorder="1" applyAlignment="1">
      <alignment horizontal="right"/>
    </xf>
    <xf numFmtId="166" fontId="21" fillId="2" borderId="0" xfId="3" applyNumberFormat="1" applyFont="1" applyFill="1" applyAlignment="1">
      <alignment horizontal="right"/>
    </xf>
    <xf numFmtId="166" fontId="19" fillId="2" borderId="0" xfId="3" applyNumberFormat="1" applyFont="1" applyFill="1" applyAlignment="1">
      <alignment horizontal="right"/>
    </xf>
    <xf numFmtId="0" fontId="19" fillId="2" borderId="0" xfId="5" applyNumberFormat="1" applyFont="1" applyFill="1" applyAlignment="1">
      <alignment horizontal="right"/>
    </xf>
    <xf numFmtId="166" fontId="21" fillId="2" borderId="1" xfId="3" applyNumberFormat="1" applyFont="1" applyFill="1" applyBorder="1" applyAlignment="1">
      <alignment horizontal="right"/>
    </xf>
    <xf numFmtId="0" fontId="21" fillId="2" borderId="1" xfId="5" applyNumberFormat="1" applyFont="1" applyFill="1" applyBorder="1" applyAlignment="1">
      <alignment horizontal="right"/>
    </xf>
    <xf numFmtId="0" fontId="21" fillId="2" borderId="1" xfId="3" applyFont="1" applyFill="1" applyBorder="1" applyAlignment="1">
      <alignment horizontal="right"/>
    </xf>
    <xf numFmtId="43" fontId="19" fillId="2" borderId="0" xfId="5" applyFont="1" applyFill="1" applyAlignment="1">
      <alignment horizontal="right"/>
    </xf>
    <xf numFmtId="0" fontId="27" fillId="2" borderId="1" xfId="3" applyFont="1" applyFill="1" applyBorder="1"/>
    <xf numFmtId="3" fontId="19" fillId="2" borderId="0" xfId="5" applyNumberFormat="1" applyFont="1" applyFill="1" applyAlignment="1">
      <alignment horizontal="right"/>
    </xf>
    <xf numFmtId="3" fontId="21" fillId="2" borderId="1" xfId="5" applyNumberFormat="1" applyFont="1" applyFill="1" applyBorder="1" applyAlignment="1">
      <alignment horizontal="right"/>
    </xf>
    <xf numFmtId="166" fontId="21" fillId="2" borderId="1" xfId="4" applyNumberFormat="1" applyFont="1" applyFill="1" applyBorder="1" applyAlignment="1">
      <alignment horizontal="right"/>
    </xf>
    <xf numFmtId="3" fontId="19" fillId="2" borderId="0" xfId="3" applyNumberFormat="1" applyFont="1" applyFill="1" applyBorder="1"/>
    <xf numFmtId="9" fontId="19" fillId="2" borderId="0" xfId="3" applyNumberFormat="1" applyFont="1" applyFill="1" applyBorder="1" applyAlignment="1">
      <alignment horizontal="right"/>
    </xf>
    <xf numFmtId="9" fontId="19" fillId="2" borderId="0" xfId="4" applyFont="1" applyFill="1" applyBorder="1"/>
    <xf numFmtId="9" fontId="19" fillId="2" borderId="0" xfId="4" applyFont="1" applyFill="1" applyBorder="1" applyAlignment="1">
      <alignment horizontal="right"/>
    </xf>
    <xf numFmtId="166" fontId="19" fillId="2" borderId="0" xfId="5" applyNumberFormat="1" applyFont="1" applyFill="1" applyBorder="1" applyAlignment="1">
      <alignment horizontal="right"/>
    </xf>
    <xf numFmtId="166" fontId="19" fillId="2" borderId="0" xfId="4" applyNumberFormat="1" applyFont="1" applyFill="1" applyBorder="1" applyAlignment="1">
      <alignment horizontal="right"/>
    </xf>
    <xf numFmtId="3" fontId="19" fillId="2" borderId="0" xfId="5" applyNumberFormat="1" applyFont="1" applyFill="1" applyBorder="1" applyAlignment="1">
      <alignment horizontal="right"/>
    </xf>
    <xf numFmtId="3" fontId="19" fillId="5" borderId="0" xfId="3" applyNumberFormat="1" applyFont="1" applyFill="1"/>
    <xf numFmtId="166" fontId="27" fillId="5" borderId="0" xfId="5" applyNumberFormat="1" applyFont="1" applyFill="1" applyAlignment="1" applyProtection="1">
      <alignment horizontal="right"/>
      <protection locked="0"/>
    </xf>
    <xf numFmtId="9" fontId="20" fillId="5" borderId="0" xfId="2" applyFont="1" applyFill="1" applyAlignment="1" applyProtection="1">
      <alignment horizontal="right"/>
      <protection locked="0"/>
    </xf>
    <xf numFmtId="9" fontId="27" fillId="5" borderId="1" xfId="2" applyFont="1" applyFill="1" applyBorder="1" applyAlignment="1" applyProtection="1">
      <alignment horizontal="right"/>
      <protection locked="0"/>
    </xf>
    <xf numFmtId="3" fontId="21" fillId="5" borderId="0" xfId="3" applyNumberFormat="1" applyFont="1" applyFill="1"/>
    <xf numFmtId="9" fontId="19" fillId="5" borderId="0" xfId="4" applyFont="1" applyFill="1"/>
    <xf numFmtId="9" fontId="27" fillId="5" borderId="1" xfId="4" applyFont="1" applyFill="1" applyBorder="1" applyAlignment="1" applyProtection="1">
      <alignment horizontal="right"/>
      <protection locked="0"/>
    </xf>
    <xf numFmtId="166" fontId="20" fillId="5" borderId="0" xfId="1" applyNumberFormat="1" applyFont="1" applyFill="1" applyAlignment="1" applyProtection="1">
      <alignment horizontal="right"/>
      <protection locked="0"/>
    </xf>
    <xf numFmtId="166" fontId="27" fillId="5" borderId="1" xfId="4" applyNumberFormat="1" applyFont="1" applyFill="1" applyBorder="1" applyAlignment="1" applyProtection="1">
      <alignment horizontal="right"/>
      <protection locked="0"/>
    </xf>
    <xf numFmtId="9" fontId="19" fillId="5" borderId="0" xfId="3" applyNumberFormat="1" applyFont="1" applyFill="1" applyAlignment="1">
      <alignment horizontal="right"/>
    </xf>
    <xf numFmtId="9" fontId="21" fillId="5" borderId="1" xfId="3" applyNumberFormat="1" applyFont="1" applyFill="1" applyBorder="1" applyAlignment="1">
      <alignment horizontal="right"/>
    </xf>
    <xf numFmtId="9" fontId="21" fillId="5" borderId="0" xfId="3" applyNumberFormat="1" applyFont="1" applyFill="1" applyAlignment="1">
      <alignment horizontal="right"/>
    </xf>
    <xf numFmtId="9" fontId="20" fillId="5" borderId="0" xfId="4" applyFont="1" applyFill="1" applyAlignment="1" applyProtection="1">
      <alignment horizontal="right"/>
      <protection locked="0"/>
    </xf>
    <xf numFmtId="166" fontId="19" fillId="5" borderId="0" xfId="5" applyNumberFormat="1" applyFont="1" applyFill="1" applyAlignment="1">
      <alignment horizontal="right"/>
    </xf>
    <xf numFmtId="166" fontId="21" fillId="5" borderId="0" xfId="5" applyNumberFormat="1" applyFont="1" applyFill="1" applyAlignment="1">
      <alignment horizontal="right"/>
    </xf>
    <xf numFmtId="9" fontId="19" fillId="5" borderId="0" xfId="2" applyFont="1" applyFill="1"/>
    <xf numFmtId="9" fontId="21" fillId="5" borderId="1" xfId="4" applyFont="1" applyFill="1" applyBorder="1"/>
    <xf numFmtId="166" fontId="20" fillId="5" borderId="0" xfId="5" applyNumberFormat="1" applyFont="1" applyFill="1" applyAlignment="1" applyProtection="1">
      <alignment horizontal="right"/>
      <protection locked="0"/>
    </xf>
    <xf numFmtId="37" fontId="19" fillId="5" borderId="0" xfId="3" applyNumberFormat="1" applyFont="1" applyFill="1" applyAlignment="1">
      <alignment horizontal="right"/>
    </xf>
    <xf numFmtId="37" fontId="21" fillId="5" borderId="0" xfId="3" applyNumberFormat="1" applyFont="1" applyFill="1" applyAlignment="1">
      <alignment horizontal="right"/>
    </xf>
    <xf numFmtId="9" fontId="19" fillId="5" borderId="0" xfId="4" applyFont="1" applyFill="1" applyAlignment="1">
      <alignment horizontal="right"/>
    </xf>
    <xf numFmtId="9" fontId="27" fillId="5" borderId="0" xfId="4" applyFont="1" applyFill="1" applyAlignment="1" applyProtection="1">
      <alignment horizontal="right"/>
      <protection locked="0"/>
    </xf>
    <xf numFmtId="166" fontId="27" fillId="5" borderId="0" xfId="1" applyNumberFormat="1" applyFont="1" applyFill="1" applyAlignment="1" applyProtection="1">
      <alignment horizontal="right"/>
      <protection locked="0"/>
    </xf>
    <xf numFmtId="1" fontId="19" fillId="5" borderId="0" xfId="3" applyNumberFormat="1" applyFont="1" applyFill="1"/>
    <xf numFmtId="3" fontId="19" fillId="5" borderId="0" xfId="4" applyNumberFormat="1" applyFont="1" applyFill="1"/>
    <xf numFmtId="3" fontId="21" fillId="5" borderId="0" xfId="4" applyNumberFormat="1" applyFont="1" applyFill="1" applyAlignment="1">
      <alignment horizontal="right"/>
    </xf>
    <xf numFmtId="9" fontId="21" fillId="5" borderId="1" xfId="4" applyFont="1" applyFill="1" applyBorder="1" applyAlignment="1">
      <alignment horizontal="right"/>
    </xf>
    <xf numFmtId="9" fontId="27" fillId="5" borderId="2" xfId="4" applyFont="1" applyFill="1" applyBorder="1" applyAlignment="1" applyProtection="1">
      <alignment horizontal="right"/>
      <protection locked="0"/>
    </xf>
    <xf numFmtId="0" fontId="19" fillId="5" borderId="0" xfId="3" applyFont="1" applyFill="1" applyAlignment="1">
      <alignment horizontal="right"/>
    </xf>
    <xf numFmtId="0" fontId="21" fillId="5" borderId="1" xfId="3" applyFont="1" applyFill="1" applyBorder="1" applyAlignment="1">
      <alignment horizontal="right"/>
    </xf>
    <xf numFmtId="166" fontId="27" fillId="5" borderId="1" xfId="5" applyNumberFormat="1" applyFont="1" applyFill="1" applyBorder="1" applyAlignment="1" applyProtection="1">
      <alignment horizontal="right"/>
      <protection locked="0"/>
    </xf>
    <xf numFmtId="166" fontId="21" fillId="5" borderId="1" xfId="5" applyNumberFormat="1" applyFont="1" applyFill="1" applyBorder="1" applyAlignment="1">
      <alignment horizontal="right"/>
    </xf>
    <xf numFmtId="166" fontId="19" fillId="5" borderId="0" xfId="5" applyNumberFormat="1" applyFont="1" applyFill="1" applyBorder="1" applyAlignment="1">
      <alignment horizontal="right"/>
    </xf>
    <xf numFmtId="3" fontId="20" fillId="5" borderId="0" xfId="3" applyNumberFormat="1" applyFont="1" applyFill="1" applyProtection="1">
      <protection locked="0"/>
    </xf>
    <xf numFmtId="3" fontId="27" fillId="5" borderId="0" xfId="3" applyNumberFormat="1" applyFont="1" applyFill="1" applyProtection="1">
      <protection locked="0"/>
    </xf>
    <xf numFmtId="167" fontId="29" fillId="4" borderId="0" xfId="3" applyNumberFormat="1" applyFont="1" applyFill="1" applyAlignment="1" applyProtection="1">
      <alignment horizontal="right"/>
      <protection locked="0"/>
    </xf>
    <xf numFmtId="3" fontId="20" fillId="5" borderId="0" xfId="3" applyNumberFormat="1" applyFont="1" applyFill="1" applyAlignment="1" applyProtection="1">
      <alignment horizontal="right"/>
      <protection locked="0"/>
    </xf>
    <xf numFmtId="165" fontId="21" fillId="5" borderId="0" xfId="3" applyNumberFormat="1" applyFont="1" applyFill="1"/>
    <xf numFmtId="3" fontId="28" fillId="5" borderId="0" xfId="8" applyNumberFormat="1" applyFont="1" applyFill="1"/>
    <xf numFmtId="3" fontId="21" fillId="5" borderId="0" xfId="8" applyNumberFormat="1" applyFont="1" applyFill="1"/>
    <xf numFmtId="3" fontId="28" fillId="5" borderId="0" xfId="3" applyNumberFormat="1" applyFont="1" applyFill="1"/>
    <xf numFmtId="3" fontId="19" fillId="5" borderId="0" xfId="3" applyNumberFormat="1" applyFont="1" applyFill="1" applyAlignment="1">
      <alignment horizontal="right"/>
    </xf>
    <xf numFmtId="9" fontId="19" fillId="5" borderId="0" xfId="9" applyFont="1" applyFill="1"/>
    <xf numFmtId="166" fontId="19" fillId="5" borderId="0" xfId="8" applyNumberFormat="1" applyFont="1" applyFill="1"/>
    <xf numFmtId="171" fontId="21" fillId="5" borderId="0" xfId="3" applyNumberFormat="1" applyFont="1" applyFill="1"/>
    <xf numFmtId="171" fontId="19" fillId="5" borderId="0" xfId="3" applyNumberFormat="1" applyFont="1" applyFill="1"/>
    <xf numFmtId="0" fontId="19" fillId="5" borderId="0" xfId="3" applyFont="1" applyFill="1"/>
    <xf numFmtId="168" fontId="21" fillId="5" borderId="0" xfId="3" applyNumberFormat="1" applyFont="1" applyFill="1"/>
    <xf numFmtId="168" fontId="19" fillId="5" borderId="0" xfId="3" applyNumberFormat="1" applyFont="1" applyFill="1"/>
    <xf numFmtId="168" fontId="21" fillId="5" borderId="0" xfId="9" applyNumberFormat="1" applyFont="1" applyFill="1"/>
    <xf numFmtId="168" fontId="19" fillId="5" borderId="0" xfId="9" applyNumberFormat="1" applyFont="1" applyFill="1"/>
    <xf numFmtId="9" fontId="21" fillId="5" borderId="0" xfId="9" applyFont="1" applyFill="1"/>
    <xf numFmtId="9" fontId="21" fillId="5" borderId="2" xfId="9" applyFont="1" applyFill="1" applyBorder="1"/>
    <xf numFmtId="167" fontId="29" fillId="2" borderId="0" xfId="3" applyNumberFormat="1" applyFont="1" applyFill="1" applyAlignment="1" applyProtection="1">
      <alignment horizontal="right"/>
      <protection locked="0"/>
    </xf>
    <xf numFmtId="9" fontId="21" fillId="2" borderId="0" xfId="9" applyFont="1" applyFill="1" applyBorder="1"/>
    <xf numFmtId="3" fontId="19" fillId="2" borderId="0" xfId="8" applyNumberFormat="1" applyFont="1" applyFill="1"/>
    <xf numFmtId="38" fontId="0" fillId="2" borderId="0" xfId="0" applyNumberFormat="1" applyFill="1" applyProtection="1">
      <protection locked="0"/>
    </xf>
    <xf numFmtId="0" fontId="0" fillId="2" borderId="0" xfId="0" applyFill="1" applyProtection="1">
      <protection locked="0"/>
    </xf>
    <xf numFmtId="38" fontId="0" fillId="2" borderId="0" xfId="0" applyNumberFormat="1" applyFill="1"/>
    <xf numFmtId="40" fontId="0" fillId="2" borderId="0" xfId="0" applyNumberFormat="1" applyFill="1"/>
    <xf numFmtId="0" fontId="0" fillId="2" borderId="0" xfId="0" applyFill="1" applyAlignment="1">
      <alignment vertical="top"/>
    </xf>
    <xf numFmtId="0" fontId="0" fillId="2" borderId="4" xfId="0" applyFill="1" applyBorder="1"/>
    <xf numFmtId="40" fontId="0" fillId="2" borderId="0" xfId="0" applyNumberFormat="1" applyFill="1" applyProtection="1">
      <protection locked="0"/>
    </xf>
    <xf numFmtId="0" fontId="0" fillId="2" borderId="5" xfId="0" applyFill="1" applyBorder="1"/>
    <xf numFmtId="0" fontId="0" fillId="2" borderId="6" xfId="0" applyFill="1" applyBorder="1"/>
    <xf numFmtId="172" fontId="10" fillId="2" borderId="0" xfId="0" applyNumberFormat="1" applyFont="1" applyFill="1"/>
    <xf numFmtId="168" fontId="10" fillId="2" borderId="0" xfId="0" applyNumberFormat="1" applyFont="1" applyFill="1"/>
    <xf numFmtId="0" fontId="3" fillId="2" borderId="6" xfId="0" applyFont="1" applyFill="1" applyBorder="1"/>
    <xf numFmtId="38" fontId="3" fillId="2" borderId="6" xfId="0" applyNumberFormat="1" applyFont="1" applyFill="1" applyBorder="1"/>
    <xf numFmtId="40" fontId="3" fillId="2" borderId="6" xfId="0" applyNumberFormat="1" applyFont="1" applyFill="1" applyBorder="1"/>
    <xf numFmtId="40" fontId="3" fillId="2" borderId="0" xfId="0" applyNumberFormat="1" applyFont="1" applyFill="1"/>
    <xf numFmtId="40" fontId="3" fillId="2" borderId="0" xfId="0" applyNumberFormat="1" applyFont="1" applyFill="1" applyProtection="1">
      <protection locked="0"/>
    </xf>
    <xf numFmtId="168" fontId="10" fillId="2" borderId="0" xfId="0" applyNumberFormat="1" applyFont="1" applyFill="1" applyAlignment="1">
      <alignment vertical="top"/>
    </xf>
    <xf numFmtId="172" fontId="10" fillId="2" borderId="0" xfId="0" applyNumberFormat="1" applyFont="1" applyFill="1" applyAlignment="1">
      <alignment vertical="top"/>
    </xf>
    <xf numFmtId="0" fontId="3" fillId="2" borderId="0" xfId="0" applyFont="1" applyFill="1"/>
    <xf numFmtId="173" fontId="10" fillId="2" borderId="0" xfId="0" applyNumberFormat="1" applyFont="1" applyFill="1"/>
    <xf numFmtId="40" fontId="10" fillId="2" borderId="0" xfId="0" applyNumberFormat="1" applyFont="1" applyFill="1"/>
    <xf numFmtId="38" fontId="10" fillId="2" borderId="0" xfId="0" applyNumberFormat="1" applyFont="1" applyFill="1" applyProtection="1">
      <protection locked="0"/>
    </xf>
    <xf numFmtId="174" fontId="10" fillId="2" borderId="0" xfId="0" applyNumberFormat="1" applyFont="1" applyFill="1"/>
    <xf numFmtId="174" fontId="10" fillId="2" borderId="0" xfId="0" applyNumberFormat="1" applyFont="1" applyFill="1" applyProtection="1">
      <protection locked="0"/>
    </xf>
    <xf numFmtId="172" fontId="10" fillId="2" borderId="0" xfId="0" applyNumberFormat="1" applyFont="1" applyFill="1" applyProtection="1">
      <protection locked="0"/>
    </xf>
    <xf numFmtId="9" fontId="10" fillId="2" borderId="0" xfId="0" applyNumberFormat="1" applyFont="1" applyFill="1"/>
    <xf numFmtId="173" fontId="10" fillId="2" borderId="0" xfId="0" applyNumberFormat="1" applyFont="1" applyFill="1" applyProtection="1">
      <protection locked="0"/>
    </xf>
    <xf numFmtId="38" fontId="10" fillId="2" borderId="0" xfId="0" applyNumberFormat="1" applyFont="1" applyFill="1"/>
    <xf numFmtId="0" fontId="3" fillId="2" borderId="4" xfId="0" applyFont="1" applyFill="1" applyBorder="1"/>
    <xf numFmtId="38" fontId="3" fillId="2" borderId="4" xfId="0" applyNumberFormat="1" applyFont="1" applyFill="1" applyBorder="1"/>
    <xf numFmtId="38" fontId="0" fillId="0" borderId="0" xfId="0" applyNumberFormat="1" applyProtection="1">
      <protection locked="0"/>
    </xf>
    <xf numFmtId="0" fontId="19" fillId="0" borderId="0" xfId="3" applyFont="1" applyFill="1"/>
    <xf numFmtId="14" fontId="0" fillId="2" borderId="0" xfId="0" applyNumberFormat="1" applyFill="1"/>
    <xf numFmtId="175" fontId="0" fillId="2" borderId="0" xfId="0" applyNumberFormat="1" applyFill="1"/>
    <xf numFmtId="176" fontId="0" fillId="2" borderId="0" xfId="0" applyNumberFormat="1" applyFill="1"/>
    <xf numFmtId="177" fontId="0" fillId="2" borderId="0" xfId="0" applyNumberFormat="1" applyFill="1"/>
    <xf numFmtId="0" fontId="25" fillId="2" borderId="0" xfId="3" applyFont="1" applyFill="1"/>
    <xf numFmtId="3" fontId="26" fillId="2" borderId="0" xfId="3" applyNumberFormat="1" applyFont="1" applyFill="1" applyAlignment="1" applyProtection="1">
      <alignment horizontal="right"/>
      <protection locked="0"/>
    </xf>
    <xf numFmtId="9" fontId="25" fillId="2" borderId="0" xfId="9" applyFont="1" applyFill="1"/>
    <xf numFmtId="3" fontId="26" fillId="5" borderId="0" xfId="3" applyNumberFormat="1" applyFont="1" applyFill="1" applyAlignment="1" applyProtection="1">
      <alignment horizontal="right"/>
      <protection locked="0"/>
    </xf>
    <xf numFmtId="0" fontId="30" fillId="2" borderId="0" xfId="0" applyFont="1" applyFill="1"/>
    <xf numFmtId="0" fontId="0" fillId="2" borderId="1" xfId="0" applyFill="1" applyBorder="1"/>
    <xf numFmtId="0" fontId="0" fillId="2" borderId="7" xfId="0" applyFill="1" applyBorder="1"/>
    <xf numFmtId="0" fontId="0" fillId="2" borderId="8" xfId="0" applyFill="1" applyBorder="1"/>
    <xf numFmtId="0" fontId="0" fillId="2" borderId="9" xfId="0" applyFill="1" applyBorder="1"/>
    <xf numFmtId="175" fontId="0" fillId="2" borderId="9" xfId="0" applyNumberFormat="1" applyFill="1" applyBorder="1"/>
    <xf numFmtId="0" fontId="1" fillId="2" borderId="1" xfId="10" applyFill="1" applyBorder="1" applyAlignment="1">
      <alignment vertical="center"/>
    </xf>
    <xf numFmtId="0" fontId="1" fillId="2" borderId="0" xfId="10" applyFill="1" applyAlignment="1">
      <alignment vertical="center"/>
    </xf>
    <xf numFmtId="0" fontId="31" fillId="2" borderId="0" xfId="10" applyFont="1" applyFill="1" applyAlignment="1">
      <alignment vertical="center"/>
    </xf>
    <xf numFmtId="10" fontId="1" fillId="2" borderId="0" xfId="10" applyNumberFormat="1" applyFill="1" applyAlignment="1">
      <alignment vertical="center"/>
    </xf>
    <xf numFmtId="43" fontId="1" fillId="2" borderId="0" xfId="8" applyFont="1" applyFill="1" applyBorder="1" applyAlignment="1">
      <alignment vertical="center"/>
    </xf>
    <xf numFmtId="43" fontId="1" fillId="2" borderId="0" xfId="10" applyNumberFormat="1" applyFill="1" applyAlignment="1">
      <alignment vertical="center"/>
    </xf>
    <xf numFmtId="0" fontId="31" fillId="2" borderId="1" xfId="10" applyFont="1" applyFill="1" applyBorder="1" applyAlignment="1">
      <alignment vertical="center"/>
    </xf>
    <xf numFmtId="10" fontId="1" fillId="2" borderId="1" xfId="9" applyNumberFormat="1" applyFont="1" applyFill="1" applyBorder="1" applyAlignment="1">
      <alignment vertical="center"/>
    </xf>
    <xf numFmtId="0" fontId="3" fillId="2" borderId="1" xfId="10" applyFont="1" applyFill="1" applyBorder="1" applyAlignment="1">
      <alignment vertical="center"/>
    </xf>
    <xf numFmtId="166" fontId="1" fillId="2" borderId="0" xfId="8" applyNumberFormat="1" applyFont="1" applyFill="1" applyAlignment="1">
      <alignment vertical="center"/>
    </xf>
    <xf numFmtId="166" fontId="1" fillId="2" borderId="1" xfId="8" applyNumberFormat="1" applyFont="1" applyFill="1" applyBorder="1" applyAlignment="1">
      <alignment vertical="center"/>
    </xf>
    <xf numFmtId="10" fontId="1" fillId="2" borderId="1" xfId="10" applyNumberFormat="1" applyFill="1" applyBorder="1" applyAlignment="1">
      <alignment vertical="center"/>
    </xf>
    <xf numFmtId="0" fontId="3" fillId="2" borderId="0" xfId="10" applyFont="1" applyFill="1" applyAlignment="1">
      <alignment vertical="center"/>
    </xf>
    <xf numFmtId="10" fontId="3" fillId="2" borderId="0" xfId="11" applyNumberFormat="1" applyFont="1" applyFill="1" applyAlignment="1">
      <alignment vertical="center"/>
    </xf>
    <xf numFmtId="43" fontId="1" fillId="2" borderId="0" xfId="8" applyFont="1" applyFill="1" applyAlignment="1">
      <alignment vertical="center"/>
    </xf>
    <xf numFmtId="166" fontId="0" fillId="2" borderId="0" xfId="1" applyNumberFormat="1" applyFont="1" applyFill="1"/>
    <xf numFmtId="0" fontId="33" fillId="2" borderId="0" xfId="13" applyFill="1"/>
    <xf numFmtId="167" fontId="26" fillId="2" borderId="0" xfId="3" applyNumberFormat="1" applyFont="1" applyFill="1" applyAlignment="1" applyProtection="1">
      <alignment horizontal="left"/>
      <protection locked="0"/>
    </xf>
    <xf numFmtId="168" fontId="1" fillId="2" borderId="1" xfId="10" applyNumberFormat="1" applyFill="1" applyBorder="1" applyAlignment="1">
      <alignment vertical="center"/>
    </xf>
    <xf numFmtId="9" fontId="0" fillId="2" borderId="0" xfId="2" applyFont="1" applyFill="1"/>
    <xf numFmtId="168" fontId="0" fillId="2" borderId="0" xfId="2" applyNumberFormat="1" applyFont="1" applyFill="1"/>
    <xf numFmtId="0" fontId="2" fillId="2" borderId="0" xfId="0" applyFont="1" applyFill="1"/>
    <xf numFmtId="43" fontId="0" fillId="2" borderId="0" xfId="0" applyNumberFormat="1" applyFill="1"/>
    <xf numFmtId="10" fontId="0" fillId="2" borderId="0" xfId="0" applyNumberFormat="1" applyFill="1"/>
    <xf numFmtId="44" fontId="0" fillId="2" borderId="0" xfId="12" applyFont="1" applyFill="1"/>
    <xf numFmtId="178" fontId="0" fillId="2" borderId="0" xfId="12" applyNumberFormat="1" applyFont="1" applyFill="1"/>
    <xf numFmtId="44" fontId="0" fillId="2" borderId="0" xfId="0" applyNumberFormat="1" applyFill="1"/>
    <xf numFmtId="9" fontId="0" fillId="5" borderId="0" xfId="2" applyFont="1" applyFill="1"/>
    <xf numFmtId="2" fontId="0" fillId="2" borderId="0" xfId="0" applyNumberFormat="1" applyFill="1"/>
    <xf numFmtId="40" fontId="0" fillId="5" borderId="0" xfId="0" applyNumberFormat="1" applyFill="1"/>
    <xf numFmtId="2" fontId="0" fillId="5" borderId="0" xfId="0" applyNumberFormat="1" applyFill="1"/>
    <xf numFmtId="0" fontId="8" fillId="0" borderId="0" xfId="1" applyNumberFormat="1" applyFont="1" applyFill="1" applyAlignment="1">
      <alignment vertical="center"/>
    </xf>
    <xf numFmtId="44" fontId="0" fillId="5" borderId="0" xfId="0" applyNumberFormat="1" applyFill="1"/>
    <xf numFmtId="0" fontId="3" fillId="2" borderId="1" xfId="0" applyFont="1" applyFill="1" applyBorder="1" applyAlignment="1">
      <alignment vertical="center"/>
    </xf>
    <xf numFmtId="0" fontId="0" fillId="2" borderId="0" xfId="0" applyFill="1" applyAlignment="1">
      <alignment vertical="center"/>
    </xf>
    <xf numFmtId="0" fontId="34" fillId="2" borderId="0" xfId="0" applyFont="1" applyFill="1" applyAlignment="1">
      <alignment vertical="center"/>
    </xf>
    <xf numFmtId="0" fontId="0" fillId="2" borderId="1" xfId="0" applyFill="1" applyBorder="1" applyAlignment="1">
      <alignment vertical="center"/>
    </xf>
    <xf numFmtId="38" fontId="0" fillId="5" borderId="0" xfId="0" applyNumberFormat="1" applyFill="1"/>
    <xf numFmtId="0" fontId="0" fillId="2" borderId="0" xfId="0" applyFill="1" applyAlignment="1">
      <alignment horizontal="left"/>
    </xf>
    <xf numFmtId="0" fontId="32" fillId="4" borderId="15" xfId="0" applyFont="1" applyFill="1" applyBorder="1" applyAlignment="1">
      <alignment horizontal="left"/>
    </xf>
    <xf numFmtId="0" fontId="0" fillId="2" borderId="15" xfId="0" applyFill="1" applyBorder="1" applyAlignment="1">
      <alignment horizontal="left"/>
    </xf>
    <xf numFmtId="0" fontId="0" fillId="2" borderId="13" xfId="0" applyFill="1" applyBorder="1" applyAlignment="1">
      <alignment horizontal="left"/>
    </xf>
    <xf numFmtId="0" fontId="3" fillId="2" borderId="13" xfId="0" applyFont="1" applyFill="1" applyBorder="1" applyAlignment="1">
      <alignment horizontal="left"/>
    </xf>
    <xf numFmtId="0" fontId="0" fillId="2" borderId="0" xfId="0" applyFill="1" applyAlignment="1">
      <alignment horizontal="right"/>
    </xf>
    <xf numFmtId="0" fontId="0" fillId="7" borderId="0" xfId="0" applyFill="1"/>
    <xf numFmtId="0" fontId="0" fillId="7" borderId="17" xfId="0" applyFill="1" applyBorder="1"/>
    <xf numFmtId="0" fontId="0" fillId="8" borderId="17" xfId="0" applyFill="1" applyBorder="1"/>
    <xf numFmtId="0" fontId="0" fillId="7" borderId="18" xfId="0" applyFill="1" applyBorder="1"/>
    <xf numFmtId="0" fontId="0" fillId="9" borderId="0" xfId="0" applyFill="1"/>
    <xf numFmtId="0" fontId="37" fillId="10" borderId="10" xfId="0" applyFont="1" applyFill="1" applyBorder="1"/>
    <xf numFmtId="0" fontId="38" fillId="10" borderId="20" xfId="0" applyFont="1" applyFill="1" applyBorder="1" applyAlignment="1">
      <alignment horizontal="left" vertical="top" wrapText="1"/>
    </xf>
    <xf numFmtId="0" fontId="39" fillId="12" borderId="10" xfId="0" applyFont="1" applyFill="1" applyBorder="1" applyAlignment="1">
      <alignment horizontal="left" vertical="top" wrapText="1"/>
    </xf>
    <xf numFmtId="0" fontId="38" fillId="9" borderId="0" xfId="0" applyFont="1" applyFill="1" applyAlignment="1">
      <alignment horizontal="left" vertical="center"/>
    </xf>
    <xf numFmtId="182" fontId="41" fillId="12" borderId="10" xfId="0" applyNumberFormat="1" applyFont="1" applyFill="1" applyBorder="1" applyAlignment="1">
      <alignment horizontal="left"/>
    </xf>
    <xf numFmtId="179" fontId="38" fillId="10" borderId="0" xfId="0" applyNumberFormat="1" applyFont="1" applyFill="1" applyAlignment="1">
      <alignment horizontal="right" vertical="top"/>
    </xf>
    <xf numFmtId="181" fontId="38" fillId="10" borderId="0" xfId="0" applyNumberFormat="1" applyFont="1" applyFill="1" applyAlignment="1">
      <alignment horizontal="right" vertical="top"/>
    </xf>
    <xf numFmtId="179" fontId="38" fillId="13" borderId="0" xfId="0" applyNumberFormat="1" applyFont="1" applyFill="1" applyAlignment="1">
      <alignment horizontal="right" vertical="top"/>
    </xf>
    <xf numFmtId="0" fontId="42" fillId="11" borderId="0" xfId="0" applyFont="1" applyFill="1" applyAlignment="1">
      <alignment horizontal="left" vertical="top"/>
    </xf>
    <xf numFmtId="179" fontId="42" fillId="10" borderId="0" xfId="0" applyNumberFormat="1" applyFont="1" applyFill="1" applyAlignment="1">
      <alignment horizontal="right" vertical="top"/>
    </xf>
    <xf numFmtId="181" fontId="42" fillId="10" borderId="0" xfId="0" applyNumberFormat="1" applyFont="1" applyFill="1" applyAlignment="1">
      <alignment horizontal="right" vertical="top"/>
    </xf>
    <xf numFmtId="179" fontId="42" fillId="11" borderId="0" xfId="0" applyNumberFormat="1" applyFont="1" applyFill="1" applyAlignment="1">
      <alignment horizontal="right" vertical="top"/>
    </xf>
    <xf numFmtId="179" fontId="42" fillId="12" borderId="0" xfId="0" applyNumberFormat="1" applyFont="1" applyFill="1" applyAlignment="1">
      <alignment horizontal="right" vertical="top"/>
    </xf>
    <xf numFmtId="0" fontId="43" fillId="11" borderId="0" xfId="0" applyFont="1" applyFill="1" applyAlignment="1">
      <alignment horizontal="left" vertical="top"/>
    </xf>
    <xf numFmtId="179" fontId="38" fillId="10" borderId="3" xfId="0" applyNumberFormat="1" applyFont="1" applyFill="1" applyBorder="1" applyAlignment="1">
      <alignment horizontal="right" vertical="top"/>
    </xf>
    <xf numFmtId="181" fontId="38" fillId="10" borderId="3" xfId="0" applyNumberFormat="1" applyFont="1" applyFill="1" applyBorder="1" applyAlignment="1">
      <alignment horizontal="right" vertical="top"/>
    </xf>
    <xf numFmtId="179" fontId="38" fillId="11" borderId="3" xfId="0" applyNumberFormat="1" applyFont="1" applyFill="1" applyBorder="1" applyAlignment="1">
      <alignment horizontal="right" vertical="top"/>
    </xf>
    <xf numFmtId="179" fontId="38" fillId="12" borderId="3" xfId="0" applyNumberFormat="1" applyFont="1" applyFill="1" applyBorder="1" applyAlignment="1">
      <alignment horizontal="right" vertical="top"/>
    </xf>
    <xf numFmtId="179" fontId="38" fillId="13" borderId="3" xfId="0" applyNumberFormat="1" applyFont="1" applyFill="1" applyBorder="1" applyAlignment="1">
      <alignment horizontal="right" vertical="top"/>
    </xf>
    <xf numFmtId="181" fontId="38" fillId="13" borderId="0" xfId="0" applyNumberFormat="1" applyFont="1" applyFill="1" applyAlignment="1">
      <alignment horizontal="right" vertical="top"/>
    </xf>
    <xf numFmtId="181" fontId="42" fillId="11" borderId="0" xfId="0" applyNumberFormat="1" applyFont="1" applyFill="1" applyAlignment="1">
      <alignment horizontal="right" vertical="top"/>
    </xf>
    <xf numFmtId="181" fontId="42" fillId="12" borderId="0" xfId="0" applyNumberFormat="1" applyFont="1" applyFill="1" applyAlignment="1">
      <alignment horizontal="right" vertical="top"/>
    </xf>
    <xf numFmtId="181" fontId="38" fillId="13" borderId="3" xfId="0" applyNumberFormat="1" applyFont="1" applyFill="1" applyBorder="1" applyAlignment="1">
      <alignment horizontal="right" vertical="top"/>
    </xf>
    <xf numFmtId="49" fontId="42" fillId="10" borderId="0" xfId="0" applyNumberFormat="1" applyFont="1" applyFill="1" applyAlignment="1">
      <alignment horizontal="right" vertical="top"/>
    </xf>
    <xf numFmtId="49" fontId="42" fillId="11" borderId="0" xfId="0" applyNumberFormat="1" applyFont="1" applyFill="1" applyAlignment="1">
      <alignment horizontal="right" vertical="top"/>
    </xf>
    <xf numFmtId="49" fontId="42" fillId="12" borderId="0" xfId="0" applyNumberFormat="1" applyFont="1" applyFill="1" applyAlignment="1">
      <alignment horizontal="right" vertical="top"/>
    </xf>
    <xf numFmtId="183" fontId="42" fillId="10" borderId="0" xfId="0" applyNumberFormat="1" applyFont="1" applyFill="1" applyAlignment="1">
      <alignment horizontal="right" vertical="top"/>
    </xf>
    <xf numFmtId="183" fontId="42" fillId="11" borderId="0" xfId="0" applyNumberFormat="1" applyFont="1" applyFill="1" applyAlignment="1">
      <alignment horizontal="right" vertical="top"/>
    </xf>
    <xf numFmtId="183" fontId="42" fillId="12" borderId="0" xfId="0" applyNumberFormat="1" applyFont="1" applyFill="1" applyAlignment="1">
      <alignment horizontal="right" vertical="top"/>
    </xf>
    <xf numFmtId="0" fontId="44" fillId="0" borderId="0" xfId="0" applyFont="1" applyAlignment="1">
      <alignment wrapText="1"/>
    </xf>
    <xf numFmtId="0" fontId="0" fillId="7" borderId="21" xfId="0" applyFill="1" applyBorder="1"/>
    <xf numFmtId="0" fontId="0" fillId="8" borderId="21" xfId="0" applyFill="1" applyBorder="1"/>
    <xf numFmtId="0" fontId="39" fillId="14" borderId="10" xfId="0" applyFont="1" applyFill="1" applyBorder="1" applyAlignment="1">
      <alignment horizontal="left" vertical="top" wrapText="1"/>
    </xf>
    <xf numFmtId="0" fontId="38" fillId="2" borderId="0" xfId="0" applyFont="1" applyFill="1" applyAlignment="1">
      <alignment horizontal="left" vertical="center"/>
    </xf>
    <xf numFmtId="182" fontId="41" fillId="14" borderId="10" xfId="0" applyNumberFormat="1" applyFont="1" applyFill="1" applyBorder="1" applyAlignment="1">
      <alignment horizontal="left"/>
    </xf>
    <xf numFmtId="0" fontId="36" fillId="2" borderId="0" xfId="0" applyFont="1" applyFill="1" applyAlignment="1">
      <alignment horizontal="left" vertical="top"/>
    </xf>
    <xf numFmtId="0" fontId="35" fillId="2" borderId="0" xfId="0" applyFont="1" applyFill="1"/>
    <xf numFmtId="0" fontId="40" fillId="2" borderId="0" xfId="0" applyFont="1" applyFill="1" applyAlignment="1">
      <alignment horizontal="left" vertical="top" wrapText="1"/>
    </xf>
    <xf numFmtId="0" fontId="0" fillId="15" borderId="18" xfId="0" applyFill="1" applyBorder="1"/>
    <xf numFmtId="0" fontId="0" fillId="6" borderId="0" xfId="0" applyFill="1"/>
    <xf numFmtId="0" fontId="42" fillId="16" borderId="0" xfId="0" applyFont="1" applyFill="1" applyAlignment="1">
      <alignment horizontal="left" vertical="top"/>
    </xf>
    <xf numFmtId="179" fontId="42" fillId="17" borderId="0" xfId="0" applyNumberFormat="1" applyFont="1" applyFill="1" applyAlignment="1">
      <alignment horizontal="right" vertical="top"/>
    </xf>
    <xf numFmtId="181" fontId="42" fillId="17" borderId="0" xfId="0" applyNumberFormat="1" applyFont="1" applyFill="1" applyAlignment="1">
      <alignment horizontal="right" vertical="top"/>
    </xf>
    <xf numFmtId="179" fontId="42" fillId="16" borderId="0" xfId="0" applyNumberFormat="1" applyFont="1" applyFill="1" applyAlignment="1">
      <alignment horizontal="right" vertical="top"/>
    </xf>
    <xf numFmtId="0" fontId="38" fillId="17" borderId="20" xfId="0" applyFont="1" applyFill="1" applyBorder="1" applyAlignment="1">
      <alignment horizontal="left" vertical="top" wrapText="1"/>
    </xf>
    <xf numFmtId="179" fontId="38" fillId="17" borderId="3" xfId="0" applyNumberFormat="1" applyFont="1" applyFill="1" applyBorder="1" applyAlignment="1">
      <alignment horizontal="right" vertical="top"/>
    </xf>
    <xf numFmtId="181" fontId="38" fillId="17" borderId="3" xfId="0" applyNumberFormat="1" applyFont="1" applyFill="1" applyBorder="1" applyAlignment="1">
      <alignment horizontal="right" vertical="top"/>
    </xf>
    <xf numFmtId="0" fontId="0" fillId="0" borderId="18" xfId="0" applyBorder="1"/>
    <xf numFmtId="0" fontId="42" fillId="2" borderId="0" xfId="0" applyFont="1" applyFill="1" applyAlignment="1">
      <alignment horizontal="left" vertical="top"/>
    </xf>
    <xf numFmtId="179" fontId="42" fillId="2" borderId="0" xfId="0" applyNumberFormat="1" applyFont="1" applyFill="1" applyAlignment="1">
      <alignment horizontal="right" vertical="top"/>
    </xf>
    <xf numFmtId="181" fontId="42" fillId="2" borderId="0" xfId="0" applyNumberFormat="1" applyFont="1" applyFill="1" applyAlignment="1">
      <alignment horizontal="right" vertical="top"/>
    </xf>
    <xf numFmtId="179" fontId="42" fillId="9" borderId="0" xfId="0" applyNumberFormat="1" applyFont="1" applyFill="1" applyAlignment="1">
      <alignment horizontal="right" vertical="top"/>
    </xf>
    <xf numFmtId="0" fontId="43" fillId="16" borderId="0" xfId="0" applyFont="1" applyFill="1" applyAlignment="1">
      <alignment horizontal="left" vertical="top"/>
    </xf>
    <xf numFmtId="179" fontId="38" fillId="16" borderId="3" xfId="0" applyNumberFormat="1" applyFont="1" applyFill="1" applyBorder="1" applyAlignment="1">
      <alignment horizontal="right" vertical="top"/>
    </xf>
    <xf numFmtId="0" fontId="0" fillId="18" borderId="0" xfId="0" applyFill="1"/>
    <xf numFmtId="0" fontId="0" fillId="19" borderId="0" xfId="0" applyFill="1"/>
    <xf numFmtId="0" fontId="0" fillId="18" borderId="19" xfId="0" applyFill="1" applyBorder="1"/>
    <xf numFmtId="0" fontId="0" fillId="19" borderId="19" xfId="0" applyFill="1" applyBorder="1"/>
    <xf numFmtId="10" fontId="0" fillId="2" borderId="0" xfId="2" applyNumberFormat="1" applyFont="1" applyFill="1"/>
    <xf numFmtId="10" fontId="32" fillId="4" borderId="15" xfId="2" applyNumberFormat="1" applyFont="1" applyFill="1" applyBorder="1" applyAlignment="1">
      <alignment horizontal="right"/>
    </xf>
    <xf numFmtId="10" fontId="0" fillId="2" borderId="15" xfId="2" applyNumberFormat="1" applyFont="1" applyFill="1" applyBorder="1" applyAlignment="1">
      <alignment horizontal="right"/>
    </xf>
    <xf numFmtId="10" fontId="0" fillId="2" borderId="13" xfId="2" applyNumberFormat="1" applyFont="1" applyFill="1" applyBorder="1" applyAlignment="1">
      <alignment horizontal="right"/>
    </xf>
    <xf numFmtId="166" fontId="32" fillId="4" borderId="15" xfId="1" applyNumberFormat="1" applyFont="1" applyFill="1" applyBorder="1" applyAlignment="1">
      <alignment horizontal="right"/>
    </xf>
    <xf numFmtId="43" fontId="32" fillId="4" borderId="15" xfId="1" applyFont="1" applyFill="1" applyBorder="1" applyAlignment="1">
      <alignment horizontal="right"/>
    </xf>
    <xf numFmtId="43" fontId="32" fillId="4" borderId="16" xfId="1" applyFont="1" applyFill="1" applyBorder="1" applyAlignment="1">
      <alignment horizontal="right"/>
    </xf>
    <xf numFmtId="43" fontId="32" fillId="4" borderId="0" xfId="1" applyFont="1" applyFill="1" applyBorder="1" applyAlignment="1">
      <alignment horizontal="right"/>
    </xf>
    <xf numFmtId="166" fontId="0" fillId="2" borderId="15" xfId="1" applyNumberFormat="1" applyFont="1" applyFill="1" applyBorder="1" applyAlignment="1">
      <alignment horizontal="right"/>
    </xf>
    <xf numFmtId="43" fontId="0" fillId="2" borderId="15" xfId="1" applyFont="1" applyFill="1" applyBorder="1" applyAlignment="1">
      <alignment horizontal="right"/>
    </xf>
    <xf numFmtId="43" fontId="0" fillId="2" borderId="14" xfId="1" applyFont="1" applyFill="1" applyBorder="1" applyAlignment="1">
      <alignment horizontal="right"/>
    </xf>
    <xf numFmtId="43" fontId="0" fillId="2" borderId="0" xfId="1" applyFont="1" applyFill="1" applyBorder="1" applyAlignment="1">
      <alignment horizontal="right"/>
    </xf>
    <xf numFmtId="166" fontId="0" fillId="2" borderId="13" xfId="1" applyNumberFormat="1" applyFont="1" applyFill="1" applyBorder="1" applyAlignment="1">
      <alignment horizontal="right"/>
    </xf>
    <xf numFmtId="43" fontId="0" fillId="2" borderId="13" xfId="1" applyFont="1" applyFill="1" applyBorder="1" applyAlignment="1">
      <alignment horizontal="right"/>
    </xf>
    <xf numFmtId="43" fontId="0" fillId="2" borderId="11" xfId="1" applyFont="1" applyFill="1" applyBorder="1" applyAlignment="1">
      <alignment horizontal="right"/>
    </xf>
    <xf numFmtId="43" fontId="0" fillId="2" borderId="12" xfId="1" applyFont="1" applyFill="1" applyBorder="1" applyAlignment="1">
      <alignment horizontal="right"/>
    </xf>
    <xf numFmtId="0" fontId="3" fillId="2" borderId="13" xfId="0" applyFont="1" applyFill="1" applyBorder="1" applyAlignment="1">
      <alignment horizontal="center"/>
    </xf>
    <xf numFmtId="0" fontId="3" fillId="2" borderId="11" xfId="0" applyFont="1" applyFill="1" applyBorder="1" applyAlignment="1">
      <alignment horizontal="center"/>
    </xf>
    <xf numFmtId="0" fontId="3" fillId="2" borderId="0" xfId="0" applyFont="1" applyFill="1" applyAlignment="1">
      <alignment horizontal="center"/>
    </xf>
    <xf numFmtId="184" fontId="42" fillId="10" borderId="0" xfId="0" applyNumberFormat="1" applyFont="1" applyFill="1" applyAlignment="1">
      <alignment horizontal="right" vertical="top"/>
    </xf>
    <xf numFmtId="184" fontId="42" fillId="11" borderId="0" xfId="0" applyNumberFormat="1" applyFont="1" applyFill="1" applyAlignment="1">
      <alignment horizontal="right" vertical="top"/>
    </xf>
    <xf numFmtId="0" fontId="42" fillId="11" borderId="12" xfId="0" applyFont="1" applyFill="1" applyBorder="1" applyAlignment="1">
      <alignment horizontal="left" vertical="top"/>
    </xf>
    <xf numFmtId="49" fontId="42" fillId="10" borderId="12" xfId="0" applyNumberFormat="1" applyFont="1" applyFill="1" applyBorder="1" applyAlignment="1">
      <alignment horizontal="right" vertical="top"/>
    </xf>
    <xf numFmtId="49" fontId="42" fillId="11" borderId="12" xfId="0" applyNumberFormat="1" applyFont="1" applyFill="1" applyBorder="1" applyAlignment="1">
      <alignment horizontal="right" vertical="top"/>
    </xf>
    <xf numFmtId="49" fontId="42" fillId="12" borderId="12" xfId="0" applyNumberFormat="1" applyFont="1" applyFill="1" applyBorder="1" applyAlignment="1">
      <alignment horizontal="right" vertical="top"/>
    </xf>
    <xf numFmtId="184" fontId="42" fillId="12" borderId="0" xfId="0" applyNumberFormat="1" applyFont="1" applyFill="1" applyAlignment="1">
      <alignment horizontal="right" vertical="top"/>
    </xf>
    <xf numFmtId="9" fontId="0" fillId="2" borderId="0" xfId="2" applyFont="1" applyFill="1" applyBorder="1"/>
    <xf numFmtId="0" fontId="0" fillId="2" borderId="22" xfId="0" applyFill="1" applyBorder="1" applyAlignment="1">
      <alignment horizontal="right"/>
    </xf>
    <xf numFmtId="180" fontId="0" fillId="2" borderId="0" xfId="0" applyNumberFormat="1" applyFill="1" applyAlignment="1">
      <alignment horizontal="right"/>
    </xf>
    <xf numFmtId="10" fontId="0" fillId="2" borderId="0" xfId="2" applyNumberFormat="1" applyFont="1" applyFill="1" applyBorder="1" applyAlignment="1">
      <alignment horizontal="right"/>
    </xf>
    <xf numFmtId="2" fontId="0" fillId="2" borderId="0" xfId="0" applyNumberFormat="1" applyFill="1" applyAlignment="1">
      <alignment horizontal="right"/>
    </xf>
    <xf numFmtId="0" fontId="10" fillId="2" borderId="0" xfId="0" applyFont="1" applyFill="1" applyAlignment="1">
      <alignment horizontal="left"/>
    </xf>
    <xf numFmtId="0" fontId="0" fillId="2" borderId="22" xfId="0" applyFill="1" applyBorder="1"/>
    <xf numFmtId="8" fontId="0" fillId="5" borderId="0" xfId="0" applyNumberFormat="1" applyFill="1"/>
    <xf numFmtId="166" fontId="0" fillId="5" borderId="22" xfId="1" applyNumberFormat="1" applyFont="1" applyFill="1" applyBorder="1"/>
    <xf numFmtId="43" fontId="0" fillId="5" borderId="22" xfId="0" applyNumberFormat="1" applyFill="1" applyBorder="1"/>
    <xf numFmtId="1" fontId="0" fillId="5" borderId="0" xfId="0" applyNumberFormat="1" applyFill="1"/>
    <xf numFmtId="43" fontId="0" fillId="5" borderId="0" xfId="0" applyNumberFormat="1" applyFill="1"/>
    <xf numFmtId="0" fontId="3" fillId="2" borderId="22" xfId="0" applyFont="1" applyFill="1" applyBorder="1"/>
    <xf numFmtId="168" fontId="0" fillId="5" borderId="0" xfId="2" applyNumberFormat="1" applyFont="1" applyFill="1"/>
    <xf numFmtId="10" fontId="0" fillId="5" borderId="0" xfId="2" applyNumberFormat="1" applyFont="1" applyFill="1"/>
    <xf numFmtId="9" fontId="0" fillId="5" borderId="0" xfId="0" applyNumberFormat="1" applyFill="1"/>
    <xf numFmtId="166" fontId="0" fillId="5" borderId="0" xfId="0" applyNumberFormat="1" applyFill="1"/>
    <xf numFmtId="10" fontId="0" fillId="2" borderId="5" xfId="2" applyNumberFormat="1" applyFont="1" applyFill="1" applyBorder="1"/>
    <xf numFmtId="6" fontId="0" fillId="5" borderId="0" xfId="0" applyNumberFormat="1" applyFill="1"/>
    <xf numFmtId="10" fontId="0" fillId="5" borderId="0" xfId="2" applyNumberFormat="1" applyFont="1" applyFill="1" applyBorder="1"/>
    <xf numFmtId="0" fontId="3" fillId="5" borderId="23" xfId="0" applyFont="1" applyFill="1" applyBorder="1" applyAlignment="1">
      <alignment horizontal="right"/>
    </xf>
    <xf numFmtId="0" fontId="46" fillId="2" borderId="0" xfId="0" applyFont="1" applyFill="1"/>
    <xf numFmtId="0" fontId="48" fillId="2" borderId="0" xfId="0" applyFont="1" applyFill="1"/>
    <xf numFmtId="174" fontId="0" fillId="2" borderId="0" xfId="0" applyNumberFormat="1" applyFill="1"/>
    <xf numFmtId="0" fontId="47" fillId="4" borderId="25" xfId="0" applyFont="1" applyFill="1" applyBorder="1" applyAlignment="1">
      <alignment horizontal="center" vertical="center"/>
    </xf>
    <xf numFmtId="0" fontId="47" fillId="4" borderId="24" xfId="0" applyFont="1" applyFill="1" applyBorder="1" applyAlignment="1">
      <alignment horizontal="center" vertical="center"/>
    </xf>
    <xf numFmtId="0" fontId="48" fillId="21" borderId="24" xfId="0" applyFont="1" applyFill="1" applyBorder="1" applyAlignment="1">
      <alignment horizontal="center" vertical="center" wrapText="1"/>
    </xf>
    <xf numFmtId="0" fontId="48" fillId="2" borderId="26" xfId="0" applyFont="1" applyFill="1" applyBorder="1" applyAlignment="1">
      <alignment horizontal="center" vertical="center" wrapText="1"/>
    </xf>
    <xf numFmtId="0" fontId="48" fillId="2" borderId="24" xfId="0" applyFont="1" applyFill="1" applyBorder="1" applyAlignment="1">
      <alignment horizontal="center" vertical="center" wrapText="1"/>
    </xf>
    <xf numFmtId="0" fontId="48" fillId="21" borderId="26" xfId="0" applyFont="1" applyFill="1" applyBorder="1" applyAlignment="1">
      <alignment horizontal="center" vertical="center" wrapText="1"/>
    </xf>
    <xf numFmtId="0" fontId="48" fillId="21" borderId="27" xfId="0" applyFont="1" applyFill="1" applyBorder="1" applyAlignment="1">
      <alignment horizontal="center" vertical="center" wrapText="1"/>
    </xf>
    <xf numFmtId="0" fontId="49" fillId="22" borderId="0" xfId="0" applyFont="1" applyFill="1"/>
    <xf numFmtId="0" fontId="50" fillId="20" borderId="0" xfId="0" applyFont="1" applyFill="1" applyAlignment="1">
      <alignment horizontal="left" vertical="center" wrapText="1"/>
    </xf>
    <xf numFmtId="0" fontId="50" fillId="5" borderId="0" xfId="0" applyFont="1" applyFill="1" applyAlignment="1">
      <alignment horizontal="left" vertical="center" wrapText="1"/>
    </xf>
    <xf numFmtId="0" fontId="46" fillId="20" borderId="0" xfId="0" applyFont="1" applyFill="1" applyAlignment="1">
      <alignment horizontal="right" vertical="center"/>
    </xf>
    <xf numFmtId="2" fontId="46" fillId="5" borderId="0" xfId="0" applyNumberFormat="1" applyFont="1" applyFill="1" applyAlignment="1">
      <alignment horizontal="right" vertical="center"/>
    </xf>
    <xf numFmtId="10" fontId="46" fillId="20" borderId="0" xfId="0" applyNumberFormat="1" applyFont="1" applyFill="1" applyAlignment="1">
      <alignment horizontal="right" vertical="center"/>
    </xf>
    <xf numFmtId="0" fontId="46" fillId="5" borderId="0" xfId="0" applyFont="1" applyFill="1" applyAlignment="1">
      <alignment horizontal="right" vertical="center"/>
    </xf>
    <xf numFmtId="44" fontId="46" fillId="20" borderId="0" xfId="0" applyNumberFormat="1" applyFont="1" applyFill="1" applyAlignment="1">
      <alignment horizontal="right" vertical="center"/>
    </xf>
    <xf numFmtId="43" fontId="46" fillId="5" borderId="0" xfId="0" applyNumberFormat="1" applyFont="1" applyFill="1" applyAlignment="1">
      <alignment horizontal="right" vertical="center"/>
    </xf>
    <xf numFmtId="43" fontId="46" fillId="20" borderId="0" xfId="0" applyNumberFormat="1" applyFont="1" applyFill="1" applyAlignment="1">
      <alignment horizontal="right" vertical="center"/>
    </xf>
    <xf numFmtId="0" fontId="52" fillId="2" borderId="0" xfId="0" applyFont="1" applyFill="1"/>
    <xf numFmtId="0" fontId="53" fillId="2" borderId="7" xfId="0" applyFont="1" applyFill="1" applyBorder="1"/>
    <xf numFmtId="0" fontId="54" fillId="4" borderId="1" xfId="0" applyFont="1" applyFill="1" applyBorder="1"/>
    <xf numFmtId="0" fontId="52" fillId="2" borderId="5" xfId="0" applyFont="1" applyFill="1" applyBorder="1"/>
    <xf numFmtId="0" fontId="52" fillId="2" borderId="0" xfId="0" applyFont="1" applyFill="1" applyAlignment="1">
      <alignment horizontal="center"/>
    </xf>
    <xf numFmtId="9" fontId="52" fillId="2" borderId="0" xfId="0" applyNumberFormat="1" applyFont="1" applyFill="1" applyAlignment="1">
      <alignment horizontal="center"/>
    </xf>
    <xf numFmtId="0" fontId="50" fillId="2" borderId="0" xfId="0" applyFont="1" applyFill="1" applyAlignment="1">
      <alignment horizontal="center"/>
    </xf>
    <xf numFmtId="0" fontId="3" fillId="2" borderId="0" xfId="0" applyFont="1" applyFill="1" applyAlignment="1">
      <alignment horizontal="left"/>
    </xf>
    <xf numFmtId="0" fontId="32" fillId="4" borderId="0" xfId="0" applyFont="1" applyFill="1" applyAlignment="1">
      <alignment horizontal="left"/>
    </xf>
    <xf numFmtId="166" fontId="32" fillId="4" borderId="0" xfId="1" applyNumberFormat="1" applyFont="1" applyFill="1" applyBorder="1" applyAlignment="1">
      <alignment horizontal="right"/>
    </xf>
    <xf numFmtId="166" fontId="0" fillId="2" borderId="0" xfId="1" applyNumberFormat="1" applyFont="1" applyFill="1" applyBorder="1" applyAlignment="1">
      <alignment horizontal="right"/>
    </xf>
    <xf numFmtId="10" fontId="46" fillId="2" borderId="0" xfId="0" applyNumberFormat="1" applyFont="1" applyFill="1"/>
    <xf numFmtId="167" fontId="1" fillId="2" borderId="0" xfId="0" applyNumberFormat="1" applyFont="1" applyFill="1"/>
    <xf numFmtId="166" fontId="1" fillId="2" borderId="0" xfId="0" applyNumberFormat="1" applyFont="1" applyFill="1"/>
    <xf numFmtId="3" fontId="1" fillId="2" borderId="0" xfId="0" applyNumberFormat="1" applyFont="1" applyFill="1"/>
    <xf numFmtId="37" fontId="1" fillId="2" borderId="0" xfId="0" applyNumberFormat="1" applyFont="1" applyFill="1"/>
    <xf numFmtId="0" fontId="55" fillId="2" borderId="0" xfId="0" applyFont="1" applyFill="1" applyAlignment="1">
      <alignment horizontal="center" vertical="center"/>
    </xf>
    <xf numFmtId="0" fontId="56" fillId="2" borderId="0" xfId="0" applyFont="1" applyFill="1" applyAlignment="1">
      <alignment horizontal="center" vertical="center"/>
    </xf>
    <xf numFmtId="0" fontId="57" fillId="22" borderId="0" xfId="0" applyFont="1" applyFill="1"/>
    <xf numFmtId="0" fontId="59" fillId="2" borderId="0" xfId="0" applyFont="1" applyFill="1" applyAlignment="1">
      <alignment horizontal="center" vertical="top" wrapText="1"/>
    </xf>
    <xf numFmtId="0" fontId="59" fillId="2" borderId="0" xfId="0" applyFont="1" applyFill="1" applyAlignment="1">
      <alignment vertical="top" wrapText="1"/>
    </xf>
    <xf numFmtId="0" fontId="60" fillId="2" borderId="0" xfId="0" applyFont="1" applyFill="1" applyAlignment="1">
      <alignment horizontal="right"/>
    </xf>
    <xf numFmtId="0" fontId="61" fillId="2" borderId="0" xfId="0" applyFont="1" applyFill="1"/>
    <xf numFmtId="0" fontId="51" fillId="23" borderId="0" xfId="0" applyFont="1" applyFill="1"/>
    <xf numFmtId="0" fontId="51" fillId="25" borderId="0" xfId="0" applyFont="1" applyFill="1"/>
    <xf numFmtId="0" fontId="51" fillId="24" borderId="0" xfId="0" applyFont="1" applyFill="1"/>
    <xf numFmtId="0" fontId="51" fillId="6" borderId="0" xfId="0" applyFont="1" applyFill="1"/>
    <xf numFmtId="0" fontId="51" fillId="26" borderId="0" xfId="0" applyFont="1" applyFill="1"/>
    <xf numFmtId="0" fontId="48" fillId="2" borderId="29" xfId="0" applyFont="1" applyFill="1" applyBorder="1"/>
    <xf numFmtId="0" fontId="48" fillId="2" borderId="28" xfId="0" applyFont="1" applyFill="1" applyBorder="1"/>
    <xf numFmtId="10" fontId="48" fillId="2" borderId="28" xfId="2" applyNumberFormat="1" applyFont="1" applyFill="1" applyBorder="1"/>
    <xf numFmtId="0" fontId="62" fillId="4" borderId="30" xfId="0" applyFont="1" applyFill="1" applyBorder="1"/>
    <xf numFmtId="0" fontId="62" fillId="4" borderId="31" xfId="0" applyFont="1" applyFill="1" applyBorder="1"/>
    <xf numFmtId="2" fontId="48" fillId="2" borderId="28" xfId="0" applyNumberFormat="1" applyFont="1" applyFill="1" applyBorder="1"/>
    <xf numFmtId="1" fontId="48" fillId="2" borderId="29" xfId="0" applyNumberFormat="1" applyFont="1" applyFill="1" applyBorder="1"/>
    <xf numFmtId="1" fontId="48" fillId="2" borderId="28" xfId="0" applyNumberFormat="1" applyFont="1" applyFill="1" applyBorder="1"/>
    <xf numFmtId="2" fontId="48" fillId="2" borderId="28" xfId="2" applyNumberFormat="1" applyFont="1" applyFill="1" applyBorder="1"/>
    <xf numFmtId="9" fontId="0" fillId="2" borderId="0" xfId="0" applyNumberFormat="1" applyFill="1"/>
    <xf numFmtId="0" fontId="46" fillId="24" borderId="0" xfId="0" applyFont="1" applyFill="1"/>
    <xf numFmtId="0" fontId="46" fillId="23" borderId="32" xfId="0" applyFont="1" applyFill="1" applyBorder="1"/>
    <xf numFmtId="0" fontId="46" fillId="24" borderId="33" xfId="0" applyFont="1" applyFill="1" applyBorder="1"/>
    <xf numFmtId="0" fontId="46" fillId="24" borderId="34" xfId="0" applyFont="1" applyFill="1" applyBorder="1"/>
    <xf numFmtId="0" fontId="46" fillId="6" borderId="35" xfId="0" applyFont="1" applyFill="1" applyBorder="1"/>
    <xf numFmtId="0" fontId="46" fillId="24" borderId="36" xfId="0" applyFont="1" applyFill="1" applyBorder="1"/>
    <xf numFmtId="0" fontId="46" fillId="6" borderId="37" xfId="0" applyFont="1" applyFill="1" applyBorder="1"/>
    <xf numFmtId="0" fontId="46" fillId="24" borderId="37" xfId="0" applyFont="1" applyFill="1" applyBorder="1"/>
    <xf numFmtId="0" fontId="46" fillId="24" borderId="35" xfId="0" applyFont="1" applyFill="1" applyBorder="1"/>
    <xf numFmtId="0" fontId="46" fillId="23" borderId="38" xfId="0" applyFont="1" applyFill="1" applyBorder="1"/>
    <xf numFmtId="0" fontId="46" fillId="23" borderId="39" xfId="0" applyFont="1" applyFill="1" applyBorder="1"/>
    <xf numFmtId="0" fontId="21" fillId="2" borderId="1" xfId="3" applyFont="1" applyFill="1" applyBorder="1" applyAlignment="1">
      <alignment horizontal="center"/>
    </xf>
    <xf numFmtId="0" fontId="22" fillId="2" borderId="0" xfId="3" applyFont="1" applyFill="1" applyAlignment="1">
      <alignment horizontal="center"/>
    </xf>
    <xf numFmtId="0" fontId="38" fillId="10" borderId="20" xfId="0" applyFont="1" applyFill="1" applyBorder="1" applyAlignment="1">
      <alignment horizontal="left" vertical="top" wrapText="1"/>
    </xf>
    <xf numFmtId="0" fontId="46" fillId="2" borderId="0" xfId="0" applyFont="1" applyFill="1" applyAlignment="1">
      <alignment horizontal="center" vertical="center" wrapText="1"/>
    </xf>
    <xf numFmtId="0" fontId="58" fillId="2" borderId="0" xfId="0" applyFont="1" applyFill="1" applyAlignment="1">
      <alignment horizontal="right" vertical="center" wrapText="1"/>
    </xf>
    <xf numFmtId="0" fontId="46" fillId="2" borderId="0" xfId="0" applyFont="1" applyFill="1" applyAlignment="1">
      <alignment horizontal="center" vertical="center"/>
    </xf>
  </cellXfs>
  <cellStyles count="14">
    <cellStyle name="Comma" xfId="1" builtinId="3"/>
    <cellStyle name="Comma 10" xfId="5" xr:uid="{C5C0FD25-5EC5-D44A-9E83-EA19350D8F10}"/>
    <cellStyle name="Comma 2" xfId="8" xr:uid="{C57AAC57-B3B0-F546-B1B2-069C54444570}"/>
    <cellStyle name="Comma 3" xfId="7" xr:uid="{3145E8C3-44F0-3C4E-A73C-C282099098CD}"/>
    <cellStyle name="Currency" xfId="12" builtinId="4"/>
    <cellStyle name="Hyperlink" xfId="13" builtinId="8"/>
    <cellStyle name="Normal" xfId="0" builtinId="0"/>
    <cellStyle name="Normal 3" xfId="10" xr:uid="{0A08FB5F-E5A6-4B4F-B903-DC063C290CA3}"/>
    <cellStyle name="Normal_MRK Rolled Model 2012" xfId="3" xr:uid="{7CC4F5B4-B4C3-9E44-A012-B302CE728AC5}"/>
    <cellStyle name="Percent" xfId="2" builtinId="5"/>
    <cellStyle name="Percent 10" xfId="4" xr:uid="{1AFB57E3-017F-B44F-89B4-947927AD0A29}"/>
    <cellStyle name="Percent 2" xfId="9" xr:uid="{4812F5E8-02D5-2648-9FA8-E78B177857ED}"/>
    <cellStyle name="Percent 2 2" xfId="11" xr:uid="{EAD54F34-E5FF-EE4D-85CB-48135927778C}"/>
    <cellStyle name="Percent 3" xfId="6" xr:uid="{4ED1CAAE-9009-3143-BE7A-923487B6FAF3}"/>
  </cellStyles>
  <dxfs count="9">
    <dxf>
      <font>
        <strike val="0"/>
        <outline val="0"/>
        <shadow val="0"/>
        <u val="none"/>
        <vertAlign val="baseline"/>
        <sz val="8"/>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BFE5D9"/>
        </left>
        <right style="thin">
          <color rgb="FFBFE5D9"/>
        </right>
        <top style="thin">
          <color rgb="FFBFE5D9"/>
        </top>
        <bottom style="thin">
          <color rgb="FFBFE5D9"/>
        </bottom>
      </border>
    </dxf>
    <dxf>
      <font>
        <strike val="0"/>
        <outline val="0"/>
        <shadow val="0"/>
        <u val="none"/>
        <vertAlign val="baseline"/>
        <sz val="8"/>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rgb="FFBFE5D9"/>
        </right>
        <top style="thin">
          <color rgb="FFBFE5D9"/>
        </top>
        <bottom style="thin">
          <color rgb="FFBFE5D9"/>
        </bottom>
      </border>
    </dxf>
    <dxf>
      <border>
        <top style="thin">
          <color rgb="FFBFE5D9"/>
        </top>
      </border>
    </dxf>
    <dxf>
      <border diagonalUp="0" diagonalDown="0">
        <left style="thin">
          <color rgb="FFBFE5D9"/>
        </left>
        <right style="thin">
          <color rgb="FFBFE5D9"/>
        </right>
        <top style="thin">
          <color rgb="FFBFE5D9"/>
        </top>
        <bottom style="thin">
          <color rgb="FFBFE5D9"/>
        </bottom>
      </border>
    </dxf>
    <dxf>
      <font>
        <strike val="0"/>
        <outline val="0"/>
        <shadow val="0"/>
        <u val="none"/>
        <vertAlign val="baseline"/>
        <sz val="8"/>
        <name val="Times New Roman"/>
        <family val="1"/>
        <scheme val="none"/>
      </font>
      <fill>
        <patternFill patternType="solid">
          <fgColor indexed="64"/>
          <bgColor theme="0"/>
        </patternFill>
      </fill>
      <alignment horizontal="center" vertical="center" textRotation="0" wrapText="1" indent="0" justifyLastLine="0" shrinkToFit="0" readingOrder="0"/>
    </dxf>
    <dxf>
      <border>
        <bottom style="thin">
          <color rgb="FFBFE5D9"/>
        </bottom>
      </border>
    </dxf>
    <dxf>
      <font>
        <strike val="0"/>
        <outline val="0"/>
        <shadow val="0"/>
        <u val="none"/>
        <vertAlign val="baseline"/>
        <sz val="8"/>
        <color theme="0"/>
        <name val="Times New Roman"/>
        <family val="1"/>
        <scheme val="none"/>
      </font>
      <fill>
        <patternFill patternType="solid">
          <fgColor indexed="64"/>
          <bgColor rgb="FF008079"/>
        </patternFill>
      </fill>
      <alignment horizontal="center" vertical="center" textRotation="0" wrapText="0" indent="0" justifyLastLine="0" shrinkToFit="0" readingOrder="0"/>
      <border diagonalUp="0" diagonalDown="0" outline="0">
        <left style="thin">
          <color rgb="FFBFE5D9"/>
        </left>
        <right style="thin">
          <color rgb="FFBFE5D9"/>
        </right>
        <top/>
        <bottom/>
      </border>
    </dxf>
    <dxf>
      <border>
        <top style="thin">
          <color auto="1"/>
        </top>
        <bottom style="thin">
          <color auto="1"/>
        </bottom>
      </border>
    </dxf>
    <dxf>
      <font>
        <condense val="0"/>
        <extend val="0"/>
        <color indexed="9"/>
      </font>
      <fill>
        <patternFill>
          <bgColor indexed="9"/>
        </patternFill>
      </fill>
    </dxf>
  </dxfs>
  <tableStyles count="0" defaultTableStyle="TableStyleMedium2" defaultPivotStyle="PivotStyleLight16"/>
  <colors>
    <mruColors>
      <color rgb="FF008079"/>
      <color rgb="FF89B9B9"/>
      <color rgb="FF00EEE7"/>
      <color rgb="FF00C0B7"/>
      <color rgb="FFD9F0FA"/>
      <color rgb="FFBFE5D9"/>
      <color rgb="FFDDFFFF"/>
      <color rgb="FFE0F3FF"/>
      <color rgb="FFE8FFF2"/>
      <color rgb="FFBED2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Industry Forecast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[2]Company!$A$24</c:f>
              <c:strCache>
                <c:ptCount val="1"/>
                <c:pt idx="0">
                  <c:v>Total revenue in billions</c:v>
                </c:pt>
              </c:strCache>
            </c:strRef>
          </c:tx>
          <c:spPr>
            <a:ln w="28575" cap="rnd">
              <a:solidFill>
                <a:srgbClr val="008079"/>
              </a:solidFill>
              <a:miter lim="800000"/>
            </a:ln>
            <a:effectLst/>
          </c:spPr>
          <c:marker>
            <c:symbol val="diamond"/>
            <c:size val="6"/>
            <c:spPr>
              <a:solidFill>
                <a:schemeClr val="accent1"/>
              </a:solidFill>
              <a:ln w="9525">
                <a:solidFill>
                  <a:schemeClr val="accent1"/>
                </a:solidFill>
                <a:bevel/>
              </a:ln>
              <a:effectLst/>
            </c:spPr>
          </c:marker>
          <c:dPt>
            <c:idx val="0"/>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11-BD81-3C4C-8CA4-AB116EF9DF87}"/>
              </c:ext>
            </c:extLst>
          </c:dPt>
          <c:dPt>
            <c:idx val="1"/>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10-BD81-3C4C-8CA4-AB116EF9DF87}"/>
              </c:ext>
            </c:extLst>
          </c:dPt>
          <c:dPt>
            <c:idx val="2"/>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0F-BD81-3C4C-8CA4-AB116EF9DF87}"/>
              </c:ext>
            </c:extLst>
          </c:dPt>
          <c:dPt>
            <c:idx val="3"/>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0E-BD81-3C4C-8CA4-AB116EF9DF87}"/>
              </c:ext>
            </c:extLst>
          </c:dPt>
          <c:dPt>
            <c:idx val="4"/>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0D-BD81-3C4C-8CA4-AB116EF9DF87}"/>
              </c:ext>
            </c:extLst>
          </c:dPt>
          <c:dPt>
            <c:idx val="5"/>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0C-BD81-3C4C-8CA4-AB116EF9DF87}"/>
              </c:ext>
            </c:extLst>
          </c:dPt>
          <c:dPt>
            <c:idx val="6"/>
            <c:marker>
              <c:symbol val="diamond"/>
              <c:size val="6"/>
              <c:spPr>
                <a:solidFill>
                  <a:srgbClr val="008079"/>
                </a:solidFill>
                <a:ln w="9525">
                  <a:solidFill>
                    <a:srgbClr val="008079"/>
                  </a:solidFill>
                  <a:bevel/>
                </a:ln>
                <a:effectLst/>
              </c:spPr>
            </c:marker>
            <c:bubble3D val="0"/>
            <c:extLst>
              <c:ext xmlns:c16="http://schemas.microsoft.com/office/drawing/2014/chart" uri="{C3380CC4-5D6E-409C-BE32-E72D297353CC}">
                <c16:uniqueId val="{0000000B-BD81-3C4C-8CA4-AB116EF9DF87}"/>
              </c:ext>
            </c:extLst>
          </c:dPt>
          <c:dPt>
            <c:idx val="7"/>
            <c:marker>
              <c:symbol val="diamond"/>
              <c:size val="6"/>
              <c:spPr>
                <a:solidFill>
                  <a:srgbClr val="00EEE7"/>
                </a:solidFill>
                <a:ln w="9525">
                  <a:solidFill>
                    <a:srgbClr val="00EEE7"/>
                  </a:solidFill>
                  <a:bevel/>
                </a:ln>
                <a:effectLst/>
              </c:spPr>
            </c:marker>
            <c:bubble3D val="0"/>
            <c:spPr>
              <a:ln w="28575" cap="rnd">
                <a:solidFill>
                  <a:srgbClr val="008079"/>
                </a:solidFill>
                <a:miter lim="800000"/>
              </a:ln>
              <a:effectLst/>
            </c:spPr>
            <c:extLst>
              <c:ext xmlns:c16="http://schemas.microsoft.com/office/drawing/2014/chart" uri="{C3380CC4-5D6E-409C-BE32-E72D297353CC}">
                <c16:uniqueId val="{00000001-BD81-3C4C-8CA4-AB116EF9DF87}"/>
              </c:ext>
            </c:extLst>
          </c:dPt>
          <c:dPt>
            <c:idx val="8"/>
            <c:marker>
              <c:symbol val="diamond"/>
              <c:size val="6"/>
              <c:spPr>
                <a:solidFill>
                  <a:srgbClr val="00EEE7"/>
                </a:solidFill>
                <a:ln w="9525">
                  <a:solidFill>
                    <a:srgbClr val="00EEE7"/>
                  </a:solidFill>
                  <a:bevel/>
                </a:ln>
                <a:effectLst/>
              </c:spPr>
            </c:marker>
            <c:bubble3D val="0"/>
            <c:spPr>
              <a:ln w="28575" cap="rnd">
                <a:solidFill>
                  <a:srgbClr val="00EEE7"/>
                </a:solidFill>
                <a:miter lim="800000"/>
              </a:ln>
              <a:effectLst/>
            </c:spPr>
            <c:extLst>
              <c:ext xmlns:c16="http://schemas.microsoft.com/office/drawing/2014/chart" uri="{C3380CC4-5D6E-409C-BE32-E72D297353CC}">
                <c16:uniqueId val="{00000003-BD81-3C4C-8CA4-AB116EF9DF87}"/>
              </c:ext>
            </c:extLst>
          </c:dPt>
          <c:dPt>
            <c:idx val="9"/>
            <c:marker>
              <c:symbol val="diamond"/>
              <c:size val="6"/>
              <c:spPr>
                <a:solidFill>
                  <a:srgbClr val="00EEE7"/>
                </a:solidFill>
                <a:ln w="9525">
                  <a:solidFill>
                    <a:srgbClr val="00EEE7"/>
                  </a:solidFill>
                  <a:bevel/>
                </a:ln>
                <a:effectLst/>
              </c:spPr>
            </c:marker>
            <c:bubble3D val="0"/>
            <c:spPr>
              <a:ln w="28575" cap="rnd">
                <a:solidFill>
                  <a:srgbClr val="00EEE7"/>
                </a:solidFill>
                <a:miter lim="800000"/>
              </a:ln>
              <a:effectLst/>
            </c:spPr>
            <c:extLst>
              <c:ext xmlns:c16="http://schemas.microsoft.com/office/drawing/2014/chart" uri="{C3380CC4-5D6E-409C-BE32-E72D297353CC}">
                <c16:uniqueId val="{00000005-BD81-3C4C-8CA4-AB116EF9DF87}"/>
              </c:ext>
            </c:extLst>
          </c:dPt>
          <c:dPt>
            <c:idx val="10"/>
            <c:marker>
              <c:symbol val="diamond"/>
              <c:size val="6"/>
              <c:spPr>
                <a:solidFill>
                  <a:srgbClr val="00EEE7"/>
                </a:solidFill>
                <a:ln w="9525">
                  <a:solidFill>
                    <a:srgbClr val="00EEE7"/>
                  </a:solidFill>
                  <a:bevel/>
                </a:ln>
                <a:effectLst/>
              </c:spPr>
            </c:marker>
            <c:bubble3D val="0"/>
            <c:spPr>
              <a:ln w="28575" cap="rnd">
                <a:solidFill>
                  <a:srgbClr val="00EEE7"/>
                </a:solidFill>
                <a:miter lim="800000"/>
              </a:ln>
              <a:effectLst/>
            </c:spPr>
            <c:extLst>
              <c:ext xmlns:c16="http://schemas.microsoft.com/office/drawing/2014/chart" uri="{C3380CC4-5D6E-409C-BE32-E72D297353CC}">
                <c16:uniqueId val="{00000007-BD81-3C4C-8CA4-AB116EF9DF87}"/>
              </c:ext>
            </c:extLst>
          </c:dPt>
          <c:dPt>
            <c:idx val="11"/>
            <c:marker>
              <c:symbol val="diamond"/>
              <c:size val="6"/>
              <c:spPr>
                <a:solidFill>
                  <a:srgbClr val="00EEE7"/>
                </a:solidFill>
                <a:ln w="9525">
                  <a:solidFill>
                    <a:srgbClr val="00EEE7"/>
                  </a:solidFill>
                  <a:bevel/>
                </a:ln>
                <a:effectLst/>
              </c:spPr>
            </c:marker>
            <c:bubble3D val="0"/>
            <c:spPr>
              <a:ln w="28575" cap="rnd">
                <a:solidFill>
                  <a:srgbClr val="00EEE7"/>
                </a:solidFill>
                <a:miter lim="800000"/>
              </a:ln>
              <a:effectLst/>
            </c:spPr>
            <c:extLst>
              <c:ext xmlns:c16="http://schemas.microsoft.com/office/drawing/2014/chart" uri="{C3380CC4-5D6E-409C-BE32-E72D297353CC}">
                <c16:uniqueId val="{00000009-BD81-3C4C-8CA4-AB116EF9DF87}"/>
              </c:ext>
            </c:extLst>
          </c:dPt>
          <c:cat>
            <c:numRef>
              <c:f>[2]Company!$B$23:$M$23</c:f>
              <c:numCache>
                <c:formatCode>General</c:formatCode>
                <c:ptCount val="12"/>
                <c:pt idx="0">
                  <c:v>2016</c:v>
                </c:pt>
                <c:pt idx="1">
                  <c:v>2017</c:v>
                </c:pt>
                <c:pt idx="2">
                  <c:v>2018</c:v>
                </c:pt>
                <c:pt idx="3">
                  <c:v>2019</c:v>
                </c:pt>
                <c:pt idx="4">
                  <c:v>2020</c:v>
                </c:pt>
                <c:pt idx="5">
                  <c:v>2021</c:v>
                </c:pt>
                <c:pt idx="6">
                  <c:v>2022</c:v>
                </c:pt>
                <c:pt idx="7">
                  <c:v>2023</c:v>
                </c:pt>
                <c:pt idx="8">
                  <c:v>2024</c:v>
                </c:pt>
                <c:pt idx="9">
                  <c:v>2025</c:v>
                </c:pt>
                <c:pt idx="10">
                  <c:v>2026</c:v>
                </c:pt>
                <c:pt idx="11">
                  <c:v>2027</c:v>
                </c:pt>
              </c:numCache>
            </c:numRef>
          </c:cat>
          <c:val>
            <c:numRef>
              <c:f>[2]Company!$B$24:$M$24</c:f>
              <c:numCache>
                <c:formatCode>General</c:formatCode>
                <c:ptCount val="12"/>
                <c:pt idx="0">
                  <c:v>821.1</c:v>
                </c:pt>
                <c:pt idx="1">
                  <c:v>847.4</c:v>
                </c:pt>
                <c:pt idx="2">
                  <c:v>883</c:v>
                </c:pt>
                <c:pt idx="3">
                  <c:v>917.5</c:v>
                </c:pt>
                <c:pt idx="4">
                  <c:v>931.6</c:v>
                </c:pt>
                <c:pt idx="5">
                  <c:v>1047</c:v>
                </c:pt>
                <c:pt idx="6">
                  <c:v>1109</c:v>
                </c:pt>
                <c:pt idx="7">
                  <c:v>1148</c:v>
                </c:pt>
                <c:pt idx="8">
                  <c:v>1203</c:v>
                </c:pt>
                <c:pt idx="9">
                  <c:v>1274</c:v>
                </c:pt>
                <c:pt idx="10">
                  <c:v>1351</c:v>
                </c:pt>
                <c:pt idx="11">
                  <c:v>1431</c:v>
                </c:pt>
              </c:numCache>
            </c:numRef>
          </c:val>
          <c:smooth val="0"/>
          <c:extLst>
            <c:ext xmlns:c16="http://schemas.microsoft.com/office/drawing/2014/chart" uri="{C3380CC4-5D6E-409C-BE32-E72D297353CC}">
              <c16:uniqueId val="{0000000A-BD81-3C4C-8CA4-AB116EF9DF87}"/>
            </c:ext>
          </c:extLst>
        </c:ser>
        <c:dLbls>
          <c:showLegendKey val="0"/>
          <c:showVal val="0"/>
          <c:showCatName val="0"/>
          <c:showSerName val="0"/>
          <c:showPercent val="0"/>
          <c:showBubbleSize val="0"/>
        </c:dLbls>
        <c:marker val="1"/>
        <c:smooth val="0"/>
        <c:axId val="985041488"/>
        <c:axId val="985266720"/>
      </c:lineChart>
      <c:catAx>
        <c:axId val="98504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85266720"/>
        <c:crosses val="autoZero"/>
        <c:auto val="1"/>
        <c:lblAlgn val="ctr"/>
        <c:lblOffset val="100"/>
        <c:noMultiLvlLbl val="0"/>
      </c:catAx>
      <c:valAx>
        <c:axId val="98526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8504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R&amp;D forecast 2026</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clustered"/>
        <c:varyColors val="0"/>
        <c:ser>
          <c:idx val="0"/>
          <c:order val="0"/>
          <c:spPr>
            <a:solidFill>
              <a:srgbClr val="BFE5D9"/>
            </a:solidFill>
            <a:ln>
              <a:noFill/>
            </a:ln>
            <a:effectLst/>
          </c:spPr>
          <c:invertIfNegative val="0"/>
          <c:dPt>
            <c:idx val="1"/>
            <c:invertIfNegative val="0"/>
            <c:bubble3D val="0"/>
            <c:spPr>
              <a:solidFill>
                <a:srgbClr val="89B9B9"/>
              </a:solidFill>
              <a:ln>
                <a:noFill/>
              </a:ln>
              <a:effectLst/>
            </c:spPr>
            <c:extLst>
              <c:ext xmlns:c16="http://schemas.microsoft.com/office/drawing/2014/chart" uri="{C3380CC4-5D6E-409C-BE32-E72D297353CC}">
                <c16:uniqueId val="{00000002-BD9A-E241-B275-43F26ECAC97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Graphs'!$J$20:$J$29</c:f>
              <c:strCache>
                <c:ptCount val="10"/>
                <c:pt idx="0">
                  <c:v>Roche</c:v>
                </c:pt>
                <c:pt idx="1">
                  <c:v>Merck</c:v>
                </c:pt>
                <c:pt idx="2">
                  <c:v>Johnson &amp; Johnosn</c:v>
                </c:pt>
                <c:pt idx="3">
                  <c:v>Pfizer</c:v>
                </c:pt>
                <c:pt idx="4">
                  <c:v>Novartis</c:v>
                </c:pt>
                <c:pt idx="5">
                  <c:v>Bristol-Myers Squibb</c:v>
                </c:pt>
                <c:pt idx="6">
                  <c:v>AstraZeneca</c:v>
                </c:pt>
                <c:pt idx="7">
                  <c:v>Eli Lilly</c:v>
                </c:pt>
                <c:pt idx="8">
                  <c:v>GlaxoSmithKline</c:v>
                </c:pt>
                <c:pt idx="9">
                  <c:v>AbbVie</c:v>
                </c:pt>
              </c:strCache>
            </c:strRef>
          </c:cat>
          <c:val>
            <c:numRef>
              <c:f>'Report Graphs'!$K$20:$K$29</c:f>
              <c:numCache>
                <c:formatCode>#,##0.0_);[Red]\(#,##0.0\)</c:formatCode>
                <c:ptCount val="10"/>
                <c:pt idx="0" formatCode="General">
                  <c:v>14</c:v>
                </c:pt>
                <c:pt idx="1">
                  <c:v>12.676389458388558</c:v>
                </c:pt>
                <c:pt idx="2" formatCode="General">
                  <c:v>12.2</c:v>
                </c:pt>
                <c:pt idx="3" formatCode="General">
                  <c:v>10.5</c:v>
                </c:pt>
                <c:pt idx="4" formatCode="General">
                  <c:v>10</c:v>
                </c:pt>
                <c:pt idx="5" formatCode="General">
                  <c:v>9</c:v>
                </c:pt>
                <c:pt idx="6" formatCode="General">
                  <c:v>8.6</c:v>
                </c:pt>
                <c:pt idx="7" formatCode="General">
                  <c:v>8.1</c:v>
                </c:pt>
                <c:pt idx="8" formatCode="General">
                  <c:v>7.9</c:v>
                </c:pt>
                <c:pt idx="9" formatCode="General">
                  <c:v>7.5</c:v>
                </c:pt>
              </c:numCache>
            </c:numRef>
          </c:val>
          <c:extLst>
            <c:ext xmlns:c16="http://schemas.microsoft.com/office/drawing/2014/chart" uri="{C3380CC4-5D6E-409C-BE32-E72D297353CC}">
              <c16:uniqueId val="{00000000-BD9A-E241-B275-43F26ECAC97E}"/>
            </c:ext>
          </c:extLst>
        </c:ser>
        <c:dLbls>
          <c:dLblPos val="outEnd"/>
          <c:showLegendKey val="0"/>
          <c:showVal val="1"/>
          <c:showCatName val="0"/>
          <c:showSerName val="0"/>
          <c:showPercent val="0"/>
          <c:showBubbleSize val="0"/>
        </c:dLbls>
        <c:gapWidth val="182"/>
        <c:axId val="1061881344"/>
        <c:axId val="954565312"/>
      </c:barChart>
      <c:catAx>
        <c:axId val="106188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54565312"/>
        <c:crosses val="autoZero"/>
        <c:auto val="1"/>
        <c:lblAlgn val="ctr"/>
        <c:lblOffset val="100"/>
        <c:noMultiLvlLbl val="0"/>
      </c:catAx>
      <c:valAx>
        <c:axId val="954565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6188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Chage anual drug spending (customers)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[2]Company!$B$47</c:f>
              <c:strCache>
                <c:ptCount val="1"/>
                <c:pt idx="0">
                  <c:v>Chage</c:v>
                </c:pt>
              </c:strCache>
            </c:strRef>
          </c:tx>
          <c:spPr>
            <a:ln w="28575" cap="rnd">
              <a:solidFill>
                <a:srgbClr val="008079"/>
              </a:solidFill>
              <a:round/>
            </a:ln>
            <a:effectLst/>
          </c:spPr>
          <c:marker>
            <c:symbol val="none"/>
          </c:marker>
          <c:dPt>
            <c:idx val="7"/>
            <c:marker>
              <c:symbol val="none"/>
            </c:marker>
            <c:bubble3D val="0"/>
            <c:spPr>
              <a:ln w="28575" cap="rnd">
                <a:solidFill>
                  <a:srgbClr val="00EEE7"/>
                </a:solidFill>
                <a:round/>
              </a:ln>
              <a:effectLst/>
            </c:spPr>
            <c:extLst>
              <c:ext xmlns:c16="http://schemas.microsoft.com/office/drawing/2014/chart" uri="{C3380CC4-5D6E-409C-BE32-E72D297353CC}">
                <c16:uniqueId val="{00000001-7752-9F4E-980B-BEEDF3B7499F}"/>
              </c:ext>
            </c:extLst>
          </c:dPt>
          <c:dPt>
            <c:idx val="8"/>
            <c:marker>
              <c:symbol val="none"/>
            </c:marker>
            <c:bubble3D val="0"/>
            <c:spPr>
              <a:ln w="28575" cap="rnd">
                <a:solidFill>
                  <a:srgbClr val="00EEE7"/>
                </a:solidFill>
                <a:round/>
              </a:ln>
              <a:effectLst/>
            </c:spPr>
            <c:extLst>
              <c:ext xmlns:c16="http://schemas.microsoft.com/office/drawing/2014/chart" uri="{C3380CC4-5D6E-409C-BE32-E72D297353CC}">
                <c16:uniqueId val="{00000003-7752-9F4E-980B-BEEDF3B7499F}"/>
              </c:ext>
            </c:extLst>
          </c:dPt>
          <c:dPt>
            <c:idx val="9"/>
            <c:marker>
              <c:symbol val="none"/>
            </c:marker>
            <c:bubble3D val="0"/>
            <c:spPr>
              <a:ln w="28575" cap="rnd">
                <a:solidFill>
                  <a:srgbClr val="00EEE7"/>
                </a:solidFill>
                <a:round/>
              </a:ln>
              <a:effectLst/>
            </c:spPr>
            <c:extLst>
              <c:ext xmlns:c16="http://schemas.microsoft.com/office/drawing/2014/chart" uri="{C3380CC4-5D6E-409C-BE32-E72D297353CC}">
                <c16:uniqueId val="{00000005-7752-9F4E-980B-BEEDF3B7499F}"/>
              </c:ext>
            </c:extLst>
          </c:dPt>
          <c:dPt>
            <c:idx val="10"/>
            <c:marker>
              <c:symbol val="none"/>
            </c:marker>
            <c:bubble3D val="0"/>
            <c:spPr>
              <a:ln w="28575" cap="rnd">
                <a:solidFill>
                  <a:srgbClr val="00EEE7"/>
                </a:solidFill>
                <a:round/>
              </a:ln>
              <a:effectLst/>
            </c:spPr>
            <c:extLst>
              <c:ext xmlns:c16="http://schemas.microsoft.com/office/drawing/2014/chart" uri="{C3380CC4-5D6E-409C-BE32-E72D297353CC}">
                <c16:uniqueId val="{00000007-7752-9F4E-980B-BEEDF3B7499F}"/>
              </c:ext>
            </c:extLst>
          </c:dPt>
          <c:cat>
            <c:numRef>
              <c:f>[2]Company!$A$48:$A$58</c:f>
              <c:numCache>
                <c:formatCode>General</c:formatCode>
                <c:ptCount val="11"/>
                <c:pt idx="0">
                  <c:v>2017</c:v>
                </c:pt>
                <c:pt idx="1">
                  <c:v>2018</c:v>
                </c:pt>
                <c:pt idx="2">
                  <c:v>2019</c:v>
                </c:pt>
                <c:pt idx="3">
                  <c:v>2020</c:v>
                </c:pt>
                <c:pt idx="4">
                  <c:v>2021</c:v>
                </c:pt>
                <c:pt idx="5">
                  <c:v>2022</c:v>
                </c:pt>
                <c:pt idx="6">
                  <c:v>2023</c:v>
                </c:pt>
                <c:pt idx="7">
                  <c:v>2024</c:v>
                </c:pt>
                <c:pt idx="8">
                  <c:v>2025</c:v>
                </c:pt>
                <c:pt idx="9">
                  <c:v>2026</c:v>
                </c:pt>
                <c:pt idx="10">
                  <c:v>2027</c:v>
                </c:pt>
              </c:numCache>
            </c:numRef>
          </c:cat>
          <c:val>
            <c:numRef>
              <c:f>[2]Company!$B$48:$B$58</c:f>
              <c:numCache>
                <c:formatCode>General</c:formatCode>
                <c:ptCount val="11"/>
                <c:pt idx="0">
                  <c:v>-3.0000000000000001E-3</c:v>
                </c:pt>
                <c:pt idx="1">
                  <c:v>2.4E-2</c:v>
                </c:pt>
                <c:pt idx="2">
                  <c:v>3.6999999999999998E-2</c:v>
                </c:pt>
                <c:pt idx="3">
                  <c:v>4.2999999999999997E-2</c:v>
                </c:pt>
                <c:pt idx="4">
                  <c:v>4.8000000000000001E-2</c:v>
                </c:pt>
                <c:pt idx="5">
                  <c:v>5.3999999999999999E-2</c:v>
                </c:pt>
                <c:pt idx="6">
                  <c:v>5.5E-2</c:v>
                </c:pt>
                <c:pt idx="7">
                  <c:v>5.5E-2</c:v>
                </c:pt>
                <c:pt idx="8">
                  <c:v>5.4000000000000006E-2</c:v>
                </c:pt>
                <c:pt idx="9">
                  <c:v>5.4000000000000006E-2</c:v>
                </c:pt>
                <c:pt idx="10">
                  <c:v>5.4000000000000006E-2</c:v>
                </c:pt>
              </c:numCache>
            </c:numRef>
          </c:val>
          <c:smooth val="0"/>
          <c:extLst>
            <c:ext xmlns:c16="http://schemas.microsoft.com/office/drawing/2014/chart" uri="{C3380CC4-5D6E-409C-BE32-E72D297353CC}">
              <c16:uniqueId val="{00000008-7752-9F4E-980B-BEEDF3B7499F}"/>
            </c:ext>
          </c:extLst>
        </c:ser>
        <c:dLbls>
          <c:showLegendKey val="0"/>
          <c:showVal val="0"/>
          <c:showCatName val="0"/>
          <c:showSerName val="0"/>
          <c:showPercent val="0"/>
          <c:showBubbleSize val="0"/>
        </c:dLbls>
        <c:smooth val="0"/>
        <c:axId val="1065869456"/>
        <c:axId val="1086385152"/>
      </c:lineChart>
      <c:catAx>
        <c:axId val="106586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86385152"/>
        <c:crosses val="autoZero"/>
        <c:auto val="1"/>
        <c:lblAlgn val="ctr"/>
        <c:lblOffset val="100"/>
        <c:noMultiLvlLbl val="0"/>
      </c:catAx>
      <c:valAx>
        <c:axId val="108638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6586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Equity!$C$4</c:f>
              <c:strCache>
                <c:ptCount val="1"/>
                <c:pt idx="0">
                  <c:v>Common Shares Price</c:v>
                </c:pt>
              </c:strCache>
            </c:strRef>
          </c:tx>
          <c:spPr>
            <a:ln w="28575" cap="rnd">
              <a:solidFill>
                <a:srgbClr val="00C0B7"/>
              </a:solidFill>
              <a:round/>
            </a:ln>
            <a:effectLst/>
          </c:spPr>
          <c:marker>
            <c:symbol val="none"/>
          </c:marker>
          <c:cat>
            <c:numRef>
              <c:f>Equity!$B$5:$B$255</c:f>
              <c:numCache>
                <c:formatCode>m/d/yy</c:formatCode>
                <c:ptCount val="251"/>
                <c:pt idx="0">
                  <c:v>44564</c:v>
                </c:pt>
                <c:pt idx="1">
                  <c:v>44565</c:v>
                </c:pt>
                <c:pt idx="2">
                  <c:v>44566</c:v>
                </c:pt>
                <c:pt idx="3">
                  <c:v>44567</c:v>
                </c:pt>
                <c:pt idx="4">
                  <c:v>44568</c:v>
                </c:pt>
                <c:pt idx="5">
                  <c:v>44571</c:v>
                </c:pt>
                <c:pt idx="6">
                  <c:v>44572</c:v>
                </c:pt>
                <c:pt idx="7">
                  <c:v>44573</c:v>
                </c:pt>
                <c:pt idx="8">
                  <c:v>44574</c:v>
                </c:pt>
                <c:pt idx="9">
                  <c:v>44575</c:v>
                </c:pt>
                <c:pt idx="10">
                  <c:v>44579</c:v>
                </c:pt>
                <c:pt idx="11">
                  <c:v>44580</c:v>
                </c:pt>
                <c:pt idx="12">
                  <c:v>44581</c:v>
                </c:pt>
                <c:pt idx="13">
                  <c:v>44582</c:v>
                </c:pt>
                <c:pt idx="14">
                  <c:v>44585</c:v>
                </c:pt>
                <c:pt idx="15">
                  <c:v>44586</c:v>
                </c:pt>
                <c:pt idx="16">
                  <c:v>44587</c:v>
                </c:pt>
                <c:pt idx="17">
                  <c:v>44588</c:v>
                </c:pt>
                <c:pt idx="18">
                  <c:v>44589</c:v>
                </c:pt>
                <c:pt idx="19">
                  <c:v>44592</c:v>
                </c:pt>
                <c:pt idx="20">
                  <c:v>44593</c:v>
                </c:pt>
                <c:pt idx="21">
                  <c:v>44594</c:v>
                </c:pt>
                <c:pt idx="22">
                  <c:v>44595</c:v>
                </c:pt>
                <c:pt idx="23">
                  <c:v>44596</c:v>
                </c:pt>
                <c:pt idx="24">
                  <c:v>44599</c:v>
                </c:pt>
                <c:pt idx="25">
                  <c:v>44600</c:v>
                </c:pt>
                <c:pt idx="26">
                  <c:v>44601</c:v>
                </c:pt>
                <c:pt idx="27">
                  <c:v>44602</c:v>
                </c:pt>
                <c:pt idx="28">
                  <c:v>44603</c:v>
                </c:pt>
                <c:pt idx="29">
                  <c:v>44606</c:v>
                </c:pt>
                <c:pt idx="30">
                  <c:v>44607</c:v>
                </c:pt>
                <c:pt idx="31">
                  <c:v>44608</c:v>
                </c:pt>
                <c:pt idx="32">
                  <c:v>44609</c:v>
                </c:pt>
                <c:pt idx="33">
                  <c:v>44610</c:v>
                </c:pt>
                <c:pt idx="34">
                  <c:v>44614</c:v>
                </c:pt>
                <c:pt idx="35">
                  <c:v>44615</c:v>
                </c:pt>
                <c:pt idx="36">
                  <c:v>44616</c:v>
                </c:pt>
                <c:pt idx="37">
                  <c:v>44617</c:v>
                </c:pt>
                <c:pt idx="38">
                  <c:v>44620</c:v>
                </c:pt>
                <c:pt idx="39">
                  <c:v>44621</c:v>
                </c:pt>
                <c:pt idx="40">
                  <c:v>44622</c:v>
                </c:pt>
                <c:pt idx="41">
                  <c:v>44623</c:v>
                </c:pt>
                <c:pt idx="42">
                  <c:v>44624</c:v>
                </c:pt>
                <c:pt idx="43">
                  <c:v>44627</c:v>
                </c:pt>
                <c:pt idx="44">
                  <c:v>44628</c:v>
                </c:pt>
                <c:pt idx="45">
                  <c:v>44629</c:v>
                </c:pt>
                <c:pt idx="46">
                  <c:v>44630</c:v>
                </c:pt>
                <c:pt idx="47">
                  <c:v>44631</c:v>
                </c:pt>
                <c:pt idx="48">
                  <c:v>44634</c:v>
                </c:pt>
                <c:pt idx="49">
                  <c:v>44635</c:v>
                </c:pt>
                <c:pt idx="50">
                  <c:v>44636</c:v>
                </c:pt>
                <c:pt idx="51">
                  <c:v>44637</c:v>
                </c:pt>
                <c:pt idx="52">
                  <c:v>44638</c:v>
                </c:pt>
                <c:pt idx="53">
                  <c:v>44641</c:v>
                </c:pt>
                <c:pt idx="54">
                  <c:v>44642</c:v>
                </c:pt>
                <c:pt idx="55">
                  <c:v>44643</c:v>
                </c:pt>
                <c:pt idx="56">
                  <c:v>44644</c:v>
                </c:pt>
                <c:pt idx="57">
                  <c:v>44645</c:v>
                </c:pt>
                <c:pt idx="58">
                  <c:v>44648</c:v>
                </c:pt>
                <c:pt idx="59">
                  <c:v>44649</c:v>
                </c:pt>
                <c:pt idx="60">
                  <c:v>44650</c:v>
                </c:pt>
                <c:pt idx="61">
                  <c:v>44651</c:v>
                </c:pt>
                <c:pt idx="62">
                  <c:v>44652</c:v>
                </c:pt>
                <c:pt idx="63">
                  <c:v>44655</c:v>
                </c:pt>
                <c:pt idx="64">
                  <c:v>44656</c:v>
                </c:pt>
                <c:pt idx="65">
                  <c:v>44657</c:v>
                </c:pt>
                <c:pt idx="66">
                  <c:v>44658</c:v>
                </c:pt>
                <c:pt idx="67">
                  <c:v>44659</c:v>
                </c:pt>
                <c:pt idx="68">
                  <c:v>44662</c:v>
                </c:pt>
                <c:pt idx="69">
                  <c:v>44663</c:v>
                </c:pt>
                <c:pt idx="70">
                  <c:v>44664</c:v>
                </c:pt>
                <c:pt idx="71">
                  <c:v>44665</c:v>
                </c:pt>
                <c:pt idx="72">
                  <c:v>44669</c:v>
                </c:pt>
                <c:pt idx="73">
                  <c:v>44670</c:v>
                </c:pt>
                <c:pt idx="74">
                  <c:v>44671</c:v>
                </c:pt>
                <c:pt idx="75">
                  <c:v>44672</c:v>
                </c:pt>
                <c:pt idx="76">
                  <c:v>44673</c:v>
                </c:pt>
                <c:pt idx="77">
                  <c:v>44676</c:v>
                </c:pt>
                <c:pt idx="78">
                  <c:v>44677</c:v>
                </c:pt>
                <c:pt idx="79">
                  <c:v>44678</c:v>
                </c:pt>
                <c:pt idx="80">
                  <c:v>44679</c:v>
                </c:pt>
                <c:pt idx="81">
                  <c:v>44680</c:v>
                </c:pt>
                <c:pt idx="82">
                  <c:v>44683</c:v>
                </c:pt>
                <c:pt idx="83">
                  <c:v>44684</c:v>
                </c:pt>
                <c:pt idx="84">
                  <c:v>44685</c:v>
                </c:pt>
                <c:pt idx="85">
                  <c:v>44686</c:v>
                </c:pt>
                <c:pt idx="86">
                  <c:v>44687</c:v>
                </c:pt>
                <c:pt idx="87">
                  <c:v>44690</c:v>
                </c:pt>
                <c:pt idx="88">
                  <c:v>44691</c:v>
                </c:pt>
                <c:pt idx="89">
                  <c:v>44692</c:v>
                </c:pt>
                <c:pt idx="90">
                  <c:v>44693</c:v>
                </c:pt>
                <c:pt idx="91">
                  <c:v>44694</c:v>
                </c:pt>
                <c:pt idx="92">
                  <c:v>44697</c:v>
                </c:pt>
                <c:pt idx="93">
                  <c:v>44698</c:v>
                </c:pt>
                <c:pt idx="94">
                  <c:v>44699</c:v>
                </c:pt>
                <c:pt idx="95">
                  <c:v>44700</c:v>
                </c:pt>
                <c:pt idx="96">
                  <c:v>44701</c:v>
                </c:pt>
                <c:pt idx="97">
                  <c:v>44704</c:v>
                </c:pt>
                <c:pt idx="98">
                  <c:v>44705</c:v>
                </c:pt>
                <c:pt idx="99">
                  <c:v>44706</c:v>
                </c:pt>
                <c:pt idx="100">
                  <c:v>44707</c:v>
                </c:pt>
                <c:pt idx="101">
                  <c:v>44708</c:v>
                </c:pt>
                <c:pt idx="102">
                  <c:v>44712</c:v>
                </c:pt>
                <c:pt idx="103">
                  <c:v>44713</c:v>
                </c:pt>
                <c:pt idx="104">
                  <c:v>44714</c:v>
                </c:pt>
                <c:pt idx="105">
                  <c:v>44715</c:v>
                </c:pt>
                <c:pt idx="106">
                  <c:v>44718</c:v>
                </c:pt>
                <c:pt idx="107">
                  <c:v>44719</c:v>
                </c:pt>
                <c:pt idx="108">
                  <c:v>44720</c:v>
                </c:pt>
                <c:pt idx="109">
                  <c:v>44721</c:v>
                </c:pt>
                <c:pt idx="110">
                  <c:v>44722</c:v>
                </c:pt>
                <c:pt idx="111">
                  <c:v>44725</c:v>
                </c:pt>
                <c:pt idx="112">
                  <c:v>44726</c:v>
                </c:pt>
                <c:pt idx="113">
                  <c:v>44727</c:v>
                </c:pt>
                <c:pt idx="114">
                  <c:v>44728</c:v>
                </c:pt>
                <c:pt idx="115">
                  <c:v>44729</c:v>
                </c:pt>
                <c:pt idx="116">
                  <c:v>44733</c:v>
                </c:pt>
                <c:pt idx="117">
                  <c:v>44734</c:v>
                </c:pt>
                <c:pt idx="118">
                  <c:v>44735</c:v>
                </c:pt>
                <c:pt idx="119">
                  <c:v>44736</c:v>
                </c:pt>
                <c:pt idx="120">
                  <c:v>44739</c:v>
                </c:pt>
                <c:pt idx="121">
                  <c:v>44740</c:v>
                </c:pt>
                <c:pt idx="122">
                  <c:v>44741</c:v>
                </c:pt>
                <c:pt idx="123">
                  <c:v>44742</c:v>
                </c:pt>
                <c:pt idx="124">
                  <c:v>44743</c:v>
                </c:pt>
                <c:pt idx="125">
                  <c:v>44747</c:v>
                </c:pt>
                <c:pt idx="126">
                  <c:v>44748</c:v>
                </c:pt>
                <c:pt idx="127">
                  <c:v>44749</c:v>
                </c:pt>
                <c:pt idx="128">
                  <c:v>44750</c:v>
                </c:pt>
                <c:pt idx="129">
                  <c:v>44753</c:v>
                </c:pt>
                <c:pt idx="130">
                  <c:v>44754</c:v>
                </c:pt>
                <c:pt idx="131">
                  <c:v>44755</c:v>
                </c:pt>
                <c:pt idx="132">
                  <c:v>44756</c:v>
                </c:pt>
                <c:pt idx="133">
                  <c:v>44757</c:v>
                </c:pt>
                <c:pt idx="134">
                  <c:v>44760</c:v>
                </c:pt>
                <c:pt idx="135">
                  <c:v>44761</c:v>
                </c:pt>
                <c:pt idx="136">
                  <c:v>44762</c:v>
                </c:pt>
                <c:pt idx="137">
                  <c:v>44763</c:v>
                </c:pt>
                <c:pt idx="138">
                  <c:v>44764</c:v>
                </c:pt>
                <c:pt idx="139">
                  <c:v>44767</c:v>
                </c:pt>
                <c:pt idx="140">
                  <c:v>44768</c:v>
                </c:pt>
                <c:pt idx="141">
                  <c:v>44769</c:v>
                </c:pt>
                <c:pt idx="142">
                  <c:v>44770</c:v>
                </c:pt>
                <c:pt idx="143">
                  <c:v>44771</c:v>
                </c:pt>
                <c:pt idx="144">
                  <c:v>44774</c:v>
                </c:pt>
                <c:pt idx="145">
                  <c:v>44775</c:v>
                </c:pt>
                <c:pt idx="146">
                  <c:v>44776</c:v>
                </c:pt>
                <c:pt idx="147">
                  <c:v>44777</c:v>
                </c:pt>
                <c:pt idx="148">
                  <c:v>44778</c:v>
                </c:pt>
                <c:pt idx="149">
                  <c:v>44781</c:v>
                </c:pt>
                <c:pt idx="150">
                  <c:v>44782</c:v>
                </c:pt>
                <c:pt idx="151">
                  <c:v>44783</c:v>
                </c:pt>
                <c:pt idx="152">
                  <c:v>44784</c:v>
                </c:pt>
                <c:pt idx="153">
                  <c:v>44785</c:v>
                </c:pt>
                <c:pt idx="154">
                  <c:v>44788</c:v>
                </c:pt>
                <c:pt idx="155">
                  <c:v>44789</c:v>
                </c:pt>
                <c:pt idx="156">
                  <c:v>44790</c:v>
                </c:pt>
                <c:pt idx="157">
                  <c:v>44791</c:v>
                </c:pt>
                <c:pt idx="158">
                  <c:v>44792</c:v>
                </c:pt>
                <c:pt idx="159">
                  <c:v>44795</c:v>
                </c:pt>
                <c:pt idx="160">
                  <c:v>44796</c:v>
                </c:pt>
                <c:pt idx="161">
                  <c:v>44797</c:v>
                </c:pt>
                <c:pt idx="162">
                  <c:v>44798</c:v>
                </c:pt>
                <c:pt idx="163">
                  <c:v>44799</c:v>
                </c:pt>
                <c:pt idx="164">
                  <c:v>44802</c:v>
                </c:pt>
                <c:pt idx="165">
                  <c:v>44803</c:v>
                </c:pt>
                <c:pt idx="166">
                  <c:v>44804</c:v>
                </c:pt>
                <c:pt idx="167">
                  <c:v>44805</c:v>
                </c:pt>
                <c:pt idx="168">
                  <c:v>44806</c:v>
                </c:pt>
                <c:pt idx="169">
                  <c:v>44810</c:v>
                </c:pt>
                <c:pt idx="170">
                  <c:v>44811</c:v>
                </c:pt>
                <c:pt idx="171">
                  <c:v>44812</c:v>
                </c:pt>
                <c:pt idx="172">
                  <c:v>44813</c:v>
                </c:pt>
                <c:pt idx="173">
                  <c:v>44816</c:v>
                </c:pt>
                <c:pt idx="174">
                  <c:v>44817</c:v>
                </c:pt>
                <c:pt idx="175">
                  <c:v>44818</c:v>
                </c:pt>
                <c:pt idx="176">
                  <c:v>44819</c:v>
                </c:pt>
                <c:pt idx="177">
                  <c:v>44820</c:v>
                </c:pt>
                <c:pt idx="178">
                  <c:v>44823</c:v>
                </c:pt>
                <c:pt idx="179">
                  <c:v>44824</c:v>
                </c:pt>
                <c:pt idx="180">
                  <c:v>44825</c:v>
                </c:pt>
                <c:pt idx="181">
                  <c:v>44826</c:v>
                </c:pt>
                <c:pt idx="182">
                  <c:v>44827</c:v>
                </c:pt>
                <c:pt idx="183">
                  <c:v>44830</c:v>
                </c:pt>
                <c:pt idx="184">
                  <c:v>44831</c:v>
                </c:pt>
                <c:pt idx="185">
                  <c:v>44832</c:v>
                </c:pt>
                <c:pt idx="186">
                  <c:v>44833</c:v>
                </c:pt>
                <c:pt idx="187">
                  <c:v>44834</c:v>
                </c:pt>
                <c:pt idx="188">
                  <c:v>44837</c:v>
                </c:pt>
                <c:pt idx="189">
                  <c:v>44838</c:v>
                </c:pt>
                <c:pt idx="190">
                  <c:v>44839</c:v>
                </c:pt>
                <c:pt idx="191">
                  <c:v>44840</c:v>
                </c:pt>
                <c:pt idx="192">
                  <c:v>44841</c:v>
                </c:pt>
                <c:pt idx="193">
                  <c:v>44844</c:v>
                </c:pt>
                <c:pt idx="194">
                  <c:v>44845</c:v>
                </c:pt>
                <c:pt idx="195">
                  <c:v>44846</c:v>
                </c:pt>
                <c:pt idx="196">
                  <c:v>44847</c:v>
                </c:pt>
                <c:pt idx="197">
                  <c:v>44848</c:v>
                </c:pt>
                <c:pt idx="198">
                  <c:v>44851</c:v>
                </c:pt>
                <c:pt idx="199">
                  <c:v>44852</c:v>
                </c:pt>
                <c:pt idx="200">
                  <c:v>44853</c:v>
                </c:pt>
                <c:pt idx="201">
                  <c:v>44854</c:v>
                </c:pt>
                <c:pt idx="202">
                  <c:v>44855</c:v>
                </c:pt>
                <c:pt idx="203">
                  <c:v>44858</c:v>
                </c:pt>
                <c:pt idx="204">
                  <c:v>44859</c:v>
                </c:pt>
                <c:pt idx="205">
                  <c:v>44860</c:v>
                </c:pt>
                <c:pt idx="206">
                  <c:v>44861</c:v>
                </c:pt>
                <c:pt idx="207">
                  <c:v>44862</c:v>
                </c:pt>
                <c:pt idx="208">
                  <c:v>44865</c:v>
                </c:pt>
                <c:pt idx="209">
                  <c:v>44866</c:v>
                </c:pt>
                <c:pt idx="210">
                  <c:v>44867</c:v>
                </c:pt>
                <c:pt idx="211">
                  <c:v>44868</c:v>
                </c:pt>
                <c:pt idx="212">
                  <c:v>44869</c:v>
                </c:pt>
                <c:pt idx="213">
                  <c:v>44872</c:v>
                </c:pt>
                <c:pt idx="214">
                  <c:v>44873</c:v>
                </c:pt>
                <c:pt idx="215">
                  <c:v>44874</c:v>
                </c:pt>
                <c:pt idx="216">
                  <c:v>44875</c:v>
                </c:pt>
                <c:pt idx="217">
                  <c:v>44876</c:v>
                </c:pt>
                <c:pt idx="218">
                  <c:v>44879</c:v>
                </c:pt>
                <c:pt idx="219">
                  <c:v>44880</c:v>
                </c:pt>
                <c:pt idx="220">
                  <c:v>44881</c:v>
                </c:pt>
                <c:pt idx="221">
                  <c:v>44882</c:v>
                </c:pt>
                <c:pt idx="222">
                  <c:v>44883</c:v>
                </c:pt>
                <c:pt idx="223">
                  <c:v>44886</c:v>
                </c:pt>
                <c:pt idx="224">
                  <c:v>44887</c:v>
                </c:pt>
                <c:pt idx="225">
                  <c:v>44888</c:v>
                </c:pt>
                <c:pt idx="226">
                  <c:v>44890</c:v>
                </c:pt>
                <c:pt idx="227">
                  <c:v>44893</c:v>
                </c:pt>
                <c:pt idx="228">
                  <c:v>44894</c:v>
                </c:pt>
                <c:pt idx="229">
                  <c:v>44895</c:v>
                </c:pt>
                <c:pt idx="230">
                  <c:v>44896</c:v>
                </c:pt>
                <c:pt idx="231">
                  <c:v>44897</c:v>
                </c:pt>
                <c:pt idx="232">
                  <c:v>44900</c:v>
                </c:pt>
                <c:pt idx="233">
                  <c:v>44901</c:v>
                </c:pt>
                <c:pt idx="234">
                  <c:v>44902</c:v>
                </c:pt>
                <c:pt idx="235">
                  <c:v>44903</c:v>
                </c:pt>
                <c:pt idx="236">
                  <c:v>44904</c:v>
                </c:pt>
                <c:pt idx="237">
                  <c:v>44907</c:v>
                </c:pt>
                <c:pt idx="238">
                  <c:v>44908</c:v>
                </c:pt>
                <c:pt idx="239">
                  <c:v>44909</c:v>
                </c:pt>
                <c:pt idx="240">
                  <c:v>44910</c:v>
                </c:pt>
                <c:pt idx="241">
                  <c:v>44911</c:v>
                </c:pt>
                <c:pt idx="242">
                  <c:v>44914</c:v>
                </c:pt>
                <c:pt idx="243">
                  <c:v>44915</c:v>
                </c:pt>
                <c:pt idx="244">
                  <c:v>44916</c:v>
                </c:pt>
                <c:pt idx="245">
                  <c:v>44917</c:v>
                </c:pt>
                <c:pt idx="246">
                  <c:v>44918</c:v>
                </c:pt>
                <c:pt idx="247">
                  <c:v>44922</c:v>
                </c:pt>
                <c:pt idx="248">
                  <c:v>44923</c:v>
                </c:pt>
                <c:pt idx="249">
                  <c:v>44924</c:v>
                </c:pt>
                <c:pt idx="250">
                  <c:v>44925</c:v>
                </c:pt>
              </c:numCache>
            </c:numRef>
          </c:cat>
          <c:val>
            <c:numRef>
              <c:f>Equity!$C$5:$C$255</c:f>
              <c:numCache>
                <c:formatCode>0.0000</c:formatCode>
                <c:ptCount val="251"/>
                <c:pt idx="0">
                  <c:v>73.961723000000006</c:v>
                </c:pt>
                <c:pt idx="1">
                  <c:v>74.096419999999995</c:v>
                </c:pt>
                <c:pt idx="2">
                  <c:v>75.895668000000001</c:v>
                </c:pt>
                <c:pt idx="3">
                  <c:v>75.847572</c:v>
                </c:pt>
                <c:pt idx="4">
                  <c:v>77.261948000000004</c:v>
                </c:pt>
                <c:pt idx="5">
                  <c:v>79.253631999999996</c:v>
                </c:pt>
                <c:pt idx="6">
                  <c:v>78.580116000000004</c:v>
                </c:pt>
                <c:pt idx="7">
                  <c:v>78.127898999999999</c:v>
                </c:pt>
                <c:pt idx="8">
                  <c:v>78.243362000000005</c:v>
                </c:pt>
                <c:pt idx="9">
                  <c:v>78.301085999999998</c:v>
                </c:pt>
                <c:pt idx="10">
                  <c:v>78.455048000000005</c:v>
                </c:pt>
                <c:pt idx="11">
                  <c:v>78.214493000000004</c:v>
                </c:pt>
                <c:pt idx="12">
                  <c:v>77.694930999999997</c:v>
                </c:pt>
                <c:pt idx="13">
                  <c:v>76.954063000000005</c:v>
                </c:pt>
                <c:pt idx="14">
                  <c:v>75.847572</c:v>
                </c:pt>
                <c:pt idx="15">
                  <c:v>76.453727999999998</c:v>
                </c:pt>
                <c:pt idx="16">
                  <c:v>76.145843999999997</c:v>
                </c:pt>
                <c:pt idx="17">
                  <c:v>77.531357</c:v>
                </c:pt>
                <c:pt idx="18">
                  <c:v>77.839256000000006</c:v>
                </c:pt>
                <c:pt idx="19">
                  <c:v>78.397316000000004</c:v>
                </c:pt>
                <c:pt idx="20">
                  <c:v>78.820656</c:v>
                </c:pt>
                <c:pt idx="21">
                  <c:v>78.907264999999995</c:v>
                </c:pt>
                <c:pt idx="22">
                  <c:v>76.020759999999996</c:v>
                </c:pt>
                <c:pt idx="23">
                  <c:v>75.587776000000005</c:v>
                </c:pt>
                <c:pt idx="24">
                  <c:v>74.644858999999997</c:v>
                </c:pt>
                <c:pt idx="25">
                  <c:v>74.000206000000006</c:v>
                </c:pt>
                <c:pt idx="26">
                  <c:v>73.634590000000003</c:v>
                </c:pt>
                <c:pt idx="27">
                  <c:v>73.663452000000007</c:v>
                </c:pt>
                <c:pt idx="28">
                  <c:v>73.740416999999994</c:v>
                </c:pt>
                <c:pt idx="29">
                  <c:v>73.576865999999995</c:v>
                </c:pt>
                <c:pt idx="30">
                  <c:v>74.866150000000005</c:v>
                </c:pt>
                <c:pt idx="31">
                  <c:v>74.298477000000005</c:v>
                </c:pt>
                <c:pt idx="32">
                  <c:v>73.471007999999998</c:v>
                </c:pt>
                <c:pt idx="33">
                  <c:v>73.480637000000002</c:v>
                </c:pt>
                <c:pt idx="34">
                  <c:v>73.076522999999995</c:v>
                </c:pt>
                <c:pt idx="35">
                  <c:v>72.970687999999996</c:v>
                </c:pt>
                <c:pt idx="36">
                  <c:v>70.728851000000006</c:v>
                </c:pt>
                <c:pt idx="37">
                  <c:v>73.432518000000002</c:v>
                </c:pt>
                <c:pt idx="38">
                  <c:v>73.682693</c:v>
                </c:pt>
                <c:pt idx="39">
                  <c:v>73.451767000000004</c:v>
                </c:pt>
                <c:pt idx="40">
                  <c:v>73.769295</c:v>
                </c:pt>
                <c:pt idx="41">
                  <c:v>74.231125000000006</c:v>
                </c:pt>
                <c:pt idx="42">
                  <c:v>74.885406000000003</c:v>
                </c:pt>
                <c:pt idx="43">
                  <c:v>74.789192</c:v>
                </c:pt>
                <c:pt idx="44">
                  <c:v>74.038689000000005</c:v>
                </c:pt>
                <c:pt idx="45">
                  <c:v>74.846915999999993</c:v>
                </c:pt>
                <c:pt idx="46">
                  <c:v>74.943129999999996</c:v>
                </c:pt>
                <c:pt idx="47">
                  <c:v>75.299132999999998</c:v>
                </c:pt>
                <c:pt idx="48">
                  <c:v>75.502983</c:v>
                </c:pt>
                <c:pt idx="49">
                  <c:v>76.337813999999995</c:v>
                </c:pt>
                <c:pt idx="50">
                  <c:v>75.833031000000005</c:v>
                </c:pt>
                <c:pt idx="51">
                  <c:v>76.629020999999995</c:v>
                </c:pt>
                <c:pt idx="52">
                  <c:v>76.794051999999994</c:v>
                </c:pt>
                <c:pt idx="53">
                  <c:v>76.745506000000006</c:v>
                </c:pt>
                <c:pt idx="54">
                  <c:v>76.978493</c:v>
                </c:pt>
                <c:pt idx="55">
                  <c:v>77.395904999999999</c:v>
                </c:pt>
                <c:pt idx="56">
                  <c:v>78.055992000000003</c:v>
                </c:pt>
                <c:pt idx="57">
                  <c:v>78.958763000000005</c:v>
                </c:pt>
                <c:pt idx="58">
                  <c:v>78.832572999999996</c:v>
                </c:pt>
                <c:pt idx="59">
                  <c:v>79.182036999999994</c:v>
                </c:pt>
                <c:pt idx="60">
                  <c:v>79.987731999999994</c:v>
                </c:pt>
                <c:pt idx="61">
                  <c:v>79.647980000000004</c:v>
                </c:pt>
                <c:pt idx="62">
                  <c:v>81.074935999999994</c:v>
                </c:pt>
                <c:pt idx="63">
                  <c:v>81.045822000000001</c:v>
                </c:pt>
                <c:pt idx="64">
                  <c:v>81.269088999999994</c:v>
                </c:pt>
                <c:pt idx="65">
                  <c:v>82.482498000000007</c:v>
                </c:pt>
                <c:pt idx="66">
                  <c:v>84.258926000000002</c:v>
                </c:pt>
                <c:pt idx="67">
                  <c:v>85.113158999999996</c:v>
                </c:pt>
                <c:pt idx="68">
                  <c:v>84.093902999999997</c:v>
                </c:pt>
                <c:pt idx="69">
                  <c:v>83.123176999999998</c:v>
                </c:pt>
                <c:pt idx="70">
                  <c:v>83.608528000000007</c:v>
                </c:pt>
                <c:pt idx="71">
                  <c:v>84.365700000000004</c:v>
                </c:pt>
                <c:pt idx="72">
                  <c:v>83.550292999999996</c:v>
                </c:pt>
                <c:pt idx="73">
                  <c:v>83.278496000000004</c:v>
                </c:pt>
                <c:pt idx="74">
                  <c:v>83.928878999999995</c:v>
                </c:pt>
                <c:pt idx="75">
                  <c:v>83.705612000000002</c:v>
                </c:pt>
                <c:pt idx="76">
                  <c:v>82.113624999999999</c:v>
                </c:pt>
                <c:pt idx="77">
                  <c:v>82.938744</c:v>
                </c:pt>
                <c:pt idx="78">
                  <c:v>82.006844000000001</c:v>
                </c:pt>
                <c:pt idx="79">
                  <c:v>81.938896</c:v>
                </c:pt>
                <c:pt idx="80">
                  <c:v>85.986808999999994</c:v>
                </c:pt>
                <c:pt idx="81">
                  <c:v>86.093604999999997</c:v>
                </c:pt>
                <c:pt idx="82">
                  <c:v>85.084045000000003</c:v>
                </c:pt>
                <c:pt idx="83">
                  <c:v>84.550139999999999</c:v>
                </c:pt>
                <c:pt idx="84">
                  <c:v>85.928573999999998</c:v>
                </c:pt>
                <c:pt idx="85">
                  <c:v>85.433502000000004</c:v>
                </c:pt>
                <c:pt idx="86">
                  <c:v>85.802375999999995</c:v>
                </c:pt>
                <c:pt idx="87">
                  <c:v>85.074341000000004</c:v>
                </c:pt>
                <c:pt idx="88">
                  <c:v>85.239356999999998</c:v>
                </c:pt>
                <c:pt idx="89">
                  <c:v>86.578963999999999</c:v>
                </c:pt>
                <c:pt idx="90">
                  <c:v>88.170952</c:v>
                </c:pt>
                <c:pt idx="91">
                  <c:v>87.763244999999998</c:v>
                </c:pt>
                <c:pt idx="92">
                  <c:v>89.617324999999994</c:v>
                </c:pt>
                <c:pt idx="93">
                  <c:v>90.277428</c:v>
                </c:pt>
                <c:pt idx="94">
                  <c:v>89.403762999999998</c:v>
                </c:pt>
                <c:pt idx="95">
                  <c:v>89.394058000000001</c:v>
                </c:pt>
                <c:pt idx="96">
                  <c:v>90.811317000000003</c:v>
                </c:pt>
                <c:pt idx="97">
                  <c:v>91.083122000000003</c:v>
                </c:pt>
                <c:pt idx="98">
                  <c:v>91.869408000000007</c:v>
                </c:pt>
                <c:pt idx="99">
                  <c:v>91.005470000000003</c:v>
                </c:pt>
                <c:pt idx="100">
                  <c:v>89.607613000000001</c:v>
                </c:pt>
                <c:pt idx="101">
                  <c:v>90.355080000000001</c:v>
                </c:pt>
                <c:pt idx="102">
                  <c:v>89.335814999999997</c:v>
                </c:pt>
                <c:pt idx="103">
                  <c:v>88.471869999999996</c:v>
                </c:pt>
                <c:pt idx="104">
                  <c:v>87.365250000000003</c:v>
                </c:pt>
                <c:pt idx="105">
                  <c:v>87.277878000000001</c:v>
                </c:pt>
                <c:pt idx="106">
                  <c:v>87.209923000000003</c:v>
                </c:pt>
                <c:pt idx="107">
                  <c:v>87.831199999999995</c:v>
                </c:pt>
                <c:pt idx="108">
                  <c:v>86.860466000000002</c:v>
                </c:pt>
                <c:pt idx="109">
                  <c:v>85.423789999999997</c:v>
                </c:pt>
                <c:pt idx="110">
                  <c:v>84.627799999999993</c:v>
                </c:pt>
                <c:pt idx="111">
                  <c:v>82.511619999999994</c:v>
                </c:pt>
                <c:pt idx="112">
                  <c:v>82.697570999999996</c:v>
                </c:pt>
                <c:pt idx="113">
                  <c:v>82.824791000000005</c:v>
                </c:pt>
                <c:pt idx="114">
                  <c:v>83.079246999999995</c:v>
                </c:pt>
                <c:pt idx="115">
                  <c:v>82.815017999999995</c:v>
                </c:pt>
                <c:pt idx="116">
                  <c:v>86.152266999999995</c:v>
                </c:pt>
                <c:pt idx="117">
                  <c:v>87.258171000000004</c:v>
                </c:pt>
                <c:pt idx="118">
                  <c:v>90.037589999999994</c:v>
                </c:pt>
                <c:pt idx="119">
                  <c:v>91.143478000000002</c:v>
                </c:pt>
                <c:pt idx="120">
                  <c:v>92.396186999999998</c:v>
                </c:pt>
                <c:pt idx="121">
                  <c:v>89.929939000000005</c:v>
                </c:pt>
                <c:pt idx="122">
                  <c:v>90.536704999999998</c:v>
                </c:pt>
                <c:pt idx="123">
                  <c:v>89.225288000000006</c:v>
                </c:pt>
                <c:pt idx="124">
                  <c:v>90.448623999999995</c:v>
                </c:pt>
                <c:pt idx="125">
                  <c:v>90.663933</c:v>
                </c:pt>
                <c:pt idx="126">
                  <c:v>91.143478000000002</c:v>
                </c:pt>
                <c:pt idx="127">
                  <c:v>91.026047000000005</c:v>
                </c:pt>
                <c:pt idx="128">
                  <c:v>90.800949000000003</c:v>
                </c:pt>
                <c:pt idx="129">
                  <c:v>92.288527999999999</c:v>
                </c:pt>
                <c:pt idx="130">
                  <c:v>91.603454999999997</c:v>
                </c:pt>
                <c:pt idx="131">
                  <c:v>91.769829000000001</c:v>
                </c:pt>
                <c:pt idx="132">
                  <c:v>91.877487000000002</c:v>
                </c:pt>
                <c:pt idx="133">
                  <c:v>92.934455999999997</c:v>
                </c:pt>
                <c:pt idx="134">
                  <c:v>90.370330999999993</c:v>
                </c:pt>
                <c:pt idx="135">
                  <c:v>90.389908000000005</c:v>
                </c:pt>
                <c:pt idx="136">
                  <c:v>87.737724</c:v>
                </c:pt>
                <c:pt idx="137">
                  <c:v>88.217262000000005</c:v>
                </c:pt>
                <c:pt idx="138">
                  <c:v>88.187904000000003</c:v>
                </c:pt>
                <c:pt idx="139">
                  <c:v>88.598938000000004</c:v>
                </c:pt>
                <c:pt idx="140">
                  <c:v>89.342735000000005</c:v>
                </c:pt>
                <c:pt idx="141">
                  <c:v>89.284019000000001</c:v>
                </c:pt>
                <c:pt idx="142">
                  <c:v>88.021529999999998</c:v>
                </c:pt>
                <c:pt idx="143">
                  <c:v>87.434325999999999</c:v>
                </c:pt>
                <c:pt idx="144">
                  <c:v>86.641602000000006</c:v>
                </c:pt>
                <c:pt idx="145">
                  <c:v>85.741241000000002</c:v>
                </c:pt>
                <c:pt idx="146">
                  <c:v>85.751022000000006</c:v>
                </c:pt>
                <c:pt idx="147">
                  <c:v>84.968086</c:v>
                </c:pt>
                <c:pt idx="148">
                  <c:v>85.545494000000005</c:v>
                </c:pt>
                <c:pt idx="149">
                  <c:v>86.602455000000006</c:v>
                </c:pt>
                <c:pt idx="150">
                  <c:v>87.610480999999993</c:v>
                </c:pt>
                <c:pt idx="151">
                  <c:v>87.287537</c:v>
                </c:pt>
                <c:pt idx="152">
                  <c:v>87.033080999999996</c:v>
                </c:pt>
                <c:pt idx="153">
                  <c:v>89.078491</c:v>
                </c:pt>
                <c:pt idx="154">
                  <c:v>88.667450000000002</c:v>
                </c:pt>
                <c:pt idx="155">
                  <c:v>88.657661000000004</c:v>
                </c:pt>
                <c:pt idx="156">
                  <c:v>89.098076000000006</c:v>
                </c:pt>
                <c:pt idx="157">
                  <c:v>89.450385999999995</c:v>
                </c:pt>
                <c:pt idx="158">
                  <c:v>90.115882999999997</c:v>
                </c:pt>
                <c:pt idx="159">
                  <c:v>89.215508</c:v>
                </c:pt>
                <c:pt idx="160">
                  <c:v>88.275977999999995</c:v>
                </c:pt>
                <c:pt idx="161">
                  <c:v>88.090041999999997</c:v>
                </c:pt>
                <c:pt idx="162">
                  <c:v>88.344489999999993</c:v>
                </c:pt>
                <c:pt idx="163">
                  <c:v>87.356032999999996</c:v>
                </c:pt>
                <c:pt idx="164">
                  <c:v>85.721656999999993</c:v>
                </c:pt>
                <c:pt idx="165">
                  <c:v>85.026793999999995</c:v>
                </c:pt>
                <c:pt idx="166">
                  <c:v>83.539223000000007</c:v>
                </c:pt>
                <c:pt idx="167">
                  <c:v>85.291038999999998</c:v>
                </c:pt>
                <c:pt idx="168">
                  <c:v>84.390670999999998</c:v>
                </c:pt>
                <c:pt idx="169">
                  <c:v>84.576606999999996</c:v>
                </c:pt>
                <c:pt idx="170">
                  <c:v>85.017021</c:v>
                </c:pt>
                <c:pt idx="171">
                  <c:v>85.555274999999995</c:v>
                </c:pt>
                <c:pt idx="172">
                  <c:v>85.476990000000001</c:v>
                </c:pt>
                <c:pt idx="173">
                  <c:v>86.279503000000005</c:v>
                </c:pt>
                <c:pt idx="174">
                  <c:v>84.439598000000004</c:v>
                </c:pt>
                <c:pt idx="175">
                  <c:v>85.781318999999996</c:v>
                </c:pt>
                <c:pt idx="176">
                  <c:v>85.584014999999994</c:v>
                </c:pt>
                <c:pt idx="177">
                  <c:v>86.540976999999998</c:v>
                </c:pt>
                <c:pt idx="178">
                  <c:v>85.475487000000001</c:v>
                </c:pt>
                <c:pt idx="179">
                  <c:v>84.844093000000001</c:v>
                </c:pt>
                <c:pt idx="180">
                  <c:v>83.393844999999999</c:v>
                </c:pt>
                <c:pt idx="181">
                  <c:v>86.333793999999997</c:v>
                </c:pt>
                <c:pt idx="182">
                  <c:v>85.613608999999997</c:v>
                </c:pt>
                <c:pt idx="183">
                  <c:v>85.021666999999994</c:v>
                </c:pt>
                <c:pt idx="184">
                  <c:v>84.686240999999995</c:v>
                </c:pt>
                <c:pt idx="185">
                  <c:v>85.613608999999997</c:v>
                </c:pt>
                <c:pt idx="186">
                  <c:v>85.475487000000001</c:v>
                </c:pt>
                <c:pt idx="187">
                  <c:v>84.962479000000002</c:v>
                </c:pt>
                <c:pt idx="188">
                  <c:v>86.373253000000005</c:v>
                </c:pt>
                <c:pt idx="189">
                  <c:v>87.201965000000001</c:v>
                </c:pt>
                <c:pt idx="190">
                  <c:v>87.201965000000001</c:v>
                </c:pt>
                <c:pt idx="191">
                  <c:v>86.264731999999995</c:v>
                </c:pt>
                <c:pt idx="192">
                  <c:v>86.422584999999998</c:v>
                </c:pt>
                <c:pt idx="193">
                  <c:v>89.263878000000005</c:v>
                </c:pt>
                <c:pt idx="194">
                  <c:v>89.826217999999997</c:v>
                </c:pt>
                <c:pt idx="195">
                  <c:v>89.204673999999997</c:v>
                </c:pt>
                <c:pt idx="196">
                  <c:v>91.246857000000006</c:v>
                </c:pt>
                <c:pt idx="197">
                  <c:v>90.941024999999996</c:v>
                </c:pt>
                <c:pt idx="198">
                  <c:v>92.854950000000002</c:v>
                </c:pt>
                <c:pt idx="199">
                  <c:v>93.338363999999999</c:v>
                </c:pt>
                <c:pt idx="200">
                  <c:v>92.006507999999997</c:v>
                </c:pt>
                <c:pt idx="201">
                  <c:v>91.690810999999997</c:v>
                </c:pt>
                <c:pt idx="202">
                  <c:v>94.384108999999995</c:v>
                </c:pt>
                <c:pt idx="203">
                  <c:v>96.061272000000002</c:v>
                </c:pt>
                <c:pt idx="204">
                  <c:v>96.396698000000001</c:v>
                </c:pt>
                <c:pt idx="205">
                  <c:v>97.087288000000001</c:v>
                </c:pt>
                <c:pt idx="206">
                  <c:v>98.399413999999993</c:v>
                </c:pt>
                <c:pt idx="207">
                  <c:v>99.415565000000001</c:v>
                </c:pt>
                <c:pt idx="208">
                  <c:v>99.839782999999997</c:v>
                </c:pt>
                <c:pt idx="209">
                  <c:v>98.419150999999999</c:v>
                </c:pt>
                <c:pt idx="210">
                  <c:v>98.063980000000001</c:v>
                </c:pt>
                <c:pt idx="211">
                  <c:v>97.422721999999993</c:v>
                </c:pt>
                <c:pt idx="212">
                  <c:v>97.866669000000002</c:v>
                </c:pt>
                <c:pt idx="213">
                  <c:v>98.724975999999998</c:v>
                </c:pt>
                <c:pt idx="214">
                  <c:v>100.135757</c:v>
                </c:pt>
                <c:pt idx="215">
                  <c:v>100.224541</c:v>
                </c:pt>
                <c:pt idx="216">
                  <c:v>100.520515</c:v>
                </c:pt>
                <c:pt idx="217">
                  <c:v>96.643341000000007</c:v>
                </c:pt>
                <c:pt idx="218">
                  <c:v>99.001213000000007</c:v>
                </c:pt>
                <c:pt idx="219">
                  <c:v>98.261291999999997</c:v>
                </c:pt>
                <c:pt idx="220">
                  <c:v>98.586860999999999</c:v>
                </c:pt>
                <c:pt idx="221">
                  <c:v>100.93486799999999</c:v>
                </c:pt>
                <c:pt idx="222">
                  <c:v>102.829063</c:v>
                </c:pt>
                <c:pt idx="223">
                  <c:v>104.19051399999999</c:v>
                </c:pt>
                <c:pt idx="224">
                  <c:v>105.46318100000001</c:v>
                </c:pt>
                <c:pt idx="225">
                  <c:v>105.384254</c:v>
                </c:pt>
                <c:pt idx="226">
                  <c:v>106.05510700000001</c:v>
                </c:pt>
                <c:pt idx="227">
                  <c:v>106.99234</c:v>
                </c:pt>
                <c:pt idx="228">
                  <c:v>107.377098</c:v>
                </c:pt>
                <c:pt idx="229">
                  <c:v>108.6399</c:v>
                </c:pt>
                <c:pt idx="230">
                  <c:v>108.324196</c:v>
                </c:pt>
                <c:pt idx="231">
                  <c:v>108.560974</c:v>
                </c:pt>
                <c:pt idx="232">
                  <c:v>108.53138</c:v>
                </c:pt>
                <c:pt idx="233">
                  <c:v>107.465897</c:v>
                </c:pt>
                <c:pt idx="234">
                  <c:v>108.610298</c:v>
                </c:pt>
                <c:pt idx="235">
                  <c:v>109.360077</c:v>
                </c:pt>
                <c:pt idx="236">
                  <c:v>107.317902</c:v>
                </c:pt>
                <c:pt idx="237">
                  <c:v>107.50535600000001</c:v>
                </c:pt>
                <c:pt idx="238">
                  <c:v>109.41928900000001</c:v>
                </c:pt>
                <c:pt idx="239">
                  <c:v>110.77982299999999</c:v>
                </c:pt>
                <c:pt idx="240">
                  <c:v>108.87307</c:v>
                </c:pt>
                <c:pt idx="241">
                  <c:v>108.446037</c:v>
                </c:pt>
                <c:pt idx="242">
                  <c:v>108.684387</c:v>
                </c:pt>
                <c:pt idx="243">
                  <c:v>108.952522</c:v>
                </c:pt>
                <c:pt idx="244">
                  <c:v>110.342857</c:v>
                </c:pt>
                <c:pt idx="245">
                  <c:v>110.471954</c:v>
                </c:pt>
                <c:pt idx="246">
                  <c:v>111.087677</c:v>
                </c:pt>
                <c:pt idx="247">
                  <c:v>111.34588599999999</c:v>
                </c:pt>
                <c:pt idx="248">
                  <c:v>110.31306499999999</c:v>
                </c:pt>
                <c:pt idx="249">
                  <c:v>110.054855</c:v>
                </c:pt>
                <c:pt idx="250">
                  <c:v>110.18396</c:v>
                </c:pt>
              </c:numCache>
            </c:numRef>
          </c:val>
          <c:smooth val="0"/>
          <c:extLst>
            <c:ext xmlns:c16="http://schemas.microsoft.com/office/drawing/2014/chart" uri="{C3380CC4-5D6E-409C-BE32-E72D297353CC}">
              <c16:uniqueId val="{00000000-8818-7542-B6E0-62DD5279ADE4}"/>
            </c:ext>
          </c:extLst>
        </c:ser>
        <c:dLbls>
          <c:showLegendKey val="0"/>
          <c:showVal val="0"/>
          <c:showCatName val="0"/>
          <c:showSerName val="0"/>
          <c:showPercent val="0"/>
          <c:showBubbleSize val="0"/>
        </c:dLbls>
        <c:smooth val="0"/>
        <c:axId val="112060848"/>
        <c:axId val="334353776"/>
      </c:lineChart>
      <c:dateAx>
        <c:axId val="11206084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34353776"/>
        <c:crosses val="autoZero"/>
        <c:auto val="1"/>
        <c:lblOffset val="100"/>
        <c:baseTimeUnit val="days"/>
      </c:dateAx>
      <c:valAx>
        <c:axId val="334353776"/>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6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'Cost of Capital'!$E$6</c:f>
              <c:strCache>
                <c:ptCount val="1"/>
                <c:pt idx="0">
                  <c:v>Prices</c:v>
                </c:pt>
              </c:strCache>
            </c:strRef>
          </c:tx>
          <c:spPr>
            <a:ln w="34925" cap="rnd">
              <a:solidFill>
                <a:srgbClr val="008079"/>
              </a:solidFill>
              <a:round/>
            </a:ln>
            <a:effectLst>
              <a:outerShdw dist="25400" dir="2700000" algn="tl" rotWithShape="0">
                <a:srgbClr val="89B9B9"/>
              </a:outerShdw>
            </a:effectLst>
          </c:spPr>
          <c:marker>
            <c:symbol val="none"/>
          </c:marker>
          <c:cat>
            <c:numRef>
              <c:f>'Cost of Capital'!$B$7:$B$66</c:f>
              <c:numCache>
                <c:formatCode>m/d/yy</c:formatCode>
                <c:ptCount val="60"/>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numCache>
            </c:numRef>
          </c:cat>
          <c:val>
            <c:numRef>
              <c:f>'Cost of Capital'!$E$7:$E$66</c:f>
              <c:numCache>
                <c:formatCode>0.0000</c:formatCode>
                <c:ptCount val="60"/>
                <c:pt idx="0">
                  <c:v>48.053649999999998</c:v>
                </c:pt>
                <c:pt idx="1">
                  <c:v>43.974162999999997</c:v>
                </c:pt>
                <c:pt idx="2">
                  <c:v>44.176913999999996</c:v>
                </c:pt>
                <c:pt idx="3">
                  <c:v>48.162982999999997</c:v>
                </c:pt>
                <c:pt idx="4">
                  <c:v>48.702950000000001</c:v>
                </c:pt>
                <c:pt idx="5">
                  <c:v>49.660156000000001</c:v>
                </c:pt>
                <c:pt idx="6">
                  <c:v>54.306331999999998</c:v>
                </c:pt>
                <c:pt idx="7">
                  <c:v>56.548828</c:v>
                </c:pt>
                <c:pt idx="8">
                  <c:v>58.486286</c:v>
                </c:pt>
                <c:pt idx="9">
                  <c:v>61.101624000000001</c:v>
                </c:pt>
                <c:pt idx="10">
                  <c:v>65.857933000000003</c:v>
                </c:pt>
                <c:pt idx="11">
                  <c:v>63.425815999999998</c:v>
                </c:pt>
                <c:pt idx="12">
                  <c:v>62.215366000000003</c:v>
                </c:pt>
                <c:pt idx="13">
                  <c:v>67.949577000000005</c:v>
                </c:pt>
                <c:pt idx="14">
                  <c:v>69.521072000000004</c:v>
                </c:pt>
                <c:pt idx="15">
                  <c:v>66.239463999999998</c:v>
                </c:pt>
                <c:pt idx="16">
                  <c:v>66.660233000000005</c:v>
                </c:pt>
                <c:pt idx="17">
                  <c:v>70.565085999999994</c:v>
                </c:pt>
                <c:pt idx="18">
                  <c:v>70.307807999999994</c:v>
                </c:pt>
                <c:pt idx="19">
                  <c:v>73.256004000000004</c:v>
                </c:pt>
                <c:pt idx="20">
                  <c:v>71.315948000000006</c:v>
                </c:pt>
                <c:pt idx="21">
                  <c:v>73.904883999999996</c:v>
                </c:pt>
                <c:pt idx="22">
                  <c:v>74.348335000000006</c:v>
                </c:pt>
                <c:pt idx="23">
                  <c:v>77.563453999999993</c:v>
                </c:pt>
                <c:pt idx="24">
                  <c:v>73.364081999999996</c:v>
                </c:pt>
                <c:pt idx="25">
                  <c:v>65.739151000000007</c:v>
                </c:pt>
                <c:pt idx="26">
                  <c:v>66.065453000000005</c:v>
                </c:pt>
                <c:pt idx="27">
                  <c:v>68.689034000000007</c:v>
                </c:pt>
                <c:pt idx="28">
                  <c:v>69.883780999999999</c:v>
                </c:pt>
                <c:pt idx="29">
                  <c:v>66.948875000000001</c:v>
                </c:pt>
                <c:pt idx="30">
                  <c:v>70.020415999999997</c:v>
                </c:pt>
                <c:pt idx="31">
                  <c:v>74.409767000000002</c:v>
                </c:pt>
                <c:pt idx="32">
                  <c:v>72.385268999999994</c:v>
                </c:pt>
                <c:pt idx="33">
                  <c:v>66.108390999999997</c:v>
                </c:pt>
                <c:pt idx="34">
                  <c:v>70.661529999999999</c:v>
                </c:pt>
                <c:pt idx="35">
                  <c:v>71.900902000000002</c:v>
                </c:pt>
                <c:pt idx="36">
                  <c:v>68.278267</c:v>
                </c:pt>
                <c:pt idx="37">
                  <c:v>64.335898999999998</c:v>
                </c:pt>
                <c:pt idx="38">
                  <c:v>68.295981999999995</c:v>
                </c:pt>
                <c:pt idx="39">
                  <c:v>66.581328999999997</c:v>
                </c:pt>
                <c:pt idx="40">
                  <c:v>67.823586000000006</c:v>
                </c:pt>
                <c:pt idx="41">
                  <c:v>72.839943000000005</c:v>
                </c:pt>
                <c:pt idx="42">
                  <c:v>72.615868000000006</c:v>
                </c:pt>
                <c:pt idx="43">
                  <c:v>72.067963000000006</c:v>
                </c:pt>
                <c:pt idx="44">
                  <c:v>70.953261999999995</c:v>
                </c:pt>
                <c:pt idx="45">
                  <c:v>83.922561999999999</c:v>
                </c:pt>
                <c:pt idx="46">
                  <c:v>71.398514000000006</c:v>
                </c:pt>
                <c:pt idx="47">
                  <c:v>73.047416999999996</c:v>
                </c:pt>
                <c:pt idx="48">
                  <c:v>78.397316000000004</c:v>
                </c:pt>
                <c:pt idx="49">
                  <c:v>73.682693</c:v>
                </c:pt>
                <c:pt idx="50">
                  <c:v>78.945740000000001</c:v>
                </c:pt>
                <c:pt idx="51">
                  <c:v>86.093597000000003</c:v>
                </c:pt>
                <c:pt idx="52">
                  <c:v>89.335808</c:v>
                </c:pt>
                <c:pt idx="53">
                  <c:v>88.500984000000003</c:v>
                </c:pt>
                <c:pt idx="54">
                  <c:v>87.434325999999999</c:v>
                </c:pt>
                <c:pt idx="55">
                  <c:v>83.539223000000007</c:v>
                </c:pt>
                <c:pt idx="56">
                  <c:v>84.283011999999999</c:v>
                </c:pt>
                <c:pt idx="57">
                  <c:v>99.839782999999997</c:v>
                </c:pt>
                <c:pt idx="58">
                  <c:v>108.6399</c:v>
                </c:pt>
                <c:pt idx="59">
                  <c:v>109.45874000000001</c:v>
                </c:pt>
              </c:numCache>
            </c:numRef>
          </c:val>
          <c:smooth val="0"/>
          <c:extLst>
            <c:ext xmlns:c16="http://schemas.microsoft.com/office/drawing/2014/chart" uri="{C3380CC4-5D6E-409C-BE32-E72D297353CC}">
              <c16:uniqueId val="{00000000-339A-F741-A617-EC14119F6DE2}"/>
            </c:ext>
          </c:extLst>
        </c:ser>
        <c:dLbls>
          <c:showLegendKey val="0"/>
          <c:showVal val="0"/>
          <c:showCatName val="0"/>
          <c:showSerName val="0"/>
          <c:showPercent val="0"/>
          <c:showBubbleSize val="0"/>
        </c:dLbls>
        <c:dropLines>
          <c:spPr>
            <a:ln w="9525" cap="flat" cmpd="sng" algn="ctr">
              <a:gradFill>
                <a:gsLst>
                  <a:gs pos="0">
                    <a:srgbClr val="00807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smooth val="0"/>
        <c:axId val="333483168"/>
        <c:axId val="2030912815"/>
      </c:lineChart>
      <c:dateAx>
        <c:axId val="333483168"/>
        <c:scaling>
          <c:orientation val="minMax"/>
        </c:scaling>
        <c:delete val="0"/>
        <c:axPos val="b"/>
        <c:numFmt formatCode="m/d/yy" sourceLinked="1"/>
        <c:majorTickMark val="out"/>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rgbClr val="008079"/>
                </a:solidFill>
                <a:latin typeface="+mn-lt"/>
                <a:ea typeface="+mn-ea"/>
                <a:cs typeface="+mn-cs"/>
              </a:defRPr>
            </a:pPr>
            <a:endParaRPr lang="en-US"/>
          </a:p>
        </c:txPr>
        <c:crossAx val="2030912815"/>
        <c:crosses val="autoZero"/>
        <c:auto val="1"/>
        <c:lblOffset val="100"/>
        <c:baseTimeUnit val="months"/>
      </c:dateAx>
      <c:valAx>
        <c:axId val="203091281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8079"/>
                </a:solidFill>
                <a:latin typeface="+mn-lt"/>
                <a:ea typeface="+mn-ea"/>
                <a:cs typeface="+mn-cs"/>
              </a:defRPr>
            </a:pPr>
            <a:endParaRPr lang="en-US"/>
          </a:p>
        </c:txPr>
        <c:crossAx val="33348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FE5D9"/>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'Report Graphs'!$B$38</c:f>
              <c:strCache>
                <c:ptCount val="1"/>
                <c:pt idx="0">
                  <c:v>Score</c:v>
                </c:pt>
              </c:strCache>
            </c:strRef>
          </c:tx>
          <c:spPr>
            <a:ln w="31750" cap="rnd">
              <a:solidFill>
                <a:srgbClr val="008079"/>
              </a:solidFill>
              <a:round/>
            </a:ln>
            <a:effectLst/>
          </c:spPr>
          <c:marker>
            <c:symbol val="circle"/>
            <c:size val="27"/>
            <c:spPr>
              <a:solidFill>
                <a:srgbClr val="008079"/>
              </a:solidFill>
              <a:ln>
                <a:solidFill>
                  <a:srgbClr val="008079"/>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'Report Graphs'!$A$39:$A$42</c:f>
              <c:numCache>
                <c:formatCode>General</c:formatCode>
                <c:ptCount val="4"/>
                <c:pt idx="0">
                  <c:v>2019</c:v>
                </c:pt>
                <c:pt idx="1">
                  <c:v>2020</c:v>
                </c:pt>
                <c:pt idx="2">
                  <c:v>2021</c:v>
                </c:pt>
                <c:pt idx="3">
                  <c:v>2022</c:v>
                </c:pt>
              </c:numCache>
            </c:numRef>
          </c:cat>
          <c:val>
            <c:numRef>
              <c:f>'Report Graphs'!$B$39:$B$42</c:f>
              <c:numCache>
                <c:formatCode>General</c:formatCode>
                <c:ptCount val="4"/>
                <c:pt idx="0">
                  <c:v>27.75</c:v>
                </c:pt>
                <c:pt idx="1">
                  <c:v>22.56</c:v>
                </c:pt>
                <c:pt idx="2">
                  <c:v>21.91</c:v>
                </c:pt>
                <c:pt idx="3">
                  <c:v>21.65</c:v>
                </c:pt>
              </c:numCache>
            </c:numRef>
          </c:val>
          <c:smooth val="0"/>
          <c:extLst>
            <c:ext xmlns:c16="http://schemas.microsoft.com/office/drawing/2014/chart" uri="{C3380CC4-5D6E-409C-BE32-E72D297353CC}">
              <c16:uniqueId val="{00000000-34AA-E84A-A69C-C284BCA3E7F5}"/>
            </c:ext>
          </c:extLst>
        </c:ser>
        <c:dLbls>
          <c:dLblPos val="ctr"/>
          <c:showLegendKey val="0"/>
          <c:showVal val="1"/>
          <c:showCatName val="0"/>
          <c:showSerName val="0"/>
          <c:showPercent val="0"/>
          <c:showBubbleSize val="0"/>
        </c:dLbls>
        <c:marker val="1"/>
        <c:smooth val="0"/>
        <c:axId val="1012511343"/>
        <c:axId val="1012513615"/>
      </c:lineChart>
      <c:catAx>
        <c:axId val="10125113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12513615"/>
        <c:crosses val="autoZero"/>
        <c:auto val="1"/>
        <c:lblAlgn val="ctr"/>
        <c:lblOffset val="100"/>
        <c:noMultiLvlLbl val="0"/>
      </c:catAx>
      <c:valAx>
        <c:axId val="1012513615"/>
        <c:scaling>
          <c:orientation val="minMax"/>
          <c:min val="15"/>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12511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'Report Graphs'!$B$38</c:f>
              <c:strCache>
                <c:ptCount val="1"/>
                <c:pt idx="0">
                  <c:v>Score</c:v>
                </c:pt>
              </c:strCache>
            </c:strRef>
          </c:tx>
          <c:spPr>
            <a:ln w="31750" cap="rnd">
              <a:solidFill>
                <a:srgbClr val="00C0B7"/>
              </a:solidFill>
              <a:round/>
            </a:ln>
            <a:effectLst/>
          </c:spPr>
          <c:marker>
            <c:symbol val="circle"/>
            <c:size val="27"/>
            <c:spPr>
              <a:solidFill>
                <a:srgbClr val="00C0B7"/>
              </a:solidFill>
              <a:ln>
                <a:solidFill>
                  <a:srgbClr val="00C0B7"/>
                </a:solidFill>
              </a:ln>
              <a:effectLst/>
            </c:spPr>
          </c:marker>
          <c:dPt>
            <c:idx val="0"/>
            <c:marker>
              <c:symbol val="circle"/>
              <c:size val="27"/>
              <c:spPr>
                <a:solidFill>
                  <a:srgbClr val="008079"/>
                </a:solidFill>
                <a:ln>
                  <a:solidFill>
                    <a:srgbClr val="008079"/>
                  </a:solidFill>
                </a:ln>
                <a:effectLst/>
              </c:spPr>
            </c:marker>
            <c:bubble3D val="0"/>
            <c:spPr>
              <a:ln w="31750" cap="rnd">
                <a:noFill/>
                <a:round/>
              </a:ln>
              <a:effectLst/>
            </c:spPr>
            <c:extLst>
              <c:ext xmlns:c16="http://schemas.microsoft.com/office/drawing/2014/chart" uri="{C3380CC4-5D6E-409C-BE32-E72D297353CC}">
                <c16:uniqueId val="{00000002-F2B2-B849-80FE-14943E95106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'Report Graphs'!$A$42:$A$46</c:f>
              <c:numCache>
                <c:formatCode>General</c:formatCode>
                <c:ptCount val="5"/>
                <c:pt idx="0">
                  <c:v>2022</c:v>
                </c:pt>
                <c:pt idx="1">
                  <c:v>2023</c:v>
                </c:pt>
                <c:pt idx="2">
                  <c:v>2024</c:v>
                </c:pt>
                <c:pt idx="3">
                  <c:v>2025</c:v>
                </c:pt>
                <c:pt idx="4">
                  <c:v>2026</c:v>
                </c:pt>
              </c:numCache>
            </c:numRef>
          </c:cat>
          <c:val>
            <c:numRef>
              <c:f>'Report Graphs'!$B$42:$B$46</c:f>
              <c:numCache>
                <c:formatCode>General</c:formatCode>
                <c:ptCount val="5"/>
                <c:pt idx="0">
                  <c:v>21.65</c:v>
                </c:pt>
                <c:pt idx="1">
                  <c:v>18.730000000000018</c:v>
                </c:pt>
                <c:pt idx="2">
                  <c:v>16.835000000000036</c:v>
                </c:pt>
                <c:pt idx="3">
                  <c:v>14.940000000000055</c:v>
                </c:pt>
                <c:pt idx="4">
                  <c:v>13.045000000000073</c:v>
                </c:pt>
              </c:numCache>
            </c:numRef>
          </c:val>
          <c:smooth val="0"/>
          <c:extLst>
            <c:ext xmlns:c16="http://schemas.microsoft.com/office/drawing/2014/chart" uri="{C3380CC4-5D6E-409C-BE32-E72D297353CC}">
              <c16:uniqueId val="{00000000-F2B2-B849-80FE-14943E951068}"/>
            </c:ext>
          </c:extLst>
        </c:ser>
        <c:dLbls>
          <c:dLblPos val="ctr"/>
          <c:showLegendKey val="0"/>
          <c:showVal val="1"/>
          <c:showCatName val="0"/>
          <c:showSerName val="0"/>
          <c:showPercent val="0"/>
          <c:showBubbleSize val="0"/>
        </c:dLbls>
        <c:marker val="1"/>
        <c:smooth val="0"/>
        <c:axId val="1012511343"/>
        <c:axId val="1012513615"/>
      </c:lineChart>
      <c:catAx>
        <c:axId val="10125113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12513615"/>
        <c:crosses val="autoZero"/>
        <c:auto val="1"/>
        <c:lblAlgn val="ctr"/>
        <c:lblOffset val="100"/>
        <c:noMultiLvlLbl val="0"/>
      </c:catAx>
      <c:valAx>
        <c:axId val="1012513615"/>
        <c:scaling>
          <c:orientation val="minMax"/>
          <c:min val="10"/>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12511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BFE5D9"/>
            </a:solidFill>
          </c:spPr>
          <c:dPt>
            <c:idx val="0"/>
            <c:bubble3D val="0"/>
            <c:spPr>
              <a:solidFill>
                <a:srgbClr val="BFE5D9"/>
              </a:solidFill>
              <a:ln w="19050">
                <a:solidFill>
                  <a:schemeClr val="lt1"/>
                </a:solidFill>
              </a:ln>
              <a:effectLst/>
            </c:spPr>
            <c:extLst>
              <c:ext xmlns:c16="http://schemas.microsoft.com/office/drawing/2014/chart" uri="{C3380CC4-5D6E-409C-BE32-E72D297353CC}">
                <c16:uniqueId val="{00000001-A57E-BA41-9D97-B8A1AE293820}"/>
              </c:ext>
            </c:extLst>
          </c:dPt>
          <c:dPt>
            <c:idx val="1"/>
            <c:bubble3D val="0"/>
            <c:spPr>
              <a:solidFill>
                <a:srgbClr val="008079"/>
              </a:solidFill>
              <a:ln w="19050">
                <a:solidFill>
                  <a:schemeClr val="lt1"/>
                </a:solidFill>
              </a:ln>
              <a:effectLst/>
            </c:spPr>
            <c:extLst>
              <c:ext xmlns:c16="http://schemas.microsoft.com/office/drawing/2014/chart" uri="{C3380CC4-5D6E-409C-BE32-E72D297353CC}">
                <c16:uniqueId val="{00000001-5346-6240-A92F-3805778D0FEC}"/>
              </c:ext>
            </c:extLst>
          </c:dPt>
          <c:cat>
            <c:strRef>
              <c:f>'Report Graphs'!$A$93:$A$94</c:f>
              <c:strCache>
                <c:ptCount val="2"/>
                <c:pt idx="0">
                  <c:v>Development</c:v>
                </c:pt>
                <c:pt idx="1">
                  <c:v>Testing</c:v>
                </c:pt>
              </c:strCache>
            </c:strRef>
          </c:cat>
          <c:val>
            <c:numRef>
              <c:f>'Report Graphs'!$B$93:$B$94</c:f>
              <c:numCache>
                <c:formatCode>General</c:formatCode>
                <c:ptCount val="2"/>
                <c:pt idx="0">
                  <c:v>10</c:v>
                </c:pt>
                <c:pt idx="1">
                  <c:v>3</c:v>
                </c:pt>
              </c:numCache>
            </c:numRef>
          </c:val>
          <c:extLst>
            <c:ext xmlns:c16="http://schemas.microsoft.com/office/drawing/2014/chart" uri="{C3380CC4-5D6E-409C-BE32-E72D297353CC}">
              <c16:uniqueId val="{00000000-5346-6240-A92F-3805778D0F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E770-9A4F-8DF3-408852A96C6A}"/>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E770-9A4F-8DF3-408852A96C6A}"/>
              </c:ext>
            </c:extLst>
          </c:dPt>
          <c:cat>
            <c:strRef>
              <c:f>'Report Graphs'!$A$97:$A$98</c:f>
              <c:strCache>
                <c:ptCount val="2"/>
                <c:pt idx="0">
                  <c:v>Development</c:v>
                </c:pt>
                <c:pt idx="1">
                  <c:v>Testing</c:v>
                </c:pt>
              </c:strCache>
            </c:strRef>
          </c:cat>
          <c:val>
            <c:numRef>
              <c:f>'Report Graphs'!$B$97:$B$98</c:f>
              <c:numCache>
                <c:formatCode>General</c:formatCode>
                <c:ptCount val="2"/>
                <c:pt idx="0">
                  <c:v>2600</c:v>
                </c:pt>
                <c:pt idx="1">
                  <c:v>548</c:v>
                </c:pt>
              </c:numCache>
            </c:numRef>
          </c:val>
          <c:extLst>
            <c:ext xmlns:c16="http://schemas.microsoft.com/office/drawing/2014/chart" uri="{C3380CC4-5D6E-409C-BE32-E72D297353CC}">
              <c16:uniqueId val="{00000000-E770-9A4F-8DF3-408852A96C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'Report Graphs'!$H$137</c:f>
              <c:strCache>
                <c:ptCount val="1"/>
                <c:pt idx="0">
                  <c:v>Market Cap (millions)</c:v>
                </c:pt>
              </c:strCache>
            </c:strRef>
          </c:tx>
          <c:dPt>
            <c:idx val="0"/>
            <c:bubble3D val="0"/>
            <c:spPr>
              <a:solidFill>
                <a:srgbClr val="008079"/>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70C-4944-8C1C-AAF50B6BEF57}"/>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E06-D84D-8788-1BDC52DBBA26}"/>
              </c:ext>
            </c:extLst>
          </c:dPt>
          <c:dPt>
            <c:idx val="2"/>
            <c:bubble3D val="0"/>
            <c:spPr>
              <a:solidFill>
                <a:srgbClr val="89B9B9"/>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70C-4944-8C1C-AAF50B6BEF57}"/>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E06-D84D-8788-1BDC52DBBA26}"/>
              </c:ext>
            </c:extLst>
          </c:dPt>
          <c:dPt>
            <c:idx val="4"/>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0C-4944-8C1C-AAF50B6BEF57}"/>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E06-D84D-8788-1BDC52DBBA26}"/>
              </c:ext>
            </c:extLst>
          </c:dPt>
          <c:dPt>
            <c:idx val="6"/>
            <c:bubble3D val="0"/>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C70C-4944-8C1C-AAF50B6BEF57}"/>
              </c:ext>
            </c:extLst>
          </c:dPt>
          <c:dPt>
            <c:idx val="7"/>
            <c:bubble3D val="0"/>
            <c:spPr>
              <a:solidFill>
                <a:srgbClr val="DDFF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0C-4944-8C1C-AAF50B6BEF57}"/>
              </c:ext>
            </c:extLst>
          </c:dPt>
          <c:dPt>
            <c:idx val="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E06-D84D-8788-1BDC52DBBA2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 Graphs'!$G$138:$G$146</c:f>
              <c:strCache>
                <c:ptCount val="9"/>
                <c:pt idx="0">
                  <c:v>Merck &amp; Co.</c:v>
                </c:pt>
                <c:pt idx="1">
                  <c:v>Roche</c:v>
                </c:pt>
                <c:pt idx="2">
                  <c:v>Pfizer</c:v>
                </c:pt>
                <c:pt idx="3">
                  <c:v>Novartis</c:v>
                </c:pt>
                <c:pt idx="4">
                  <c:v>Bristol-Myers</c:v>
                </c:pt>
                <c:pt idx="5">
                  <c:v>Amgen</c:v>
                </c:pt>
                <c:pt idx="6">
                  <c:v>Sanofi</c:v>
                </c:pt>
                <c:pt idx="7">
                  <c:v>Gilead Sciences</c:v>
                </c:pt>
                <c:pt idx="8">
                  <c:v>GlaxoSmithKline</c:v>
                </c:pt>
              </c:strCache>
            </c:strRef>
          </c:cat>
          <c:val>
            <c:numRef>
              <c:f>'Report Graphs'!$H$138:$H$146</c:f>
              <c:numCache>
                <c:formatCode>_(* #,##0_);_(* \(#,##0\);_(* "-"??_);_(@_)</c:formatCode>
                <c:ptCount val="9"/>
                <c:pt idx="0">
                  <c:v>271553.23599999998</c:v>
                </c:pt>
                <c:pt idx="1">
                  <c:v>231640.66800000001</c:v>
                </c:pt>
                <c:pt idx="2">
                  <c:v>224201.07699999999</c:v>
                </c:pt>
                <c:pt idx="3">
                  <c:v>172347.693</c:v>
                </c:pt>
                <c:pt idx="4">
                  <c:v>139505.639</c:v>
                </c:pt>
                <c:pt idx="5">
                  <c:v>123161.61900000001</c:v>
                </c:pt>
                <c:pt idx="6">
                  <c:v>116986.11</c:v>
                </c:pt>
                <c:pt idx="7">
                  <c:v>99481.577999999994</c:v>
                </c:pt>
                <c:pt idx="8">
                  <c:v>68075.813999999998</c:v>
                </c:pt>
              </c:numCache>
            </c:numRef>
          </c:val>
          <c:extLst>
            <c:ext xmlns:c16="http://schemas.microsoft.com/office/drawing/2014/chart" uri="{C3380CC4-5D6E-409C-BE32-E72D297353CC}">
              <c16:uniqueId val="{00000000-C70C-4944-8C1C-AAF50B6BEF5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407677165354341"/>
          <c:y val="0.12538859725867599"/>
          <c:w val="0.19985475324675325"/>
          <c:h val="0.733143279934360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'Report Graphs'!$B$18</c:f>
              <c:strCache>
                <c:ptCount val="1"/>
                <c:pt idx="0">
                  <c:v>2022</c:v>
                </c:pt>
              </c:strCache>
            </c:strRef>
          </c:tx>
          <c:spPr>
            <a:solidFill>
              <a:srgbClr val="00807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Graphs'!$A$19:$A$23</c:f>
              <c:strCache>
                <c:ptCount val="5"/>
                <c:pt idx="0">
                  <c:v>Januvia/met</c:v>
                </c:pt>
                <c:pt idx="1">
                  <c:v>Remicade</c:v>
                </c:pt>
                <c:pt idx="2">
                  <c:v>Gardasil (HPV Vaccine)</c:v>
                </c:pt>
                <c:pt idx="3">
                  <c:v>Insentress</c:v>
                </c:pt>
                <c:pt idx="4">
                  <c:v>Keytruda</c:v>
                </c:pt>
              </c:strCache>
            </c:strRef>
          </c:cat>
          <c:val>
            <c:numRef>
              <c:f>'Report Graphs'!$B$19:$B$23</c:f>
              <c:numCache>
                <c:formatCode>_(* #,##0_);_(* \(#,##0\);_(* "-"??_);_(@_)</c:formatCode>
                <c:ptCount val="5"/>
                <c:pt idx="0">
                  <c:v>4512</c:v>
                </c:pt>
                <c:pt idx="1">
                  <c:v>207</c:v>
                </c:pt>
                <c:pt idx="2">
                  <c:v>6896</c:v>
                </c:pt>
                <c:pt idx="3">
                  <c:v>633</c:v>
                </c:pt>
                <c:pt idx="4">
                  <c:v>20936</c:v>
                </c:pt>
              </c:numCache>
            </c:numRef>
          </c:val>
          <c:extLst>
            <c:ext xmlns:c16="http://schemas.microsoft.com/office/drawing/2014/chart" uri="{C3380CC4-5D6E-409C-BE32-E72D297353CC}">
              <c16:uniqueId val="{00000000-2FB4-1646-AF5B-E70ACC5EA9A3}"/>
            </c:ext>
          </c:extLst>
        </c:ser>
        <c:dLbls>
          <c:dLblPos val="outEnd"/>
          <c:showLegendKey val="0"/>
          <c:showVal val="1"/>
          <c:showCatName val="0"/>
          <c:showSerName val="0"/>
          <c:showPercent val="0"/>
          <c:showBubbleSize val="0"/>
        </c:dLbls>
        <c:gapWidth val="219"/>
        <c:overlap val="-27"/>
        <c:axId val="1011663711"/>
        <c:axId val="1400320319"/>
      </c:barChart>
      <c:catAx>
        <c:axId val="101166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0319"/>
        <c:crosses val="autoZero"/>
        <c:auto val="1"/>
        <c:lblAlgn val="ctr"/>
        <c:lblOffset val="100"/>
        <c:noMultiLvlLbl val="0"/>
      </c:catAx>
      <c:valAx>
        <c:axId val="140032031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66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'Report Graphs'!$A$132</c:f>
              <c:strCache>
                <c:ptCount val="1"/>
                <c:pt idx="0">
                  <c:v>Revenue</c:v>
                </c:pt>
              </c:strCache>
            </c:strRef>
          </c:tx>
          <c:spPr>
            <a:solidFill>
              <a:srgbClr val="89B9B9"/>
            </a:solidFill>
            <a:ln>
              <a:noFill/>
            </a:ln>
            <a:effectLst/>
          </c:spPr>
          <c:cat>
            <c:numRef>
              <c:f>'Report Graphs'!$B$131:$L$131</c:f>
              <c:numCache>
                <c:formatCode>General</c:formatCode>
                <c:ptCount val="11"/>
                <c:pt idx="0">
                  <c:v>2017</c:v>
                </c:pt>
                <c:pt idx="1">
                  <c:v>2018</c:v>
                </c:pt>
                <c:pt idx="2">
                  <c:v>2019</c:v>
                </c:pt>
                <c:pt idx="3">
                  <c:v>2020</c:v>
                </c:pt>
                <c:pt idx="4">
                  <c:v>2021</c:v>
                </c:pt>
                <c:pt idx="5">
                  <c:v>2022</c:v>
                </c:pt>
                <c:pt idx="6">
                  <c:v>2023</c:v>
                </c:pt>
                <c:pt idx="7">
                  <c:v>2024</c:v>
                </c:pt>
                <c:pt idx="8">
                  <c:v>2025</c:v>
                </c:pt>
                <c:pt idx="9">
                  <c:v>2026</c:v>
                </c:pt>
                <c:pt idx="10">
                  <c:v>2027</c:v>
                </c:pt>
              </c:numCache>
            </c:numRef>
          </c:cat>
          <c:val>
            <c:numRef>
              <c:f>'Report Graphs'!$B$132:$L$132</c:f>
              <c:numCache>
                <c:formatCode>_(* #,##0_);_(* \(#,##0\);_(* "-"??_);_(@_)</c:formatCode>
                <c:ptCount val="11"/>
                <c:pt idx="0">
                  <c:v>40123</c:v>
                </c:pt>
                <c:pt idx="1">
                  <c:v>42292.600000000006</c:v>
                </c:pt>
                <c:pt idx="2">
                  <c:v>46840</c:v>
                </c:pt>
                <c:pt idx="3">
                  <c:v>47994</c:v>
                </c:pt>
                <c:pt idx="4">
                  <c:v>50462</c:v>
                </c:pt>
                <c:pt idx="5">
                  <c:v>59284</c:v>
                </c:pt>
                <c:pt idx="6">
                  <c:v>57481.03</c:v>
                </c:pt>
                <c:pt idx="7">
                  <c:v>61387.662723310001</c:v>
                </c:pt>
                <c:pt idx="8">
                  <c:v>64565.516867482009</c:v>
                </c:pt>
                <c:pt idx="9">
                  <c:v>66022.8617624404</c:v>
                </c:pt>
                <c:pt idx="10">
                  <c:v>67788.785416207276</c:v>
                </c:pt>
              </c:numCache>
            </c:numRef>
          </c:val>
          <c:extLst>
            <c:ext xmlns:c16="http://schemas.microsoft.com/office/drawing/2014/chart" uri="{C3380CC4-5D6E-409C-BE32-E72D297353CC}">
              <c16:uniqueId val="{00000000-D238-2646-B8E0-30723461DF43}"/>
            </c:ext>
          </c:extLst>
        </c:ser>
        <c:ser>
          <c:idx val="1"/>
          <c:order val="1"/>
          <c:tx>
            <c:strRef>
              <c:f>'Report Graphs'!$A$133</c:f>
              <c:strCache>
                <c:ptCount val="1"/>
                <c:pt idx="0">
                  <c:v>Net Income</c:v>
                </c:pt>
              </c:strCache>
            </c:strRef>
          </c:tx>
          <c:spPr>
            <a:solidFill>
              <a:srgbClr val="008079"/>
            </a:solidFill>
            <a:ln>
              <a:noFill/>
            </a:ln>
            <a:effectLst/>
          </c:spPr>
          <c:cat>
            <c:numRef>
              <c:f>'Report Graphs'!$B$131:$L$131</c:f>
              <c:numCache>
                <c:formatCode>General</c:formatCode>
                <c:ptCount val="11"/>
                <c:pt idx="0">
                  <c:v>2017</c:v>
                </c:pt>
                <c:pt idx="1">
                  <c:v>2018</c:v>
                </c:pt>
                <c:pt idx="2">
                  <c:v>2019</c:v>
                </c:pt>
                <c:pt idx="3">
                  <c:v>2020</c:v>
                </c:pt>
                <c:pt idx="4">
                  <c:v>2021</c:v>
                </c:pt>
                <c:pt idx="5">
                  <c:v>2022</c:v>
                </c:pt>
                <c:pt idx="6">
                  <c:v>2023</c:v>
                </c:pt>
                <c:pt idx="7">
                  <c:v>2024</c:v>
                </c:pt>
                <c:pt idx="8">
                  <c:v>2025</c:v>
                </c:pt>
                <c:pt idx="9">
                  <c:v>2026</c:v>
                </c:pt>
                <c:pt idx="10">
                  <c:v>2027</c:v>
                </c:pt>
              </c:numCache>
            </c:numRef>
          </c:cat>
          <c:val>
            <c:numRef>
              <c:f>'Report Graphs'!$B$133:$L$133</c:f>
              <c:numCache>
                <c:formatCode>_(* #,##0_);_(* \(#,##0\);_(* "-"??_);_(@_)</c:formatCode>
                <c:ptCount val="11"/>
                <c:pt idx="0">
                  <c:v>10933</c:v>
                </c:pt>
                <c:pt idx="1">
                  <c:v>11619.600000000006</c:v>
                </c:pt>
                <c:pt idx="2">
                  <c:v>13382</c:v>
                </c:pt>
                <c:pt idx="3">
                  <c:v>15082</c:v>
                </c:pt>
                <c:pt idx="4">
                  <c:v>17037.25</c:v>
                </c:pt>
                <c:pt idx="5">
                  <c:v>19005</c:v>
                </c:pt>
                <c:pt idx="6">
                  <c:v>17191.589932400002</c:v>
                </c:pt>
                <c:pt idx="7">
                  <c:v>20532.293493899808</c:v>
                </c:pt>
                <c:pt idx="8">
                  <c:v>22530.626574279922</c:v>
                </c:pt>
                <c:pt idx="9">
                  <c:v>23491.693784517123</c:v>
                </c:pt>
                <c:pt idx="10">
                  <c:v>24752.014340910908</c:v>
                </c:pt>
              </c:numCache>
            </c:numRef>
          </c:val>
          <c:extLst>
            <c:ext xmlns:c16="http://schemas.microsoft.com/office/drawing/2014/chart" uri="{C3380CC4-5D6E-409C-BE32-E72D297353CC}">
              <c16:uniqueId val="{00000001-D238-2646-B8E0-30723461DF43}"/>
            </c:ext>
          </c:extLst>
        </c:ser>
        <c:dLbls>
          <c:showLegendKey val="0"/>
          <c:showVal val="0"/>
          <c:showCatName val="0"/>
          <c:showSerName val="0"/>
          <c:showPercent val="0"/>
          <c:showBubbleSize val="0"/>
        </c:dLbls>
        <c:axId val="187651663"/>
        <c:axId val="187653935"/>
      </c:areaChart>
      <c:catAx>
        <c:axId val="18765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53935"/>
        <c:crosses val="autoZero"/>
        <c:auto val="1"/>
        <c:lblAlgn val="ctr"/>
        <c:lblOffset val="100"/>
        <c:noMultiLvlLbl val="0"/>
      </c:catAx>
      <c:valAx>
        <c:axId val="18765393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516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C0B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Graphs'!$A$53:$A$62</c:f>
              <c:strCache>
                <c:ptCount val="10"/>
                <c:pt idx="0">
                  <c:v>Products</c:v>
                </c:pt>
                <c:pt idx="1">
                  <c:v>Oncology</c:v>
                </c:pt>
                <c:pt idx="2">
                  <c:v>Vaccines</c:v>
                </c:pt>
                <c:pt idx="3">
                  <c:v>Hospital Acute Care</c:v>
                </c:pt>
                <c:pt idx="4">
                  <c:v>Immunology</c:v>
                </c:pt>
                <c:pt idx="5">
                  <c:v>Neuroscience</c:v>
                </c:pt>
                <c:pt idx="6">
                  <c:v>Virology</c:v>
                </c:pt>
                <c:pt idx="7">
                  <c:v>Cardiovascular </c:v>
                </c:pt>
                <c:pt idx="8">
                  <c:v>Januvia+Janumet /DPP4 Inhibitor US</c:v>
                </c:pt>
                <c:pt idx="9">
                  <c:v>Diversified Brands</c:v>
                </c:pt>
              </c:strCache>
            </c:strRef>
          </c:cat>
          <c:val>
            <c:numRef>
              <c:f>'Report Graphs'!$B$53:$B$62</c:f>
              <c:numCache>
                <c:formatCode>_(* #,##0_);_(* \(#,##0\);_(* "-"??_);_(@_)</c:formatCode>
                <c:ptCount val="10"/>
                <c:pt idx="0" formatCode="General">
                  <c:v>2022</c:v>
                </c:pt>
                <c:pt idx="1">
                  <c:v>23095</c:v>
                </c:pt>
                <c:pt idx="2">
                  <c:v>10696</c:v>
                </c:pt>
                <c:pt idx="3" formatCode="#,##0">
                  <c:v>3268</c:v>
                </c:pt>
                <c:pt idx="4" formatCode="#,##0">
                  <c:v>913</c:v>
                </c:pt>
                <c:pt idx="5">
                  <c:v>257</c:v>
                </c:pt>
                <c:pt idx="6">
                  <c:v>6317</c:v>
                </c:pt>
                <c:pt idx="7" formatCode="#,##0_);\(#,##0\)">
                  <c:v>579</c:v>
                </c:pt>
                <c:pt idx="8">
                  <c:v>4512</c:v>
                </c:pt>
                <c:pt idx="9">
                  <c:v>63379</c:v>
                </c:pt>
              </c:numCache>
            </c:numRef>
          </c:val>
          <c:extLst>
            <c:ext xmlns:c16="http://schemas.microsoft.com/office/drawing/2014/chart" uri="{C3380CC4-5D6E-409C-BE32-E72D297353CC}">
              <c16:uniqueId val="{00000000-97D1-C547-83E2-CCEFB55B25EB}"/>
            </c:ext>
          </c:extLst>
        </c:ser>
        <c:dLbls>
          <c:dLblPos val="outEnd"/>
          <c:showLegendKey val="0"/>
          <c:showVal val="1"/>
          <c:showCatName val="0"/>
          <c:showSerName val="0"/>
          <c:showPercent val="0"/>
          <c:showBubbleSize val="0"/>
        </c:dLbls>
        <c:gapWidth val="219"/>
        <c:overlap val="-27"/>
        <c:axId val="936559647"/>
        <c:axId val="936561375"/>
      </c:barChart>
      <c:catAx>
        <c:axId val="9365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561375"/>
        <c:crosses val="autoZero"/>
        <c:auto val="1"/>
        <c:lblAlgn val="ctr"/>
        <c:lblOffset val="100"/>
        <c:noMultiLvlLbl val="0"/>
      </c:catAx>
      <c:valAx>
        <c:axId val="93656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55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C0B7"/>
            </a:solidFill>
            <a:ln>
              <a:noFill/>
            </a:ln>
            <a:effectLst/>
          </c:spPr>
          <c:invertIfNegative val="0"/>
          <c:cat>
            <c:strRef>
              <c:f>'Report Graphs'!$C$88:$M$88</c:f>
              <c:strCache>
                <c:ptCount val="11"/>
                <c:pt idx="0">
                  <c:v>United States</c:v>
                </c:pt>
                <c:pt idx="1">
                  <c:v>Ireland</c:v>
                </c:pt>
                <c:pt idx="2">
                  <c:v>Ireland</c:v>
                </c:pt>
                <c:pt idx="3">
                  <c:v>Belgium</c:v>
                </c:pt>
                <c:pt idx="4">
                  <c:v>Latvia</c:v>
                </c:pt>
                <c:pt idx="5">
                  <c:v>New Zealand</c:v>
                </c:pt>
                <c:pt idx="6">
                  <c:v>Chile</c:v>
                </c:pt>
                <c:pt idx="7">
                  <c:v>Denmark</c:v>
                </c:pt>
                <c:pt idx="8">
                  <c:v>Slovenia</c:v>
                </c:pt>
                <c:pt idx="9">
                  <c:v>Finland</c:v>
                </c:pt>
                <c:pt idx="10">
                  <c:v>Sweden</c:v>
                </c:pt>
              </c:strCache>
            </c:strRef>
          </c:cat>
          <c:val>
            <c:numRef>
              <c:f>'Report Graphs'!$C$89:$M$89</c:f>
              <c:numCache>
                <c:formatCode>General</c:formatCode>
                <c:ptCount val="11"/>
                <c:pt idx="0">
                  <c:v>5.2</c:v>
                </c:pt>
                <c:pt idx="1">
                  <c:v>5.5</c:v>
                </c:pt>
                <c:pt idx="2">
                  <c:v>5.5</c:v>
                </c:pt>
                <c:pt idx="3">
                  <c:v>5.7</c:v>
                </c:pt>
                <c:pt idx="4">
                  <c:v>6</c:v>
                </c:pt>
                <c:pt idx="5">
                  <c:v>6.3</c:v>
                </c:pt>
                <c:pt idx="6">
                  <c:v>7</c:v>
                </c:pt>
                <c:pt idx="7">
                  <c:v>7.7</c:v>
                </c:pt>
                <c:pt idx="8">
                  <c:v>12.9</c:v>
                </c:pt>
                <c:pt idx="9">
                  <c:v>13</c:v>
                </c:pt>
                <c:pt idx="10">
                  <c:v>16.100000000000001</c:v>
                </c:pt>
              </c:numCache>
            </c:numRef>
          </c:val>
          <c:extLst>
            <c:ext xmlns:c16="http://schemas.microsoft.com/office/drawing/2014/chart" uri="{C3380CC4-5D6E-409C-BE32-E72D297353CC}">
              <c16:uniqueId val="{00000000-DC10-084F-BFB2-8C735FD2A2B3}"/>
            </c:ext>
          </c:extLst>
        </c:ser>
        <c:dLbls>
          <c:showLegendKey val="0"/>
          <c:showVal val="0"/>
          <c:showCatName val="0"/>
          <c:showSerName val="0"/>
          <c:showPercent val="0"/>
          <c:showBubbleSize val="0"/>
        </c:dLbls>
        <c:gapWidth val="182"/>
        <c:axId val="239923599"/>
        <c:axId val="240114159"/>
      </c:barChart>
      <c:catAx>
        <c:axId val="23992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240114159"/>
        <c:crosses val="autoZero"/>
        <c:auto val="1"/>
        <c:lblAlgn val="ctr"/>
        <c:lblOffset val="100"/>
        <c:noMultiLvlLbl val="0"/>
      </c:catAx>
      <c:valAx>
        <c:axId val="2401141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23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89B9B9"/>
            </a:solidFill>
            <a:ln>
              <a:noFill/>
            </a:ln>
            <a:effectLst/>
          </c:spPr>
          <c:invertIfNegative val="0"/>
          <c:dPt>
            <c:idx val="8"/>
            <c:invertIfNegative val="0"/>
            <c:bubble3D val="0"/>
            <c:spPr>
              <a:solidFill>
                <a:srgbClr val="00EEE7"/>
              </a:solidFill>
              <a:ln>
                <a:noFill/>
              </a:ln>
              <a:effectLst/>
            </c:spPr>
            <c:extLst>
              <c:ext xmlns:c16="http://schemas.microsoft.com/office/drawing/2014/chart" uri="{C3380CC4-5D6E-409C-BE32-E72D297353CC}">
                <c16:uniqueId val="{0000000B-3454-0846-871E-69B8FD18D2B8}"/>
              </c:ext>
            </c:extLst>
          </c:dPt>
          <c:cat>
            <c:strRef>
              <c:f>'Report Graphs'!$A$188:$J$188</c:f>
              <c:strCache>
                <c:ptCount val="10"/>
                <c:pt idx="0">
                  <c:v>Novartis</c:v>
                </c:pt>
                <c:pt idx="1">
                  <c:v>Bristol-Myers Squibb</c:v>
                </c:pt>
                <c:pt idx="2">
                  <c:v>GlaxoSmithKline</c:v>
                </c:pt>
                <c:pt idx="3">
                  <c:v>Sanofi</c:v>
                </c:pt>
                <c:pt idx="4">
                  <c:v>Biogen</c:v>
                </c:pt>
                <c:pt idx="5">
                  <c:v>Amgen</c:v>
                </c:pt>
                <c:pt idx="6">
                  <c:v>Pfizer</c:v>
                </c:pt>
                <c:pt idx="7">
                  <c:v>Roche</c:v>
                </c:pt>
                <c:pt idx="8">
                  <c:v>Merck &amp; Co.</c:v>
                </c:pt>
                <c:pt idx="9">
                  <c:v>Gilead Sciences</c:v>
                </c:pt>
              </c:strCache>
            </c:strRef>
          </c:cat>
          <c:val>
            <c:numRef>
              <c:f>'Report Graphs'!$A$189:$J$189</c:f>
              <c:numCache>
                <c:formatCode>0.00%</c:formatCode>
                <c:ptCount val="10"/>
                <c:pt idx="0">
                  <c:v>7.7100000000000002E-2</c:v>
                </c:pt>
                <c:pt idx="1">
                  <c:v>7.2700000000000001E-2</c:v>
                </c:pt>
                <c:pt idx="2">
                  <c:v>7.1400000000000005E-2</c:v>
                </c:pt>
                <c:pt idx="3">
                  <c:v>6.7299999999999999E-2</c:v>
                </c:pt>
                <c:pt idx="4">
                  <c:v>6.7000000000000004E-2</c:v>
                </c:pt>
                <c:pt idx="5">
                  <c:v>6.5000000000000002E-2</c:v>
                </c:pt>
                <c:pt idx="6">
                  <c:v>6.5000000000000002E-2</c:v>
                </c:pt>
                <c:pt idx="7">
                  <c:v>4.7E-2</c:v>
                </c:pt>
                <c:pt idx="8">
                  <c:v>4.4223475004669069E-2</c:v>
                </c:pt>
                <c:pt idx="9">
                  <c:v>4.0099999999999997E-2</c:v>
                </c:pt>
              </c:numCache>
            </c:numRef>
          </c:val>
          <c:extLst>
            <c:ext xmlns:c16="http://schemas.microsoft.com/office/drawing/2014/chart" uri="{C3380CC4-5D6E-409C-BE32-E72D297353CC}">
              <c16:uniqueId val="{00000000-3454-0846-871E-69B8FD18D2B8}"/>
            </c:ext>
          </c:extLst>
        </c:ser>
        <c:dLbls>
          <c:showLegendKey val="0"/>
          <c:showVal val="0"/>
          <c:showCatName val="0"/>
          <c:showSerName val="0"/>
          <c:showPercent val="0"/>
          <c:showBubbleSize val="0"/>
        </c:dLbls>
        <c:gapWidth val="219"/>
        <c:axId val="274926959"/>
        <c:axId val="274909375"/>
      </c:barChart>
      <c:catAx>
        <c:axId val="274926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909375"/>
        <c:crosses val="autoZero"/>
        <c:auto val="1"/>
        <c:lblAlgn val="ctr"/>
        <c:lblOffset val="100"/>
        <c:noMultiLvlLbl val="0"/>
      </c:catAx>
      <c:valAx>
        <c:axId val="274909375"/>
        <c:scaling>
          <c:orientation val="minMax"/>
          <c:max val="8.0000000000000016E-2"/>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92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89B9B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Graphs'!$A$192:$A$194</c:f>
              <c:strCache>
                <c:ptCount val="2"/>
                <c:pt idx="0">
                  <c:v>Target Price</c:v>
                </c:pt>
                <c:pt idx="1">
                  <c:v>Current Price</c:v>
                </c:pt>
              </c:strCache>
            </c:strRef>
          </c:cat>
          <c:val>
            <c:numRef>
              <c:f>'Report Graphs'!$B$192:$B$194</c:f>
              <c:numCache>
                <c:formatCode>0.00</c:formatCode>
                <c:ptCount val="3"/>
                <c:pt idx="0">
                  <c:v>259.4696231018201</c:v>
                </c:pt>
                <c:pt idx="1">
                  <c:v>110.18396</c:v>
                </c:pt>
              </c:numCache>
            </c:numRef>
          </c:val>
          <c:extLst>
            <c:ext xmlns:c16="http://schemas.microsoft.com/office/drawing/2014/chart" uri="{C3380CC4-5D6E-409C-BE32-E72D297353CC}">
              <c16:uniqueId val="{00000000-32F5-F441-B793-72DA3E5B4D5F}"/>
            </c:ext>
          </c:extLst>
        </c:ser>
        <c:dLbls>
          <c:dLblPos val="ctr"/>
          <c:showLegendKey val="0"/>
          <c:showVal val="1"/>
          <c:showCatName val="0"/>
          <c:showSerName val="0"/>
          <c:showPercent val="0"/>
          <c:showBubbleSize val="0"/>
        </c:dLbls>
        <c:gapWidth val="182"/>
        <c:axId val="284754943"/>
        <c:axId val="284974287"/>
      </c:barChart>
      <c:catAx>
        <c:axId val="2847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74287"/>
        <c:crosses val="autoZero"/>
        <c:auto val="1"/>
        <c:lblAlgn val="ctr"/>
        <c:lblOffset val="100"/>
        <c:noMultiLvlLbl val="0"/>
      </c:catAx>
      <c:valAx>
        <c:axId val="28497428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7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'Report Graphs'!$A$108</c:f>
              <c:strCache>
                <c:ptCount val="1"/>
                <c:pt idx="0">
                  <c:v>Revenue</c:v>
                </c:pt>
              </c:strCache>
            </c:strRef>
          </c:tx>
          <c:spPr>
            <a:solidFill>
              <a:schemeClr val="accent1">
                <a:alpha val="75000"/>
              </a:schemeClr>
            </a:solidFill>
            <a:ln w="25400">
              <a:noFill/>
            </a:ln>
            <a:effectLst/>
          </c:spPr>
          <c:invertIfNegative val="0"/>
          <c:dPt>
            <c:idx val="8"/>
            <c:invertIfNegative val="0"/>
            <c:bubble3D val="0"/>
            <c:spPr>
              <a:solidFill>
                <a:srgbClr val="89B9B9"/>
              </a:solidFill>
              <a:ln w="25400">
                <a:noFill/>
              </a:ln>
              <a:effectLst/>
            </c:spPr>
            <c:extLst>
              <c:ext xmlns:c16="http://schemas.microsoft.com/office/drawing/2014/chart" uri="{C3380CC4-5D6E-409C-BE32-E72D297353CC}">
                <c16:uniqueId val="{00000001-51E3-8D43-A567-650A8D5B2168}"/>
              </c:ext>
            </c:extLst>
          </c:dPt>
          <c:dLbls>
            <c:delete val="1"/>
          </c:dLbls>
          <c:xVal>
            <c:numRef>
              <c:f>'Report Graphs'!$B$108:$K$108</c:f>
              <c:numCache>
                <c:formatCode>_(* #,##0_);_(* \(#,##0\);_(* "-"??_);_(@_)</c:formatCode>
                <c:ptCount val="10"/>
                <c:pt idx="0">
                  <c:v>51828000</c:v>
                </c:pt>
                <c:pt idx="1">
                  <c:v>46159000</c:v>
                </c:pt>
                <c:pt idx="2">
                  <c:v>36140895.766683996</c:v>
                </c:pt>
                <c:pt idx="3">
                  <c:v>47722135.169732995</c:v>
                </c:pt>
                <c:pt idx="4">
                  <c:v>10173400</c:v>
                </c:pt>
                <c:pt idx="5">
                  <c:v>26323000</c:v>
                </c:pt>
                <c:pt idx="6">
                  <c:v>100330000</c:v>
                </c:pt>
                <c:pt idx="7">
                  <c:v>69062687.690534994</c:v>
                </c:pt>
                <c:pt idx="8">
                  <c:v>59283000</c:v>
                </c:pt>
                <c:pt idx="9">
                  <c:v>27281000</c:v>
                </c:pt>
              </c:numCache>
            </c:numRef>
          </c:xVal>
          <c:yVal>
            <c:numRef>
              <c:f>'Report Graphs'!$B$109:$K$109</c:f>
              <c:numCache>
                <c:formatCode>_(* #,##0_);_(* \(#,##0\);_(* "-"??_);_(@_)</c:formatCode>
                <c:ptCount val="10"/>
                <c:pt idx="0">
                  <c:v>9197000</c:v>
                </c:pt>
                <c:pt idx="1">
                  <c:v>9104000</c:v>
                </c:pt>
                <c:pt idx="2">
                  <c:v>8293278.1207890008</c:v>
                </c:pt>
                <c:pt idx="3">
                  <c:v>12491720.195456998</c:v>
                </c:pt>
                <c:pt idx="4">
                  <c:v>2901900</c:v>
                </c:pt>
                <c:pt idx="5">
                  <c:v>9566000</c:v>
                </c:pt>
                <c:pt idx="6">
                  <c:v>37272000</c:v>
                </c:pt>
                <c:pt idx="7">
                  <c:v>21051445.970624994</c:v>
                </c:pt>
                <c:pt idx="8">
                  <c:v>18282000</c:v>
                </c:pt>
                <c:pt idx="9">
                  <c:v>10974000</c:v>
                </c:pt>
              </c:numCache>
            </c:numRef>
          </c:yVal>
          <c:bubbleSize>
            <c:numRef>
              <c:f>'Report Graphs'!$B$108:$K$108</c:f>
              <c:numCache>
                <c:formatCode>_(* #,##0_);_(* \(#,##0\);_(* "-"??_);_(@_)</c:formatCode>
                <c:ptCount val="10"/>
                <c:pt idx="0">
                  <c:v>51828000</c:v>
                </c:pt>
                <c:pt idx="1">
                  <c:v>46159000</c:v>
                </c:pt>
                <c:pt idx="2">
                  <c:v>36140895.766683996</c:v>
                </c:pt>
                <c:pt idx="3">
                  <c:v>47722135.169732995</c:v>
                </c:pt>
                <c:pt idx="4">
                  <c:v>10173400</c:v>
                </c:pt>
                <c:pt idx="5">
                  <c:v>26323000</c:v>
                </c:pt>
                <c:pt idx="6">
                  <c:v>100330000</c:v>
                </c:pt>
                <c:pt idx="7">
                  <c:v>69062687.690534994</c:v>
                </c:pt>
                <c:pt idx="8">
                  <c:v>59283000</c:v>
                </c:pt>
                <c:pt idx="9">
                  <c:v>27281000</c:v>
                </c:pt>
              </c:numCache>
            </c:numRef>
          </c:bubbleSize>
          <c:bubble3D val="0"/>
          <c:extLst>
            <c:ext xmlns:c16="http://schemas.microsoft.com/office/drawing/2014/chart" uri="{C3380CC4-5D6E-409C-BE32-E72D297353CC}">
              <c16:uniqueId val="{00000000-51E3-8D43-A567-650A8D5B2168}"/>
            </c:ext>
          </c:extLst>
        </c:ser>
        <c:dLbls>
          <c:showLegendKey val="0"/>
          <c:showVal val="1"/>
          <c:showCatName val="0"/>
          <c:showSerName val="0"/>
          <c:showPercent val="0"/>
          <c:showBubbleSize val="0"/>
        </c:dLbls>
        <c:bubbleScale val="100"/>
        <c:showNegBubbles val="0"/>
        <c:axId val="242514911"/>
        <c:axId val="237913151"/>
      </c:bubbleChart>
      <c:valAx>
        <c:axId val="242514911"/>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913151"/>
        <c:crosses val="autoZero"/>
        <c:crossBetween val="midCat"/>
      </c:valAx>
      <c:valAx>
        <c:axId val="23791315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14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'Valuation (DCF) Model'!$C$39</c:f>
              <c:strCache>
                <c:ptCount val="1"/>
                <c:pt idx="0">
                  <c:v>($, %)</c:v>
                </c:pt>
              </c:strCache>
            </c:strRef>
          </c:tx>
          <c:spPr>
            <a:solidFill>
              <a:srgbClr val="00807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(DCF) Model'!$B$40:$B$43</c:f>
              <c:strCache>
                <c:ptCount val="4"/>
                <c:pt idx="0">
                  <c:v>  Target Price by P/E Forward</c:v>
                </c:pt>
                <c:pt idx="1">
                  <c:v>  Target Price by P/B </c:v>
                </c:pt>
                <c:pt idx="2">
                  <c:v>  Target Price by P/S</c:v>
                </c:pt>
                <c:pt idx="3">
                  <c:v>  Target Price by EV/EBIDTA Forward</c:v>
                </c:pt>
              </c:strCache>
            </c:strRef>
          </c:cat>
          <c:val>
            <c:numRef>
              <c:f>'Valuation (DCF) Model'!$C$40:$C$43</c:f>
              <c:numCache>
                <c:formatCode>0.00</c:formatCode>
                <c:ptCount val="4"/>
                <c:pt idx="0">
                  <c:v>84.733110997988646</c:v>
                </c:pt>
                <c:pt idx="1">
                  <c:v>104.67076325554446</c:v>
                </c:pt>
                <c:pt idx="2">
                  <c:v>99.120831259842518</c:v>
                </c:pt>
                <c:pt idx="3">
                  <c:v>87.95605498420619</c:v>
                </c:pt>
              </c:numCache>
            </c:numRef>
          </c:val>
          <c:extLst>
            <c:ext xmlns:c16="http://schemas.microsoft.com/office/drawing/2014/chart" uri="{C3380CC4-5D6E-409C-BE32-E72D297353CC}">
              <c16:uniqueId val="{00000000-30A1-DD4D-B400-02FF2DB2657F}"/>
            </c:ext>
          </c:extLst>
        </c:ser>
        <c:ser>
          <c:idx val="1"/>
          <c:order val="1"/>
          <c:tx>
            <c:strRef>
              <c:f>'Valuation (DCF) Model'!$D$39</c:f>
              <c:strCache>
                <c:ptCount val="1"/>
                <c:pt idx="0">
                  <c:v>Firm</c:v>
                </c:pt>
              </c:strCache>
            </c:strRef>
          </c:tx>
          <c:spPr>
            <a:solidFill>
              <a:srgbClr val="BFE5D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(DCF) Model'!$B$40:$B$43</c:f>
              <c:strCache>
                <c:ptCount val="4"/>
                <c:pt idx="0">
                  <c:v>  Target Price by P/E Forward</c:v>
                </c:pt>
                <c:pt idx="1">
                  <c:v>  Target Price by P/B </c:v>
                </c:pt>
                <c:pt idx="2">
                  <c:v>  Target Price by P/S</c:v>
                </c:pt>
                <c:pt idx="3">
                  <c:v>  Target Price by EV/EBIDTA Forward</c:v>
                </c:pt>
              </c:strCache>
            </c:strRef>
          </c:cat>
          <c:val>
            <c:numRef>
              <c:f>'Valuation (DCF) Model'!$D$40:$D$43</c:f>
              <c:numCache>
                <c:formatCode>_(* #,##0.00_);_(* \(#,##0.00\);_(* "-"??_);_(@_)</c:formatCode>
                <c:ptCount val="4"/>
                <c:pt idx="0" formatCode="0.00">
                  <c:v>18.257122631042325</c:v>
                </c:pt>
                <c:pt idx="1">
                  <c:v>5.5581070654816616</c:v>
                </c:pt>
                <c:pt idx="2">
                  <c:v>4.8688629692265426</c:v>
                </c:pt>
                <c:pt idx="3" formatCode="&quot;$&quot;#,##0.00_);[Red]\(&quot;$&quot;#,##0.00\)">
                  <c:v>45.240643030962204</c:v>
                </c:pt>
              </c:numCache>
            </c:numRef>
          </c:val>
          <c:extLst>
            <c:ext xmlns:c16="http://schemas.microsoft.com/office/drawing/2014/chart" uri="{C3380CC4-5D6E-409C-BE32-E72D297353CC}">
              <c16:uniqueId val="{00000001-30A1-DD4D-B400-02FF2DB2657F}"/>
            </c:ext>
          </c:extLst>
        </c:ser>
        <c:ser>
          <c:idx val="2"/>
          <c:order val="2"/>
          <c:tx>
            <c:strRef>
              <c:f>'Valuation (DCF) Model'!$E$39</c:f>
              <c:strCache>
                <c:ptCount val="1"/>
                <c:pt idx="0">
                  <c:v>Industry</c:v>
                </c:pt>
              </c:strCache>
            </c:strRef>
          </c:tx>
          <c:spPr>
            <a:solidFill>
              <a:srgbClr val="00C0B7"/>
            </a:solidFill>
            <a:ln>
              <a:noFill/>
            </a:ln>
            <a:effectLst/>
          </c:spPr>
          <c:invertIfNegative val="0"/>
          <c:dLbls>
            <c:dLbl>
              <c:idx val="0"/>
              <c:layout>
                <c:manualLayout>
                  <c:x val="-1.5824078144745271E-17"/>
                  <c:y val="-7.2194015936280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A1-DD4D-B400-02FF2DB2657F}"/>
                </c:ext>
              </c:extLst>
            </c:dLbl>
            <c:dLbl>
              <c:idx val="1"/>
              <c:layout>
                <c:manualLayout>
                  <c:x val="0"/>
                  <c:y val="-6.188058508824077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A1-DD4D-B400-02FF2DB2657F}"/>
                </c:ext>
              </c:extLst>
            </c:dLbl>
            <c:dLbl>
              <c:idx val="2"/>
              <c:layout>
                <c:manualLayout>
                  <c:x val="0"/>
                  <c:y val="-4.125372339216049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A1-DD4D-B400-02FF2DB2657F}"/>
                </c:ext>
              </c:extLst>
            </c:dLbl>
            <c:dLbl>
              <c:idx val="3"/>
              <c:layout>
                <c:manualLayout>
                  <c:x val="0"/>
                  <c:y val="-6.188058508824077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A1-DD4D-B400-02FF2DB2657F}"/>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(DCF) Model'!$B$40:$B$43</c:f>
              <c:strCache>
                <c:ptCount val="4"/>
                <c:pt idx="0">
                  <c:v>  Target Price by P/E Forward</c:v>
                </c:pt>
                <c:pt idx="1">
                  <c:v>  Target Price by P/B </c:v>
                </c:pt>
                <c:pt idx="2">
                  <c:v>  Target Price by P/S</c:v>
                </c:pt>
                <c:pt idx="3">
                  <c:v>  Target Price by EV/EBIDTA Forward</c:v>
                </c:pt>
              </c:strCache>
            </c:strRef>
          </c:cat>
          <c:val>
            <c:numRef>
              <c:f>'Valuation (DCF) Model'!$E$40:$E$43</c:f>
              <c:numCache>
                <c:formatCode>General</c:formatCode>
                <c:ptCount val="4"/>
                <c:pt idx="0">
                  <c:v>14.04</c:v>
                </c:pt>
                <c:pt idx="1">
                  <c:v>5.28</c:v>
                </c:pt>
                <c:pt idx="2">
                  <c:v>4.38</c:v>
                </c:pt>
                <c:pt idx="3">
                  <c:v>12.34</c:v>
                </c:pt>
              </c:numCache>
            </c:numRef>
          </c:val>
          <c:extLst>
            <c:ext xmlns:c16="http://schemas.microsoft.com/office/drawing/2014/chart" uri="{C3380CC4-5D6E-409C-BE32-E72D297353CC}">
              <c16:uniqueId val="{00000006-30A1-DD4D-B400-02FF2DB2657F}"/>
            </c:ext>
          </c:extLst>
        </c:ser>
        <c:dLbls>
          <c:dLblPos val="ctr"/>
          <c:showLegendKey val="0"/>
          <c:showVal val="1"/>
          <c:showCatName val="0"/>
          <c:showSerName val="0"/>
          <c:showPercent val="0"/>
          <c:showBubbleSize val="0"/>
        </c:dLbls>
        <c:gapWidth val="150"/>
        <c:overlap val="100"/>
        <c:axId val="283286783"/>
        <c:axId val="277758751"/>
      </c:barChart>
      <c:catAx>
        <c:axId val="28328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758751"/>
        <c:crosses val="autoZero"/>
        <c:auto val="1"/>
        <c:lblAlgn val="ctr"/>
        <c:lblOffset val="100"/>
        <c:noMultiLvlLbl val="0"/>
      </c:catAx>
      <c:valAx>
        <c:axId val="277758751"/>
        <c:scaling>
          <c:orientation val="minMax"/>
        </c:scaling>
        <c:delete val="1"/>
        <c:axPos val="l"/>
        <c:numFmt formatCode="0.00" sourceLinked="1"/>
        <c:majorTickMark val="none"/>
        <c:minorTickMark val="none"/>
        <c:tickLblPos val="nextTo"/>
        <c:crossAx val="283286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'Cost of Capital'!$H$21:$H$22</c:f>
              <c:strCache>
                <c:ptCount val="2"/>
                <c:pt idx="0">
                  <c:v>Cost of Debt (%)</c:v>
                </c:pt>
                <c:pt idx="1">
                  <c:v>Cost of CS (%)</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607E-704E-944E-859F2C799C77}"/>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607E-704E-944E-859F2C799C77}"/>
              </c:ext>
            </c:extLst>
          </c:dPt>
          <c:val>
            <c:numRef>
              <c:f>'Cost of Capital'!$L$21:$L$22</c:f>
              <c:numCache>
                <c:formatCode>0.00%</c:formatCode>
                <c:ptCount val="2"/>
                <c:pt idx="0">
                  <c:v>3.0159999999999999E-2</c:v>
                </c:pt>
                <c:pt idx="1">
                  <c:v>4.6766881019563077E-2</c:v>
                </c:pt>
              </c:numCache>
            </c:numRef>
          </c:val>
          <c:extLst>
            <c:ext xmlns:c16="http://schemas.microsoft.com/office/drawing/2014/chart" uri="{C3380CC4-5D6E-409C-BE32-E72D297353CC}">
              <c16:uniqueId val="{00000004-607E-704E-944E-859F2C799C7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8079"/>
              </a:solidFill>
              <a:ln>
                <a:noFill/>
              </a:ln>
              <a:effectLst/>
            </c:spPr>
            <c:extLst>
              <c:ext xmlns:c16="http://schemas.microsoft.com/office/drawing/2014/chart" uri="{C3380CC4-5D6E-409C-BE32-E72D297353CC}">
                <c16:uniqueId val="{00000001-40C6-374D-A53C-E8A91A0ABA68}"/>
              </c:ext>
            </c:extLst>
          </c:dPt>
          <c:dPt>
            <c:idx val="1"/>
            <c:invertIfNegative val="0"/>
            <c:bubble3D val="0"/>
            <c:spPr>
              <a:solidFill>
                <a:srgbClr val="89B9B9"/>
              </a:solidFill>
              <a:ln>
                <a:noFill/>
              </a:ln>
              <a:effectLst/>
            </c:spPr>
            <c:extLst>
              <c:ext xmlns:c16="http://schemas.microsoft.com/office/drawing/2014/chart" uri="{C3380CC4-5D6E-409C-BE32-E72D297353CC}">
                <c16:uniqueId val="{00000002-40C6-374D-A53C-E8A91A0ABA68}"/>
              </c:ext>
            </c:extLst>
          </c:dPt>
          <c:dPt>
            <c:idx val="2"/>
            <c:invertIfNegative val="0"/>
            <c:bubble3D val="0"/>
            <c:spPr>
              <a:solidFill>
                <a:srgbClr val="D9F0FA"/>
              </a:solidFill>
              <a:ln>
                <a:noFill/>
              </a:ln>
              <a:effectLst/>
            </c:spPr>
            <c:extLst>
              <c:ext xmlns:c16="http://schemas.microsoft.com/office/drawing/2014/chart" uri="{C3380CC4-5D6E-409C-BE32-E72D297353CC}">
                <c16:uniqueId val="{00000003-40C6-374D-A53C-E8A91A0ABA68}"/>
              </c:ext>
            </c:extLst>
          </c:dPt>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Graphs'!$A$155:$A$157</c:f>
              <c:strCache>
                <c:ptCount val="3"/>
                <c:pt idx="0">
                  <c:v>ROA</c:v>
                </c:pt>
                <c:pt idx="1">
                  <c:v>ROE</c:v>
                </c:pt>
                <c:pt idx="2">
                  <c:v>ROC</c:v>
                </c:pt>
              </c:strCache>
            </c:strRef>
          </c:cat>
          <c:val>
            <c:numRef>
              <c:f>'Report Graphs'!$B$155:$B$157</c:f>
              <c:numCache>
                <c:formatCode>0%</c:formatCode>
                <c:ptCount val="3"/>
                <c:pt idx="0">
                  <c:v>0.13300659582264565</c:v>
                </c:pt>
                <c:pt idx="1">
                  <c:v>0.31569220064795284</c:v>
                </c:pt>
                <c:pt idx="2">
                  <c:v>0.18771309740791936</c:v>
                </c:pt>
              </c:numCache>
            </c:numRef>
          </c:val>
          <c:extLst>
            <c:ext xmlns:c16="http://schemas.microsoft.com/office/drawing/2014/chart" uri="{C3380CC4-5D6E-409C-BE32-E72D297353CC}">
              <c16:uniqueId val="{00000000-40C6-374D-A53C-E8A91A0ABA68}"/>
            </c:ext>
          </c:extLst>
        </c:ser>
        <c:dLbls>
          <c:dLblPos val="ctr"/>
          <c:showLegendKey val="0"/>
          <c:showVal val="1"/>
          <c:showCatName val="0"/>
          <c:showSerName val="0"/>
          <c:showPercent val="0"/>
          <c:showBubbleSize val="0"/>
        </c:dLbls>
        <c:gapWidth val="219"/>
        <c:overlap val="-27"/>
        <c:axId val="281755279"/>
        <c:axId val="312380127"/>
      </c:barChart>
      <c:catAx>
        <c:axId val="2817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2380127"/>
        <c:crosses val="autoZero"/>
        <c:auto val="1"/>
        <c:lblAlgn val="ctr"/>
        <c:lblOffset val="100"/>
        <c:noMultiLvlLbl val="0"/>
      </c:catAx>
      <c:valAx>
        <c:axId val="312380127"/>
        <c:scaling>
          <c:orientation val="minMax"/>
        </c:scaling>
        <c:delete val="1"/>
        <c:axPos val="l"/>
        <c:numFmt formatCode="0%" sourceLinked="1"/>
        <c:majorTickMark val="none"/>
        <c:minorTickMark val="none"/>
        <c:tickLblPos val="nextTo"/>
        <c:crossAx val="281755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'Financial Analysis'!$B$48</c:f>
              <c:strCache>
                <c:ptCount val="1"/>
                <c:pt idx="0">
                  <c:v>   Asset Turnover</c:v>
                </c:pt>
              </c:strCache>
            </c:strRef>
          </c:tx>
          <c:spPr>
            <a:solidFill>
              <a:srgbClr val="008079"/>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'Financial Analysis'!$F$18:$I$18</c:f>
              <c:numCache>
                <c:formatCode>General</c:formatCode>
                <c:ptCount val="4"/>
                <c:pt idx="0">
                  <c:v>2021</c:v>
                </c:pt>
                <c:pt idx="1">
                  <c:v>2022</c:v>
                </c:pt>
                <c:pt idx="2">
                  <c:v>2023</c:v>
                </c:pt>
                <c:pt idx="3">
                  <c:v>2024</c:v>
                </c:pt>
              </c:numCache>
            </c:numRef>
          </c:cat>
          <c:val>
            <c:numRef>
              <c:f>'Financial Analysis'!$F$48:$I$48</c:f>
              <c:numCache>
                <c:formatCode>0.00</c:formatCode>
                <c:ptCount val="4"/>
                <c:pt idx="0">
                  <c:v>0.46080193766912031</c:v>
                </c:pt>
                <c:pt idx="1">
                  <c:v>0.54308354708684503</c:v>
                </c:pt>
                <c:pt idx="2">
                  <c:v>0.50392511976702714</c:v>
                </c:pt>
                <c:pt idx="3">
                  <c:v>0.52503209953353502</c:v>
                </c:pt>
              </c:numCache>
            </c:numRef>
          </c:val>
          <c:extLst>
            <c:ext xmlns:c16="http://schemas.microsoft.com/office/drawing/2014/chart" uri="{C3380CC4-5D6E-409C-BE32-E72D297353CC}">
              <c16:uniqueId val="{00000000-CFBD-CA46-98D4-FCE501D5D665}"/>
            </c:ext>
          </c:extLst>
        </c:ser>
        <c:ser>
          <c:idx val="1"/>
          <c:order val="1"/>
          <c:tx>
            <c:strRef>
              <c:f>'Financial Analysis'!$B$49</c:f>
              <c:strCache>
                <c:ptCount val="1"/>
                <c:pt idx="0">
                  <c:v>   Asset to Equity</c:v>
                </c:pt>
              </c:strCache>
            </c:strRef>
          </c:tx>
          <c:spPr>
            <a:solidFill>
              <a:srgbClr val="89B9B9"/>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'Financial Analysis'!$F$18:$I$18</c:f>
              <c:numCache>
                <c:formatCode>General</c:formatCode>
                <c:ptCount val="4"/>
                <c:pt idx="0">
                  <c:v>2021</c:v>
                </c:pt>
                <c:pt idx="1">
                  <c:v>2022</c:v>
                </c:pt>
                <c:pt idx="2">
                  <c:v>2023</c:v>
                </c:pt>
                <c:pt idx="3">
                  <c:v>2024</c:v>
                </c:pt>
              </c:numCache>
            </c:numRef>
          </c:cat>
          <c:val>
            <c:numRef>
              <c:f>'Financial Analysis'!$F$49:$I$49</c:f>
              <c:numCache>
                <c:formatCode>0.00</c:formatCode>
                <c:ptCount val="4"/>
                <c:pt idx="0">
                  <c:v>2.7680180180180178</c:v>
                </c:pt>
                <c:pt idx="1">
                  <c:v>2.373507860233524</c:v>
                </c:pt>
                <c:pt idx="2">
                  <c:v>2.265339766557894</c:v>
                </c:pt>
                <c:pt idx="3">
                  <c:v>2.1273405573346129</c:v>
                </c:pt>
              </c:numCache>
            </c:numRef>
          </c:val>
          <c:extLst>
            <c:ext xmlns:c16="http://schemas.microsoft.com/office/drawing/2014/chart" uri="{C3380CC4-5D6E-409C-BE32-E72D297353CC}">
              <c16:uniqueId val="{00000001-CFBD-CA46-98D4-FCE501D5D665}"/>
            </c:ext>
          </c:extLst>
        </c:ser>
        <c:ser>
          <c:idx val="2"/>
          <c:order val="2"/>
          <c:tx>
            <c:strRef>
              <c:f>'Financial Analysis'!$B$50</c:f>
              <c:strCache>
                <c:ptCount val="1"/>
                <c:pt idx="0">
                  <c:v>   Return on Equity (%)</c:v>
                </c:pt>
              </c:strCache>
            </c:strRef>
          </c:tx>
          <c:spPr>
            <a:solidFill>
              <a:srgbClr val="00EEE7"/>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'Financial Analysis'!$F$18:$I$18</c:f>
              <c:numCache>
                <c:formatCode>General</c:formatCode>
                <c:ptCount val="4"/>
                <c:pt idx="0">
                  <c:v>2021</c:v>
                </c:pt>
                <c:pt idx="1">
                  <c:v>2022</c:v>
                </c:pt>
                <c:pt idx="2">
                  <c:v>2023</c:v>
                </c:pt>
                <c:pt idx="3">
                  <c:v>2024</c:v>
                </c:pt>
              </c:numCache>
            </c:numRef>
          </c:cat>
          <c:val>
            <c:numRef>
              <c:f>'Financial Analysis'!$F$50:$I$50</c:f>
              <c:numCache>
                <c:formatCode>0%</c:formatCode>
                <c:ptCount val="4"/>
                <c:pt idx="0">
                  <c:v>3.1377194558383226E-2</c:v>
                </c:pt>
                <c:pt idx="1">
                  <c:v>5.7505638825981496E-2</c:v>
                </c:pt>
                <c:pt idx="2">
                  <c:v>5.6461589538547255E-2</c:v>
                </c:pt>
                <c:pt idx="3">
                  <c:v>7.7699522414057628E-2</c:v>
                </c:pt>
              </c:numCache>
            </c:numRef>
          </c:val>
          <c:extLst>
            <c:ext xmlns:c16="http://schemas.microsoft.com/office/drawing/2014/chart" uri="{C3380CC4-5D6E-409C-BE32-E72D297353CC}">
              <c16:uniqueId val="{00000002-CFBD-CA46-98D4-FCE501D5D665}"/>
            </c:ext>
          </c:extLst>
        </c:ser>
        <c:dLbls>
          <c:dLblPos val="ctr"/>
          <c:showLegendKey val="0"/>
          <c:showVal val="1"/>
          <c:showCatName val="0"/>
          <c:showSerName val="0"/>
          <c:showPercent val="0"/>
          <c:showBubbleSize val="0"/>
        </c:dLbls>
        <c:gapWidth val="150"/>
        <c:overlap val="100"/>
        <c:axId val="311831951"/>
        <c:axId val="311833679"/>
      </c:barChart>
      <c:catAx>
        <c:axId val="31183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33679"/>
        <c:crosses val="autoZero"/>
        <c:auto val="1"/>
        <c:lblAlgn val="ctr"/>
        <c:lblOffset val="100"/>
        <c:noMultiLvlLbl val="0"/>
      </c:catAx>
      <c:valAx>
        <c:axId val="311833679"/>
        <c:scaling>
          <c:orientation val="minMax"/>
        </c:scaling>
        <c:delete val="1"/>
        <c:axPos val="l"/>
        <c:numFmt formatCode="0.00" sourceLinked="1"/>
        <c:majorTickMark val="none"/>
        <c:minorTickMark val="none"/>
        <c:tickLblPos val="nextTo"/>
        <c:crossAx val="311831951"/>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'Financial Analysis'!$B$41</c:f>
              <c:strCache>
                <c:ptCount val="1"/>
                <c:pt idx="0">
                  <c:v>   Debt Ratio</c:v>
                </c:pt>
              </c:strCache>
            </c:strRef>
          </c:tx>
          <c:spPr>
            <a:ln w="28575" cap="rnd">
              <a:solidFill>
                <a:schemeClr val="accent1"/>
              </a:solidFill>
              <a:round/>
            </a:ln>
            <a:effectLst/>
          </c:spPr>
          <c:marker>
            <c:symbol val="none"/>
          </c:marker>
          <c:dPt>
            <c:idx val="5"/>
            <c:marker>
              <c:symbol val="none"/>
            </c:marker>
            <c:bubble3D val="0"/>
            <c:spPr>
              <a:ln w="28575" cap="rnd">
                <a:solidFill>
                  <a:srgbClr val="00C0B7"/>
                </a:solidFill>
                <a:round/>
              </a:ln>
              <a:effectLst/>
            </c:spPr>
            <c:extLst>
              <c:ext xmlns:c16="http://schemas.microsoft.com/office/drawing/2014/chart" uri="{C3380CC4-5D6E-409C-BE32-E72D297353CC}">
                <c16:uniqueId val="{00000001-DAE1-D34E-AEFF-BFDFECED151A}"/>
              </c:ext>
            </c:extLst>
          </c:dPt>
          <c:dPt>
            <c:idx val="6"/>
            <c:marker>
              <c:symbol val="none"/>
            </c:marker>
            <c:bubble3D val="0"/>
            <c:spPr>
              <a:ln w="28575" cap="rnd">
                <a:solidFill>
                  <a:srgbClr val="00C0B7"/>
                </a:solidFill>
                <a:round/>
              </a:ln>
              <a:effectLst/>
            </c:spPr>
            <c:extLst>
              <c:ext xmlns:c16="http://schemas.microsoft.com/office/drawing/2014/chart" uri="{C3380CC4-5D6E-409C-BE32-E72D297353CC}">
                <c16:uniqueId val="{00000003-DAE1-D34E-AEFF-BFDFECED151A}"/>
              </c:ext>
            </c:extLst>
          </c:dPt>
          <c:dPt>
            <c:idx val="7"/>
            <c:marker>
              <c:symbol val="none"/>
            </c:marker>
            <c:bubble3D val="0"/>
            <c:spPr>
              <a:ln w="28575" cap="rnd">
                <a:solidFill>
                  <a:srgbClr val="00C0B7"/>
                </a:solidFill>
                <a:round/>
              </a:ln>
              <a:effectLst/>
            </c:spPr>
            <c:extLst>
              <c:ext xmlns:c16="http://schemas.microsoft.com/office/drawing/2014/chart" uri="{C3380CC4-5D6E-409C-BE32-E72D297353CC}">
                <c16:uniqueId val="{00000005-DAE1-D34E-AEFF-BFDFECED151A}"/>
              </c:ext>
            </c:extLst>
          </c:dPt>
          <c:dPt>
            <c:idx val="8"/>
            <c:marker>
              <c:symbol val="none"/>
            </c:marker>
            <c:bubble3D val="0"/>
            <c:spPr>
              <a:ln w="28575" cap="rnd">
                <a:solidFill>
                  <a:srgbClr val="00C0B7"/>
                </a:solidFill>
                <a:round/>
              </a:ln>
              <a:effectLst/>
            </c:spPr>
            <c:extLst>
              <c:ext xmlns:c16="http://schemas.microsoft.com/office/drawing/2014/chart" uri="{C3380CC4-5D6E-409C-BE32-E72D297353CC}">
                <c16:uniqueId val="{00000007-DAE1-D34E-AEFF-BFDFECED151A}"/>
              </c:ext>
            </c:extLst>
          </c:dPt>
          <c:dPt>
            <c:idx val="9"/>
            <c:marker>
              <c:symbol val="none"/>
            </c:marker>
            <c:bubble3D val="0"/>
            <c:spPr>
              <a:ln w="28575" cap="rnd">
                <a:solidFill>
                  <a:srgbClr val="00C0B7"/>
                </a:solidFill>
                <a:round/>
              </a:ln>
              <a:effectLst/>
            </c:spPr>
            <c:extLst>
              <c:ext xmlns:c16="http://schemas.microsoft.com/office/drawing/2014/chart" uri="{C3380CC4-5D6E-409C-BE32-E72D297353CC}">
                <c16:uniqueId val="{00000009-DAE1-D34E-AEFF-BFDFECED151A}"/>
              </c:ext>
            </c:extLst>
          </c:dPt>
          <c:cat>
            <c:numRef>
              <c:f>'Financial Analysis'!$C$18:$L$18</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f>'Financial Analysis'!$C$41:$L$41</c:f>
              <c:numCache>
                <c:formatCode>0.00</c:formatCode>
                <c:ptCount val="10"/>
                <c:pt idx="0">
                  <c:v>0.67469777460459601</c:v>
                </c:pt>
                <c:pt idx="1">
                  <c:v>0.69192032892164412</c:v>
                </c:pt>
                <c:pt idx="2">
                  <c:v>0.72262741843909684</c:v>
                </c:pt>
                <c:pt idx="3">
                  <c:v>0.63804000227070601</c:v>
                </c:pt>
                <c:pt idx="4">
                  <c:v>0.57806888970318793</c:v>
                </c:pt>
                <c:pt idx="5">
                  <c:v>0.55797773861056532</c:v>
                </c:pt>
                <c:pt idx="6">
                  <c:v>0.52935648564289772</c:v>
                </c:pt>
                <c:pt idx="7">
                  <c:v>0.49802152092966379</c:v>
                </c:pt>
                <c:pt idx="8">
                  <c:v>0.47151860512165628</c:v>
                </c:pt>
                <c:pt idx="9">
                  <c:v>0.4446468612373069</c:v>
                </c:pt>
              </c:numCache>
            </c:numRef>
          </c:val>
          <c:smooth val="0"/>
          <c:extLst>
            <c:ext xmlns:c16="http://schemas.microsoft.com/office/drawing/2014/chart" uri="{C3380CC4-5D6E-409C-BE32-E72D297353CC}">
              <c16:uniqueId val="{0000000A-DAE1-D34E-AEFF-BFDFECED151A}"/>
            </c:ext>
          </c:extLst>
        </c:ser>
        <c:dLbls>
          <c:showLegendKey val="0"/>
          <c:showVal val="0"/>
          <c:showCatName val="0"/>
          <c:showSerName val="0"/>
          <c:showPercent val="0"/>
          <c:showBubbleSize val="0"/>
        </c:dLbls>
        <c:smooth val="0"/>
        <c:axId val="250297455"/>
        <c:axId val="238992335"/>
      </c:lineChart>
      <c:catAx>
        <c:axId val="2502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92335"/>
        <c:crosses val="autoZero"/>
        <c:auto val="1"/>
        <c:lblAlgn val="ctr"/>
        <c:lblOffset val="100"/>
        <c:noMultiLvlLbl val="0"/>
      </c:catAx>
      <c:valAx>
        <c:axId val="238992335"/>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2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'Financial Analysis'!$B$29</c:f>
              <c:strCache>
                <c:ptCount val="1"/>
                <c:pt idx="0">
                  <c:v>  Current ratio</c:v>
                </c:pt>
              </c:strCache>
            </c:strRef>
          </c:tx>
          <c:spPr>
            <a:ln w="28575" cap="rnd">
              <a:solidFill>
                <a:srgbClr val="008079"/>
              </a:solidFill>
              <a:round/>
            </a:ln>
            <a:effectLst/>
          </c:spPr>
          <c:marker>
            <c:symbol val="none"/>
          </c:marker>
          <c:cat>
            <c:numRef>
              <c:f>'Financial Analysis'!$C$18:$L$18</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f>'Financial Analysis'!$C$29:$L$29</c:f>
              <c:numCache>
                <c:formatCode>#,##0.00_);[Red]\(#,##0.00\)</c:formatCode>
                <c:ptCount val="10"/>
                <c:pt idx="0">
                  <c:v>1.1652256146987301</c:v>
                </c:pt>
                <c:pt idx="1">
                  <c:v>1.2368586858685868</c:v>
                </c:pt>
                <c:pt idx="2">
                  <c:v>1.0159915102279797</c:v>
                </c:pt>
                <c:pt idx="3">
                  <c:v>1.2678451742627346</c:v>
                </c:pt>
                <c:pt idx="4">
                  <c:v>1.4737406658690539</c:v>
                </c:pt>
                <c:pt idx="5">
                  <c:v>1.7705044288997933</c:v>
                </c:pt>
                <c:pt idx="6">
                  <c:v>1.9247508675606806</c:v>
                </c:pt>
                <c:pt idx="7">
                  <c:v>2.107830426415743</c:v>
                </c:pt>
                <c:pt idx="8">
                  <c:v>2.3569204108226729</c:v>
                </c:pt>
                <c:pt idx="9">
                  <c:v>2.6270556616372858</c:v>
                </c:pt>
              </c:numCache>
            </c:numRef>
          </c:val>
          <c:smooth val="0"/>
          <c:extLst>
            <c:ext xmlns:c16="http://schemas.microsoft.com/office/drawing/2014/chart" uri="{C3380CC4-5D6E-409C-BE32-E72D297353CC}">
              <c16:uniqueId val="{00000000-9677-744B-B318-FE8D0E3AEC12}"/>
            </c:ext>
          </c:extLst>
        </c:ser>
        <c:ser>
          <c:idx val="1"/>
          <c:order val="1"/>
          <c:tx>
            <c:strRef>
              <c:f>'Financial Analysis'!$B$30</c:f>
              <c:strCache>
                <c:ptCount val="1"/>
                <c:pt idx="0">
                  <c:v>  Quick ratio</c:v>
                </c:pt>
              </c:strCache>
            </c:strRef>
          </c:tx>
          <c:spPr>
            <a:ln w="28575" cap="rnd">
              <a:solidFill>
                <a:srgbClr val="89B9B9"/>
              </a:solidFill>
              <a:round/>
            </a:ln>
            <a:effectLst/>
          </c:spPr>
          <c:marker>
            <c:symbol val="none"/>
          </c:marker>
          <c:cat>
            <c:numRef>
              <c:f>'Financial Analysis'!$C$18:$L$18</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f>'Financial Analysis'!$C$30:$L$30</c:f>
              <c:numCache>
                <c:formatCode>0.00</c:formatCode>
                <c:ptCount val="10"/>
                <c:pt idx="0">
                  <c:v>0.92024678014950911</c:v>
                </c:pt>
                <c:pt idx="1">
                  <c:v>0.96782178217821779</c:v>
                </c:pt>
                <c:pt idx="2">
                  <c:v>0.78508434881252975</c:v>
                </c:pt>
                <c:pt idx="3">
                  <c:v>1.0184735254691688</c:v>
                </c:pt>
                <c:pt idx="4">
                  <c:v>1.2298774701926647</c:v>
                </c:pt>
                <c:pt idx="5">
                  <c:v>1.5797824610190119</c:v>
                </c:pt>
                <c:pt idx="6">
                  <c:v>1.7407072675396376</c:v>
                </c:pt>
                <c:pt idx="7">
                  <c:v>1.9221339133305217</c:v>
                </c:pt>
                <c:pt idx="8">
                  <c:v>2.1741772513432656</c:v>
                </c:pt>
                <c:pt idx="9">
                  <c:v>2.4507309891860558</c:v>
                </c:pt>
              </c:numCache>
            </c:numRef>
          </c:val>
          <c:smooth val="0"/>
          <c:extLst>
            <c:ext xmlns:c16="http://schemas.microsoft.com/office/drawing/2014/chart" uri="{C3380CC4-5D6E-409C-BE32-E72D297353CC}">
              <c16:uniqueId val="{00000001-9677-744B-B318-FE8D0E3AEC12}"/>
            </c:ext>
          </c:extLst>
        </c:ser>
        <c:ser>
          <c:idx val="2"/>
          <c:order val="2"/>
          <c:tx>
            <c:strRef>
              <c:f>'Financial Analysis'!$B$35</c:f>
              <c:strCache>
                <c:ptCount val="1"/>
                <c:pt idx="0">
                  <c:v>   Inventory Turnover</c:v>
                </c:pt>
              </c:strCache>
            </c:strRef>
          </c:tx>
          <c:spPr>
            <a:ln w="28575" cap="rnd">
              <a:solidFill>
                <a:srgbClr val="00EEE7"/>
              </a:solidFill>
              <a:round/>
            </a:ln>
            <a:effectLst/>
          </c:spPr>
          <c:marker>
            <c:symbol val="none"/>
          </c:marker>
          <c:cat>
            <c:numRef>
              <c:f>'Financial Analysis'!$C$18:$L$18</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f>'Financial Analysis'!$C$35:$L$35</c:f>
              <c:numCache>
                <c:formatCode>#,##0.00_);[Red]\(#,##0.00\)</c:formatCode>
                <c:ptCount val="10"/>
                <c:pt idx="0">
                  <c:v>2.4832720588235295</c:v>
                </c:pt>
                <c:pt idx="1">
                  <c:v>2.360655737704918</c:v>
                </c:pt>
                <c:pt idx="2">
                  <c:v>2.4540412044374009</c:v>
                </c:pt>
                <c:pt idx="3">
                  <c:v>2.2889299512850663</c:v>
                </c:pt>
                <c:pt idx="4">
                  <c:v>2.945525291828794</c:v>
                </c:pt>
                <c:pt idx="5">
                  <c:v>2.9455252918287944</c:v>
                </c:pt>
                <c:pt idx="6">
                  <c:v>2.945525291828794</c:v>
                </c:pt>
                <c:pt idx="7">
                  <c:v>2.945525291828794</c:v>
                </c:pt>
                <c:pt idx="8">
                  <c:v>2.945525291828794</c:v>
                </c:pt>
                <c:pt idx="9">
                  <c:v>2.945525291828794</c:v>
                </c:pt>
              </c:numCache>
            </c:numRef>
          </c:val>
          <c:smooth val="0"/>
          <c:extLst>
            <c:ext xmlns:c16="http://schemas.microsoft.com/office/drawing/2014/chart" uri="{C3380CC4-5D6E-409C-BE32-E72D297353CC}">
              <c16:uniqueId val="{00000002-9677-744B-B318-FE8D0E3AEC12}"/>
            </c:ext>
          </c:extLst>
        </c:ser>
        <c:ser>
          <c:idx val="3"/>
          <c:order val="3"/>
          <c:tx>
            <c:strRef>
              <c:f>'Financial Analysis'!$B$37</c:f>
              <c:strCache>
                <c:ptCount val="1"/>
                <c:pt idx="0">
                  <c:v>   Total Asset Turnover</c:v>
                </c:pt>
              </c:strCache>
            </c:strRef>
          </c:tx>
          <c:spPr>
            <a:ln w="28575" cap="rnd">
              <a:solidFill>
                <a:srgbClr val="92D050"/>
              </a:solidFill>
              <a:round/>
            </a:ln>
            <a:effectLst/>
          </c:spPr>
          <c:marker>
            <c:symbol val="none"/>
          </c:marker>
          <c:cat>
            <c:numRef>
              <c:f>'Financial Analysis'!$C$18:$L$18</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f>'Financial Analysis'!$C$37:$L$37</c:f>
              <c:numCache>
                <c:formatCode>0.00</c:formatCode>
                <c:ptCount val="10"/>
                <c:pt idx="0">
                  <c:v>0.51178769800452584</c:v>
                </c:pt>
                <c:pt idx="1">
                  <c:v>0.55499603066459713</c:v>
                </c:pt>
                <c:pt idx="2">
                  <c:v>0.52402061405424294</c:v>
                </c:pt>
                <c:pt idx="3">
                  <c:v>0.46080193766912031</c:v>
                </c:pt>
                <c:pt idx="4">
                  <c:v>0.54308354708684503</c:v>
                </c:pt>
                <c:pt idx="5">
                  <c:v>0.50392511976702714</c:v>
                </c:pt>
                <c:pt idx="6">
                  <c:v>0.52503209953353502</c:v>
                </c:pt>
                <c:pt idx="7">
                  <c:v>0.53314924210761727</c:v>
                </c:pt>
                <c:pt idx="8">
                  <c:v>0.51976583528362597</c:v>
                </c:pt>
                <c:pt idx="9">
                  <c:v>0.50733907049639082</c:v>
                </c:pt>
              </c:numCache>
            </c:numRef>
          </c:val>
          <c:smooth val="0"/>
          <c:extLst>
            <c:ext xmlns:c16="http://schemas.microsoft.com/office/drawing/2014/chart" uri="{C3380CC4-5D6E-409C-BE32-E72D297353CC}">
              <c16:uniqueId val="{00000003-9677-744B-B318-FE8D0E3AEC12}"/>
            </c:ext>
          </c:extLst>
        </c:ser>
        <c:dLbls>
          <c:showLegendKey val="0"/>
          <c:showVal val="0"/>
          <c:showCatName val="0"/>
          <c:showSerName val="0"/>
          <c:showPercent val="0"/>
          <c:showBubbleSize val="0"/>
        </c:dLbls>
        <c:smooth val="0"/>
        <c:axId val="337284991"/>
        <c:axId val="337029935"/>
      </c:lineChart>
      <c:catAx>
        <c:axId val="33728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337029935"/>
        <c:crosses val="autoZero"/>
        <c:auto val="1"/>
        <c:lblAlgn val="ctr"/>
        <c:lblOffset val="100"/>
        <c:noMultiLvlLbl val="0"/>
      </c:catAx>
      <c:valAx>
        <c:axId val="337029935"/>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337284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500"/>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size">
        <cx:f dir="row">_xlchart.v1.1</cx:f>
      </cx:numDim>
    </cx:data>
  </cx:chartData>
  <cx:chart>
    <cx:plotArea>
      <cx:plotAreaRegion>
        <cx:series layoutId="treemap" uniqueId="{EA9CA87A-D026-694C-885A-164B15D98A27}">
          <cx:dataPt idx="0">
            <cx:spPr>
              <a:solidFill>
                <a:srgbClr val="008079"/>
              </a:solidFill>
            </cx:spPr>
          </cx:dataPt>
          <cx:dataPt idx="1">
            <cx:spPr>
              <a:solidFill>
                <a:srgbClr val="DDFFFF"/>
              </a:solidFill>
            </cx:spPr>
          </cx:dataPt>
          <cx:dataPt idx="2">
            <cx:spPr>
              <a:solidFill>
                <a:srgbClr val="00C0B7"/>
              </a:solidFill>
            </cx:spPr>
          </cx:dataPt>
          <cx:dataPt idx="3">
            <cx:spPr>
              <a:solidFill>
                <a:srgbClr val="89B9B9"/>
              </a:solidFill>
            </cx:spPr>
          </cx:dataPt>
          <cx:dataPt idx="4"/>
          <cx:dataLabels>
            <cx:visibility seriesName="0" categoryName="1" value="1"/>
            <cx:separator>, </cx:separator>
            <cx:dataLabel idx="1">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Calibri" panose="020F0502020204030204"/>
                    </a:rPr>
                    <a:t>Research and development, 30%</a:t>
                  </a:r>
                </a:p>
              </cx:txPr>
            </cx:dataLabel>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17" Type="http://schemas.openxmlformats.org/officeDocument/2006/relationships/hyperlink" Target="https://coronavirus.jhu.edu/region/mali#vaccine-tracker" TargetMode="External"/><Relationship Id="rId21" Type="http://schemas.openxmlformats.org/officeDocument/2006/relationships/hyperlink" Target="https://coronavirus.jhu.edu/region/azerbaijan#vaccine-tracker" TargetMode="External"/><Relationship Id="rId42" Type="http://schemas.openxmlformats.org/officeDocument/2006/relationships/hyperlink" Target="https://coronavirus.jhu.edu/region/cameroon#vaccine-tracker" TargetMode="External"/><Relationship Id="rId63" Type="http://schemas.openxmlformats.org/officeDocument/2006/relationships/hyperlink" Target="https://coronavirus.jhu.edu/region/egypt#vaccine-tracker" TargetMode="External"/><Relationship Id="rId84" Type="http://schemas.openxmlformats.org/officeDocument/2006/relationships/hyperlink" Target="https://coronavirus.jhu.edu/region/haiti#vaccine-tracker" TargetMode="External"/><Relationship Id="rId138" Type="http://schemas.openxmlformats.org/officeDocument/2006/relationships/hyperlink" Target="https://coronavirus.jhu.edu/region/norway#vaccine-tracker" TargetMode="External"/><Relationship Id="rId159" Type="http://schemas.openxmlformats.org/officeDocument/2006/relationships/hyperlink" Target="https://coronavirus.jhu.edu/region/serbia#vaccine-tracker" TargetMode="External"/><Relationship Id="rId170" Type="http://schemas.openxmlformats.org/officeDocument/2006/relationships/hyperlink" Target="https://coronavirus.jhu.edu/region/saint-vincent-and-the-grenadines#vaccine-tracker" TargetMode="External"/><Relationship Id="rId191" Type="http://schemas.openxmlformats.org/officeDocument/2006/relationships/hyperlink" Target="https://coronavirus.jhu.edu/region/uzbekistan#vaccine-tracker" TargetMode="External"/><Relationship Id="rId205" Type="http://schemas.openxmlformats.org/officeDocument/2006/relationships/chart" Target="../charts/chart16.xml"/><Relationship Id="rId107" Type="http://schemas.openxmlformats.org/officeDocument/2006/relationships/hyperlink" Target="https://coronavirus.jhu.edu/region/lesotho#vaccine-tracker" TargetMode="External"/><Relationship Id="rId11" Type="http://schemas.openxmlformats.org/officeDocument/2006/relationships/hyperlink" Target="https://coronavirus.jhu.edu/region/afghanistan#vaccine-tracker" TargetMode="External"/><Relationship Id="rId32" Type="http://schemas.openxmlformats.org/officeDocument/2006/relationships/hyperlink" Target="https://coronavirus.jhu.edu/region/bosnia-and-herzegovina#vaccine-tracker" TargetMode="External"/><Relationship Id="rId53" Type="http://schemas.openxmlformats.org/officeDocument/2006/relationships/hyperlink" Target="https://coronavirus.jhu.edu/region/cote-d'ivoire#vaccine-tracker" TargetMode="External"/><Relationship Id="rId74" Type="http://schemas.openxmlformats.org/officeDocument/2006/relationships/hyperlink" Target="https://coronavirus.jhu.edu/region/gambia#vaccine-tracker" TargetMode="External"/><Relationship Id="rId128" Type="http://schemas.openxmlformats.org/officeDocument/2006/relationships/hyperlink" Target="https://coronavirus.jhu.edu/region/morocco#vaccine-tracker" TargetMode="External"/><Relationship Id="rId149" Type="http://schemas.openxmlformats.org/officeDocument/2006/relationships/hyperlink" Target="https://coronavirus.jhu.edu/region/qatar#vaccine-tracker" TargetMode="External"/><Relationship Id="rId5" Type="http://schemas.openxmlformats.org/officeDocument/2006/relationships/chart" Target="../charts/chart5.xml"/><Relationship Id="rId95" Type="http://schemas.openxmlformats.org/officeDocument/2006/relationships/hyperlink" Target="https://coronavirus.jhu.edu/region/jamaica#vaccine-tracker" TargetMode="External"/><Relationship Id="rId160" Type="http://schemas.openxmlformats.org/officeDocument/2006/relationships/hyperlink" Target="https://coronavirus.jhu.edu/region/seychelles#vaccine-tracker" TargetMode="External"/><Relationship Id="rId181" Type="http://schemas.openxmlformats.org/officeDocument/2006/relationships/hyperlink" Target="https://coronavirus.jhu.edu/region/togo#vaccine-tracker" TargetMode="External"/><Relationship Id="rId22" Type="http://schemas.openxmlformats.org/officeDocument/2006/relationships/hyperlink" Target="https://coronavirus.jhu.edu/region/bahamas#vaccine-tracker" TargetMode="External"/><Relationship Id="rId43" Type="http://schemas.openxmlformats.org/officeDocument/2006/relationships/hyperlink" Target="https://coronavirus.jhu.edu/region/canada#vaccine-tracker" TargetMode="External"/><Relationship Id="rId64" Type="http://schemas.openxmlformats.org/officeDocument/2006/relationships/hyperlink" Target="https://coronavirus.jhu.edu/region/el-salvador#vaccine-tracker" TargetMode="External"/><Relationship Id="rId118" Type="http://schemas.openxmlformats.org/officeDocument/2006/relationships/hyperlink" Target="https://coronavirus.jhu.edu/region/malta#vaccine-tracker" TargetMode="External"/><Relationship Id="rId139" Type="http://schemas.openxmlformats.org/officeDocument/2006/relationships/hyperlink" Target="https://coronavirus.jhu.edu/region/oman#vaccine-tracker" TargetMode="External"/><Relationship Id="rId85" Type="http://schemas.openxmlformats.org/officeDocument/2006/relationships/hyperlink" Target="https://coronavirus.jhu.edu/region/honduras#vaccine-tracker" TargetMode="External"/><Relationship Id="rId150" Type="http://schemas.openxmlformats.org/officeDocument/2006/relationships/hyperlink" Target="https://coronavirus.jhu.edu/region/romania#vaccine-tracker" TargetMode="External"/><Relationship Id="rId171" Type="http://schemas.openxmlformats.org/officeDocument/2006/relationships/hyperlink" Target="https://coronavirus.jhu.edu/region/sudan#vaccine-tracker" TargetMode="External"/><Relationship Id="rId192" Type="http://schemas.openxmlformats.org/officeDocument/2006/relationships/hyperlink" Target="https://coronavirus.jhu.edu/region/venezuela#vaccine-tracker" TargetMode="External"/><Relationship Id="rId206" Type="http://schemas.openxmlformats.org/officeDocument/2006/relationships/chart" Target="../charts/chart17.xml"/><Relationship Id="rId12" Type="http://schemas.openxmlformats.org/officeDocument/2006/relationships/hyperlink" Target="https://coronavirus.jhu.edu/region/albania#vaccine-tracker" TargetMode="External"/><Relationship Id="rId33" Type="http://schemas.openxmlformats.org/officeDocument/2006/relationships/hyperlink" Target="https://coronavirus.jhu.edu/region/botswana#vaccine-tracker" TargetMode="External"/><Relationship Id="rId108" Type="http://schemas.openxmlformats.org/officeDocument/2006/relationships/hyperlink" Target="https://coronavirus.jhu.edu/region/liberia#vaccine-tracker" TargetMode="External"/><Relationship Id="rId129" Type="http://schemas.openxmlformats.org/officeDocument/2006/relationships/hyperlink" Target="https://coronavirus.jhu.edu/region/mozambique#vaccine-tracker" TargetMode="External"/><Relationship Id="rId54" Type="http://schemas.openxmlformats.org/officeDocument/2006/relationships/hyperlink" Target="https://coronavirus.jhu.edu/region/croatia#vaccine-tracker" TargetMode="External"/><Relationship Id="rId75" Type="http://schemas.openxmlformats.org/officeDocument/2006/relationships/hyperlink" Target="https://coronavirus.jhu.edu/region/georgia#vaccine-tracker" TargetMode="External"/><Relationship Id="rId96" Type="http://schemas.openxmlformats.org/officeDocument/2006/relationships/hyperlink" Target="https://coronavirus.jhu.edu/region/japan#vaccine-tracker" TargetMode="External"/><Relationship Id="rId140" Type="http://schemas.openxmlformats.org/officeDocument/2006/relationships/hyperlink" Target="https://coronavirus.jhu.edu/region/pakistan#vaccine-tracker" TargetMode="External"/><Relationship Id="rId161" Type="http://schemas.openxmlformats.org/officeDocument/2006/relationships/hyperlink" Target="https://coronavirus.jhu.edu/region/sierra-leone#vaccine-tracker" TargetMode="External"/><Relationship Id="rId182" Type="http://schemas.openxmlformats.org/officeDocument/2006/relationships/hyperlink" Target="https://coronavirus.jhu.edu/region/trinidad-and-tobago#vaccine-tracker" TargetMode="External"/><Relationship Id="rId6" Type="http://schemas.openxmlformats.org/officeDocument/2006/relationships/chart" Target="../charts/chart6.xml"/><Relationship Id="rId23" Type="http://schemas.openxmlformats.org/officeDocument/2006/relationships/hyperlink" Target="https://coronavirus.jhu.edu/region/bahrain#vaccine-tracker" TargetMode="External"/><Relationship Id="rId119" Type="http://schemas.openxmlformats.org/officeDocument/2006/relationships/hyperlink" Target="https://coronavirus.jhu.edu/region/marshall-islands#vaccine-tracker" TargetMode="External"/><Relationship Id="rId44" Type="http://schemas.openxmlformats.org/officeDocument/2006/relationships/hyperlink" Target="https://coronavirus.jhu.edu/region/central-african-republic#vaccine-tracker" TargetMode="External"/><Relationship Id="rId65" Type="http://schemas.openxmlformats.org/officeDocument/2006/relationships/hyperlink" Target="https://coronavirus.jhu.edu/region/equatorial-guinea#vaccine-tracker" TargetMode="External"/><Relationship Id="rId86" Type="http://schemas.openxmlformats.org/officeDocument/2006/relationships/hyperlink" Target="https://coronavirus.jhu.edu/region/hungary#vaccine-tracker" TargetMode="External"/><Relationship Id="rId130" Type="http://schemas.openxmlformats.org/officeDocument/2006/relationships/hyperlink" Target="https://coronavirus.jhu.edu/region/namibia#vaccine-tracker" TargetMode="External"/><Relationship Id="rId151" Type="http://schemas.openxmlformats.org/officeDocument/2006/relationships/hyperlink" Target="https://coronavirus.jhu.edu/region/russia#vaccine-tracker" TargetMode="External"/><Relationship Id="rId172" Type="http://schemas.openxmlformats.org/officeDocument/2006/relationships/hyperlink" Target="https://coronavirus.jhu.edu/region/suriname#vaccine-tracker" TargetMode="External"/><Relationship Id="rId193" Type="http://schemas.openxmlformats.org/officeDocument/2006/relationships/hyperlink" Target="https://coronavirus.jhu.edu/region/vietnam#vaccine-tracker" TargetMode="External"/><Relationship Id="rId207" Type="http://schemas.openxmlformats.org/officeDocument/2006/relationships/chart" Target="../charts/chart18.xml"/><Relationship Id="rId13" Type="http://schemas.openxmlformats.org/officeDocument/2006/relationships/hyperlink" Target="https://coronavirus.jhu.edu/region/algeria#vaccine-tracker" TargetMode="External"/><Relationship Id="rId109" Type="http://schemas.openxmlformats.org/officeDocument/2006/relationships/hyperlink" Target="https://coronavirus.jhu.edu/region/libya#vaccine-tracker" TargetMode="External"/><Relationship Id="rId34" Type="http://schemas.openxmlformats.org/officeDocument/2006/relationships/hyperlink" Target="https://coronavirus.jhu.edu/region/brazil#vaccine-tracker" TargetMode="External"/><Relationship Id="rId55" Type="http://schemas.openxmlformats.org/officeDocument/2006/relationships/hyperlink" Target="https://coronavirus.jhu.edu/region/cuba#vaccine-tracker" TargetMode="External"/><Relationship Id="rId76" Type="http://schemas.openxmlformats.org/officeDocument/2006/relationships/hyperlink" Target="https://coronavirus.jhu.edu/region/germany#vaccine-tracker" TargetMode="External"/><Relationship Id="rId97" Type="http://schemas.openxmlformats.org/officeDocument/2006/relationships/hyperlink" Target="https://coronavirus.jhu.edu/region/jordan#vaccine-tracker" TargetMode="External"/><Relationship Id="rId120" Type="http://schemas.openxmlformats.org/officeDocument/2006/relationships/hyperlink" Target="https://coronavirus.jhu.edu/region/mauritania#vaccine-tracker" TargetMode="External"/><Relationship Id="rId141" Type="http://schemas.openxmlformats.org/officeDocument/2006/relationships/hyperlink" Target="https://coronavirus.jhu.edu/region/us/republic-of-palau#vaccine-tracker" TargetMode="External"/><Relationship Id="rId7" Type="http://schemas.openxmlformats.org/officeDocument/2006/relationships/chart" Target="../charts/chart7.xml"/><Relationship Id="rId162" Type="http://schemas.openxmlformats.org/officeDocument/2006/relationships/hyperlink" Target="https://coronavirus.jhu.edu/region/singapore#vaccine-tracker" TargetMode="External"/><Relationship Id="rId183" Type="http://schemas.openxmlformats.org/officeDocument/2006/relationships/hyperlink" Target="https://coronavirus.jhu.edu/region/tunisia#vaccine-tracker" TargetMode="External"/><Relationship Id="rId24" Type="http://schemas.openxmlformats.org/officeDocument/2006/relationships/hyperlink" Target="https://coronavirus.jhu.edu/region/bangladesh#vaccine-tracker" TargetMode="External"/><Relationship Id="rId45" Type="http://schemas.openxmlformats.org/officeDocument/2006/relationships/hyperlink" Target="https://coronavirus.jhu.edu/region/chad#vaccine-tracker" TargetMode="External"/><Relationship Id="rId66" Type="http://schemas.openxmlformats.org/officeDocument/2006/relationships/hyperlink" Target="https://coronavirus.jhu.edu/region/eritrea#vaccine-tracker" TargetMode="External"/><Relationship Id="rId87" Type="http://schemas.openxmlformats.org/officeDocument/2006/relationships/hyperlink" Target="https://coronavirus.jhu.edu/region/iceland#vaccine-tracker" TargetMode="External"/><Relationship Id="rId110" Type="http://schemas.openxmlformats.org/officeDocument/2006/relationships/hyperlink" Target="https://coronavirus.jhu.edu/region/liechtenstein#vaccine-tracker" TargetMode="External"/><Relationship Id="rId131" Type="http://schemas.openxmlformats.org/officeDocument/2006/relationships/hyperlink" Target="https://coronavirus.jhu.edu/region/nepal#vaccine-tracker" TargetMode="External"/><Relationship Id="rId61" Type="http://schemas.openxmlformats.org/officeDocument/2006/relationships/hyperlink" Target="https://coronavirus.jhu.edu/region/dominican-republic#vaccine-tracker" TargetMode="External"/><Relationship Id="rId82" Type="http://schemas.openxmlformats.org/officeDocument/2006/relationships/hyperlink" Target="https://coronavirus.jhu.edu/region/guinea-bissau#vaccine-tracker" TargetMode="External"/><Relationship Id="rId152" Type="http://schemas.openxmlformats.org/officeDocument/2006/relationships/hyperlink" Target="https://coronavirus.jhu.edu/region/rwanda#vaccine-tracker" TargetMode="External"/><Relationship Id="rId173" Type="http://schemas.openxmlformats.org/officeDocument/2006/relationships/hyperlink" Target="https://coronavirus.jhu.edu/region/sweden#vaccine-tracker" TargetMode="External"/><Relationship Id="rId194" Type="http://schemas.openxmlformats.org/officeDocument/2006/relationships/hyperlink" Target="https://coronavirus.jhu.edu/region/west-bank-and-gaza#vaccine-tracker" TargetMode="External"/><Relationship Id="rId199" Type="http://schemas.openxmlformats.org/officeDocument/2006/relationships/chart" Target="../charts/chart11.xml"/><Relationship Id="rId203" Type="http://schemas.openxmlformats.org/officeDocument/2006/relationships/chart" Target="../charts/chart14.xml"/><Relationship Id="rId208" Type="http://schemas.openxmlformats.org/officeDocument/2006/relationships/chart" Target="../charts/chart19.xml"/><Relationship Id="rId19" Type="http://schemas.openxmlformats.org/officeDocument/2006/relationships/hyperlink" Target="https://coronavirus.jhu.edu/region/australia#vaccine-tracker" TargetMode="External"/><Relationship Id="rId14" Type="http://schemas.openxmlformats.org/officeDocument/2006/relationships/hyperlink" Target="https://coronavirus.jhu.edu/region/andorra#vaccine-tracker" TargetMode="External"/><Relationship Id="rId30" Type="http://schemas.openxmlformats.org/officeDocument/2006/relationships/hyperlink" Target="https://coronavirus.jhu.edu/region/bhutan#vaccine-tracker" TargetMode="External"/><Relationship Id="rId35" Type="http://schemas.openxmlformats.org/officeDocument/2006/relationships/hyperlink" Target="https://coronavirus.jhu.edu/region/brunei#vaccine-tracker" TargetMode="External"/><Relationship Id="rId56" Type="http://schemas.openxmlformats.org/officeDocument/2006/relationships/hyperlink" Target="https://coronavirus.jhu.edu/region/cyprus#vaccine-tracker" TargetMode="External"/><Relationship Id="rId77" Type="http://schemas.openxmlformats.org/officeDocument/2006/relationships/hyperlink" Target="https://coronavirus.jhu.edu/region/ghana#vaccine-tracker" TargetMode="External"/><Relationship Id="rId100" Type="http://schemas.openxmlformats.org/officeDocument/2006/relationships/hyperlink" Target="https://coronavirus.jhu.edu/region/south-korea#vaccine-tracker" TargetMode="External"/><Relationship Id="rId105" Type="http://schemas.openxmlformats.org/officeDocument/2006/relationships/hyperlink" Target="https://coronavirus.jhu.edu/region/latvia#vaccine-tracker" TargetMode="External"/><Relationship Id="rId126" Type="http://schemas.openxmlformats.org/officeDocument/2006/relationships/hyperlink" Target="https://coronavirus.jhu.edu/region/mongolia#vaccine-tracker" TargetMode="External"/><Relationship Id="rId147" Type="http://schemas.openxmlformats.org/officeDocument/2006/relationships/hyperlink" Target="https://coronavirus.jhu.edu/region/poland#vaccine-tracker" TargetMode="External"/><Relationship Id="rId168" Type="http://schemas.openxmlformats.org/officeDocument/2006/relationships/hyperlink" Target="https://coronavirus.jhu.edu/region/spain#vaccine-tracker" TargetMode="External"/><Relationship Id="rId8" Type="http://schemas.openxmlformats.org/officeDocument/2006/relationships/chart" Target="../charts/chart8.xml"/><Relationship Id="rId51" Type="http://schemas.openxmlformats.org/officeDocument/2006/relationships/hyperlink" Target="https://coronavirus.jhu.edu/region/democratic-republic-of-the-congo#vaccine-tracker" TargetMode="External"/><Relationship Id="rId72" Type="http://schemas.openxmlformats.org/officeDocument/2006/relationships/hyperlink" Target="https://coronavirus.jhu.edu/region/france#vaccine-tracker" TargetMode="External"/><Relationship Id="rId93" Type="http://schemas.openxmlformats.org/officeDocument/2006/relationships/hyperlink" Target="https://coronavirus.jhu.edu/region/israel#vaccine-tracker" TargetMode="External"/><Relationship Id="rId98" Type="http://schemas.openxmlformats.org/officeDocument/2006/relationships/hyperlink" Target="https://coronavirus.jhu.edu/region/kazakhstan#vaccine-tracker" TargetMode="External"/><Relationship Id="rId121" Type="http://schemas.openxmlformats.org/officeDocument/2006/relationships/hyperlink" Target="https://coronavirus.jhu.edu/region/mauritius#vaccine-tracker" TargetMode="External"/><Relationship Id="rId142" Type="http://schemas.openxmlformats.org/officeDocument/2006/relationships/hyperlink" Target="https://coronavirus.jhu.edu/region/panama#vaccine-tracker" TargetMode="External"/><Relationship Id="rId163" Type="http://schemas.openxmlformats.org/officeDocument/2006/relationships/hyperlink" Target="https://coronavirus.jhu.edu/region/slovakia#vaccine-tracker" TargetMode="External"/><Relationship Id="rId184" Type="http://schemas.openxmlformats.org/officeDocument/2006/relationships/hyperlink" Target="https://coronavirus.jhu.edu/region/turkey#vaccine-tracker" TargetMode="External"/><Relationship Id="rId189" Type="http://schemas.openxmlformats.org/officeDocument/2006/relationships/hyperlink" Target="https://coronavirus.jhu.edu/region/united-states#vaccine-tracker" TargetMode="External"/><Relationship Id="rId3" Type="http://schemas.openxmlformats.org/officeDocument/2006/relationships/chart" Target="../charts/chart3.xml"/><Relationship Id="rId25" Type="http://schemas.openxmlformats.org/officeDocument/2006/relationships/hyperlink" Target="https://coronavirus.jhu.edu/region/barbados#vaccine-tracker" TargetMode="External"/><Relationship Id="rId46" Type="http://schemas.openxmlformats.org/officeDocument/2006/relationships/hyperlink" Target="https://coronavirus.jhu.edu/region/chile#vaccine-tracker" TargetMode="External"/><Relationship Id="rId67" Type="http://schemas.openxmlformats.org/officeDocument/2006/relationships/hyperlink" Target="https://coronavirus.jhu.edu/region/estonia#vaccine-tracker" TargetMode="External"/><Relationship Id="rId116" Type="http://schemas.openxmlformats.org/officeDocument/2006/relationships/hyperlink" Target="https://coronavirus.jhu.edu/region/maldives#vaccine-tracker" TargetMode="External"/><Relationship Id="rId137" Type="http://schemas.openxmlformats.org/officeDocument/2006/relationships/hyperlink" Target="https://coronavirus.jhu.edu/region/north-macedonia#vaccine-tracker" TargetMode="External"/><Relationship Id="rId158" Type="http://schemas.openxmlformats.org/officeDocument/2006/relationships/hyperlink" Target="https://coronavirus.jhu.edu/region/senegal#vaccine-tracker" TargetMode="External"/><Relationship Id="rId20" Type="http://schemas.openxmlformats.org/officeDocument/2006/relationships/hyperlink" Target="https://coronavirus.jhu.edu/region/austria#vaccine-tracker" TargetMode="External"/><Relationship Id="rId41" Type="http://schemas.openxmlformats.org/officeDocument/2006/relationships/hyperlink" Target="https://coronavirus.jhu.edu/region/cambodia#vaccine-tracker" TargetMode="External"/><Relationship Id="rId62" Type="http://schemas.openxmlformats.org/officeDocument/2006/relationships/hyperlink" Target="https://coronavirus.jhu.edu/region/ecuador#vaccine-tracker" TargetMode="External"/><Relationship Id="rId83" Type="http://schemas.openxmlformats.org/officeDocument/2006/relationships/hyperlink" Target="https://coronavirus.jhu.edu/region/guyana#vaccine-tracker" TargetMode="External"/><Relationship Id="rId88" Type="http://schemas.openxmlformats.org/officeDocument/2006/relationships/hyperlink" Target="https://coronavirus.jhu.edu/region/india#vaccine-tracker" TargetMode="External"/><Relationship Id="rId111" Type="http://schemas.openxmlformats.org/officeDocument/2006/relationships/hyperlink" Target="https://coronavirus.jhu.edu/region/lithuania#vaccine-tracker" TargetMode="External"/><Relationship Id="rId132" Type="http://schemas.openxmlformats.org/officeDocument/2006/relationships/hyperlink" Target="https://coronavirus.jhu.edu/region/netherlands#vaccine-tracker" TargetMode="External"/><Relationship Id="rId153" Type="http://schemas.openxmlformats.org/officeDocument/2006/relationships/hyperlink" Target="https://coronavirus.jhu.edu/region/saint-kitts-and-nevis#vaccine-tracker" TargetMode="External"/><Relationship Id="rId174" Type="http://schemas.openxmlformats.org/officeDocument/2006/relationships/hyperlink" Target="https://coronavirus.jhu.edu/region/switzerland#vaccine-tracker" TargetMode="External"/><Relationship Id="rId179" Type="http://schemas.openxmlformats.org/officeDocument/2006/relationships/hyperlink" Target="https://coronavirus.jhu.edu/region/thailand#vaccine-tracker" TargetMode="External"/><Relationship Id="rId195" Type="http://schemas.openxmlformats.org/officeDocument/2006/relationships/hyperlink" Target="https://coronavirus.jhu.edu/region/yemen#vaccine-tracker" TargetMode="External"/><Relationship Id="rId209" Type="http://schemas.openxmlformats.org/officeDocument/2006/relationships/chart" Target="../charts/chart20.xml"/><Relationship Id="rId190" Type="http://schemas.openxmlformats.org/officeDocument/2006/relationships/hyperlink" Target="https://coronavirus.jhu.edu/region/uruguay#vaccine-tracker" TargetMode="External"/><Relationship Id="rId204" Type="http://schemas.openxmlformats.org/officeDocument/2006/relationships/chart" Target="../charts/chart15.xml"/><Relationship Id="rId15" Type="http://schemas.openxmlformats.org/officeDocument/2006/relationships/hyperlink" Target="https://coronavirus.jhu.edu/region/angola#vaccine-tracker" TargetMode="External"/><Relationship Id="rId36" Type="http://schemas.openxmlformats.org/officeDocument/2006/relationships/hyperlink" Target="https://coronavirus.jhu.edu/region/bulgaria#vaccine-tracker" TargetMode="External"/><Relationship Id="rId57" Type="http://schemas.openxmlformats.org/officeDocument/2006/relationships/hyperlink" Target="https://coronavirus.jhu.edu/region/czechia#vaccine-tracker" TargetMode="External"/><Relationship Id="rId106" Type="http://schemas.openxmlformats.org/officeDocument/2006/relationships/hyperlink" Target="https://coronavirus.jhu.edu/region/lebanon#vaccine-tracker" TargetMode="External"/><Relationship Id="rId127" Type="http://schemas.openxmlformats.org/officeDocument/2006/relationships/hyperlink" Target="https://coronavirus.jhu.edu/region/montenegro#vaccine-tracker" TargetMode="External"/><Relationship Id="rId10" Type="http://schemas.openxmlformats.org/officeDocument/2006/relationships/chart" Target="../charts/chart10.xml"/><Relationship Id="rId31" Type="http://schemas.openxmlformats.org/officeDocument/2006/relationships/hyperlink" Target="https://coronavirus.jhu.edu/region/bolivia#vaccine-tracker" TargetMode="External"/><Relationship Id="rId52" Type="http://schemas.openxmlformats.org/officeDocument/2006/relationships/hyperlink" Target="https://coronavirus.jhu.edu/region/costa-rica#vaccine-tracker" TargetMode="External"/><Relationship Id="rId73" Type="http://schemas.openxmlformats.org/officeDocument/2006/relationships/hyperlink" Target="https://coronavirus.jhu.edu/region/gabon#vaccine-tracker" TargetMode="External"/><Relationship Id="rId78" Type="http://schemas.openxmlformats.org/officeDocument/2006/relationships/hyperlink" Target="https://coronavirus.jhu.edu/region/greece#vaccine-tracker" TargetMode="External"/><Relationship Id="rId94" Type="http://schemas.openxmlformats.org/officeDocument/2006/relationships/hyperlink" Target="https://coronavirus.jhu.edu/region/italy#vaccine-tracker" TargetMode="External"/><Relationship Id="rId99" Type="http://schemas.openxmlformats.org/officeDocument/2006/relationships/hyperlink" Target="https://coronavirus.jhu.edu/region/kenya#vaccine-tracker" TargetMode="External"/><Relationship Id="rId101" Type="http://schemas.openxmlformats.org/officeDocument/2006/relationships/hyperlink" Target="https://coronavirus.jhu.edu/region/kosovo#vaccine-tracker" TargetMode="External"/><Relationship Id="rId122" Type="http://schemas.openxmlformats.org/officeDocument/2006/relationships/hyperlink" Target="https://coronavirus.jhu.edu/region/mexico#vaccine-tracker" TargetMode="External"/><Relationship Id="rId143" Type="http://schemas.openxmlformats.org/officeDocument/2006/relationships/hyperlink" Target="https://coronavirus.jhu.edu/region/papua-new-guinea#vaccine-tracker" TargetMode="External"/><Relationship Id="rId148" Type="http://schemas.openxmlformats.org/officeDocument/2006/relationships/hyperlink" Target="https://coronavirus.jhu.edu/region/portugal#vaccine-tracker" TargetMode="External"/><Relationship Id="rId164" Type="http://schemas.openxmlformats.org/officeDocument/2006/relationships/hyperlink" Target="https://coronavirus.jhu.edu/region/slovenia#vaccine-tracker" TargetMode="External"/><Relationship Id="rId169" Type="http://schemas.openxmlformats.org/officeDocument/2006/relationships/hyperlink" Target="https://coronavirus.jhu.edu/region/sri-lanka#vaccine-tracker" TargetMode="External"/><Relationship Id="rId185" Type="http://schemas.openxmlformats.org/officeDocument/2006/relationships/hyperlink" Target="https://coronavirus.jhu.edu/region/uganda#vaccine-tracker" TargetMode="External"/><Relationship Id="rId4" Type="http://schemas.openxmlformats.org/officeDocument/2006/relationships/chart" Target="../charts/chart4.xml"/><Relationship Id="rId9" Type="http://schemas.openxmlformats.org/officeDocument/2006/relationships/chart" Target="../charts/chart9.xml"/><Relationship Id="rId180" Type="http://schemas.openxmlformats.org/officeDocument/2006/relationships/hyperlink" Target="https://coronavirus.jhu.edu/region/timor-leste#vaccine-tracker" TargetMode="External"/><Relationship Id="rId210" Type="http://schemas.openxmlformats.org/officeDocument/2006/relationships/chart" Target="../charts/chart21.xml"/><Relationship Id="rId26" Type="http://schemas.openxmlformats.org/officeDocument/2006/relationships/hyperlink" Target="https://coronavirus.jhu.edu/region/belarus#vaccine-tracker" TargetMode="External"/><Relationship Id="rId47" Type="http://schemas.openxmlformats.org/officeDocument/2006/relationships/hyperlink" Target="https://coronavirus.jhu.edu/region/china#vaccine-tracker" TargetMode="External"/><Relationship Id="rId68" Type="http://schemas.openxmlformats.org/officeDocument/2006/relationships/hyperlink" Target="https://coronavirus.jhu.edu/region/eswatini#vaccine-tracker" TargetMode="External"/><Relationship Id="rId89" Type="http://schemas.openxmlformats.org/officeDocument/2006/relationships/hyperlink" Target="https://coronavirus.jhu.edu/region/indonesia#vaccine-tracker" TargetMode="External"/><Relationship Id="rId112" Type="http://schemas.openxmlformats.org/officeDocument/2006/relationships/hyperlink" Target="https://coronavirus.jhu.edu/region/luxembourg#vaccine-tracker" TargetMode="External"/><Relationship Id="rId133" Type="http://schemas.openxmlformats.org/officeDocument/2006/relationships/hyperlink" Target="https://coronavirus.jhu.edu/region/new-zealand#vaccine-tracker" TargetMode="External"/><Relationship Id="rId154" Type="http://schemas.openxmlformats.org/officeDocument/2006/relationships/hyperlink" Target="https://coronavirus.jhu.edu/region/saint-lucia#vaccine-tracker" TargetMode="External"/><Relationship Id="rId175" Type="http://schemas.openxmlformats.org/officeDocument/2006/relationships/hyperlink" Target="https://coronavirus.jhu.edu/region/syria#vaccine-tracker" TargetMode="External"/><Relationship Id="rId196" Type="http://schemas.openxmlformats.org/officeDocument/2006/relationships/hyperlink" Target="https://coronavirus.jhu.edu/region/zambia#vaccine-tracker" TargetMode="External"/><Relationship Id="rId200" Type="http://schemas.openxmlformats.org/officeDocument/2006/relationships/chart" Target="../charts/chart12.xml"/><Relationship Id="rId16" Type="http://schemas.openxmlformats.org/officeDocument/2006/relationships/hyperlink" Target="https://coronavirus.jhu.edu/region/antigua-and-barbuda#vaccine-tracker" TargetMode="External"/><Relationship Id="rId37" Type="http://schemas.openxmlformats.org/officeDocument/2006/relationships/hyperlink" Target="https://coronavirus.jhu.edu/region/burkina-faso#vaccine-tracker" TargetMode="External"/><Relationship Id="rId58" Type="http://schemas.openxmlformats.org/officeDocument/2006/relationships/hyperlink" Target="https://coronavirus.jhu.edu/region/denmark#vaccine-tracker" TargetMode="External"/><Relationship Id="rId79" Type="http://schemas.openxmlformats.org/officeDocument/2006/relationships/hyperlink" Target="https://coronavirus.jhu.edu/region/grenada#vaccine-tracker" TargetMode="External"/><Relationship Id="rId102" Type="http://schemas.openxmlformats.org/officeDocument/2006/relationships/hyperlink" Target="https://coronavirus.jhu.edu/region/kuwait#vaccine-tracker" TargetMode="External"/><Relationship Id="rId123" Type="http://schemas.openxmlformats.org/officeDocument/2006/relationships/hyperlink" Target="https://coronavirus.jhu.edu/region/us/federated-states-of-micronesia#vaccine-tracker" TargetMode="External"/><Relationship Id="rId144" Type="http://schemas.openxmlformats.org/officeDocument/2006/relationships/hyperlink" Target="https://coronavirus.jhu.edu/region/paraguay#vaccine-tracker" TargetMode="External"/><Relationship Id="rId90" Type="http://schemas.openxmlformats.org/officeDocument/2006/relationships/hyperlink" Target="https://coronavirus.jhu.edu/region/iran#vaccine-tracker" TargetMode="External"/><Relationship Id="rId165" Type="http://schemas.openxmlformats.org/officeDocument/2006/relationships/hyperlink" Target="https://coronavirus.jhu.edu/region/somalia#vaccine-tracker" TargetMode="External"/><Relationship Id="rId186" Type="http://schemas.openxmlformats.org/officeDocument/2006/relationships/hyperlink" Target="https://coronavirus.jhu.edu/region/ukraine#vaccine-tracker" TargetMode="External"/><Relationship Id="rId211" Type="http://schemas.openxmlformats.org/officeDocument/2006/relationships/chart" Target="../charts/chart22.xml"/><Relationship Id="rId27" Type="http://schemas.openxmlformats.org/officeDocument/2006/relationships/hyperlink" Target="https://coronavirus.jhu.edu/region/belgium#vaccine-tracker" TargetMode="External"/><Relationship Id="rId48" Type="http://schemas.openxmlformats.org/officeDocument/2006/relationships/hyperlink" Target="https://coronavirus.jhu.edu/region/colombia#vaccine-tracker" TargetMode="External"/><Relationship Id="rId69" Type="http://schemas.openxmlformats.org/officeDocument/2006/relationships/hyperlink" Target="https://coronavirus.jhu.edu/region/ethiopia#vaccine-tracker" TargetMode="External"/><Relationship Id="rId113" Type="http://schemas.openxmlformats.org/officeDocument/2006/relationships/hyperlink" Target="https://coronavirus.jhu.edu/region/madagascar#vaccine-tracker" TargetMode="External"/><Relationship Id="rId134" Type="http://schemas.openxmlformats.org/officeDocument/2006/relationships/hyperlink" Target="https://coronavirus.jhu.edu/region/nicaragua#vaccine-tracker" TargetMode="External"/><Relationship Id="rId80" Type="http://schemas.openxmlformats.org/officeDocument/2006/relationships/hyperlink" Target="https://coronavirus.jhu.edu/region/guatemala#vaccine-tracker" TargetMode="External"/><Relationship Id="rId155" Type="http://schemas.openxmlformats.org/officeDocument/2006/relationships/hyperlink" Target="https://coronavirus.jhu.edu/region/san-marino#vaccine-tracker" TargetMode="External"/><Relationship Id="rId176" Type="http://schemas.openxmlformats.org/officeDocument/2006/relationships/hyperlink" Target="https://coronavirus.jhu.edu/region/taiwan#vaccine-tracker" TargetMode="External"/><Relationship Id="rId197" Type="http://schemas.openxmlformats.org/officeDocument/2006/relationships/hyperlink" Target="https://coronavirus.jhu.edu/region/zimbabwe#vaccine-tracker" TargetMode="External"/><Relationship Id="rId201" Type="http://schemas.openxmlformats.org/officeDocument/2006/relationships/chart" Target="../charts/chart13.xml"/><Relationship Id="rId17" Type="http://schemas.openxmlformats.org/officeDocument/2006/relationships/hyperlink" Target="https://coronavirus.jhu.edu/region/argentina#vaccine-tracker" TargetMode="External"/><Relationship Id="rId38" Type="http://schemas.openxmlformats.org/officeDocument/2006/relationships/hyperlink" Target="https://coronavirus.jhu.edu/region/myanmar#vaccine-tracker" TargetMode="External"/><Relationship Id="rId59" Type="http://schemas.openxmlformats.org/officeDocument/2006/relationships/hyperlink" Target="https://coronavirus.jhu.edu/region/djibouti#vaccine-tracker" TargetMode="External"/><Relationship Id="rId103" Type="http://schemas.openxmlformats.org/officeDocument/2006/relationships/hyperlink" Target="https://coronavirus.jhu.edu/region/kyrgyzstan#vaccine-tracker" TargetMode="External"/><Relationship Id="rId124" Type="http://schemas.openxmlformats.org/officeDocument/2006/relationships/hyperlink" Target="https://coronavirus.jhu.edu/region/moldova#vaccine-tracker" TargetMode="External"/><Relationship Id="rId70" Type="http://schemas.openxmlformats.org/officeDocument/2006/relationships/hyperlink" Target="https://coronavirus.jhu.edu/region/fiji#vaccine-tracker" TargetMode="External"/><Relationship Id="rId91" Type="http://schemas.openxmlformats.org/officeDocument/2006/relationships/hyperlink" Target="https://coronavirus.jhu.edu/region/iraq#vaccine-tracker" TargetMode="External"/><Relationship Id="rId145" Type="http://schemas.openxmlformats.org/officeDocument/2006/relationships/hyperlink" Target="https://coronavirus.jhu.edu/region/peru#vaccine-tracker" TargetMode="External"/><Relationship Id="rId166" Type="http://schemas.openxmlformats.org/officeDocument/2006/relationships/hyperlink" Target="https://coronavirus.jhu.edu/region/south-africa#vaccine-tracker" TargetMode="External"/><Relationship Id="rId187" Type="http://schemas.openxmlformats.org/officeDocument/2006/relationships/hyperlink" Target="https://coronavirus.jhu.edu/region/united-arab-emirates#vaccine-tracker" TargetMode="External"/><Relationship Id="rId1" Type="http://schemas.openxmlformats.org/officeDocument/2006/relationships/chart" Target="../charts/chart1.xml"/><Relationship Id="rId212" Type="http://schemas.openxmlformats.org/officeDocument/2006/relationships/chart" Target="../charts/chart23.xml"/><Relationship Id="rId28" Type="http://schemas.openxmlformats.org/officeDocument/2006/relationships/hyperlink" Target="https://coronavirus.jhu.edu/region/belize#vaccine-tracker" TargetMode="External"/><Relationship Id="rId49" Type="http://schemas.openxmlformats.org/officeDocument/2006/relationships/hyperlink" Target="https://coronavirus.jhu.edu/region/comoros#vaccine-tracker" TargetMode="External"/><Relationship Id="rId114" Type="http://schemas.openxmlformats.org/officeDocument/2006/relationships/hyperlink" Target="https://coronavirus.jhu.edu/region/malawi#vaccine-tracker" TargetMode="External"/><Relationship Id="rId60" Type="http://schemas.openxmlformats.org/officeDocument/2006/relationships/hyperlink" Target="https://coronavirus.jhu.edu/region/dominica#vaccine-tracker" TargetMode="External"/><Relationship Id="rId81" Type="http://schemas.openxmlformats.org/officeDocument/2006/relationships/hyperlink" Target="https://coronavirus.jhu.edu/region/guinea#vaccine-tracker" TargetMode="External"/><Relationship Id="rId135" Type="http://schemas.openxmlformats.org/officeDocument/2006/relationships/hyperlink" Target="https://coronavirus.jhu.edu/region/niger#vaccine-tracker" TargetMode="External"/><Relationship Id="rId156" Type="http://schemas.openxmlformats.org/officeDocument/2006/relationships/hyperlink" Target="https://coronavirus.jhu.edu/region/sao-tome-and-principe#vaccine-tracker" TargetMode="External"/><Relationship Id="rId177" Type="http://schemas.openxmlformats.org/officeDocument/2006/relationships/hyperlink" Target="https://coronavirus.jhu.edu/region/tajikistan#vaccine-tracker" TargetMode="External"/><Relationship Id="rId198" Type="http://schemas.openxmlformats.org/officeDocument/2006/relationships/image" Target="../media/image3.png"/><Relationship Id="rId202" Type="http://schemas.microsoft.com/office/2014/relationships/chartEx" Target="../charts/chartEx1.xml"/><Relationship Id="rId18" Type="http://schemas.openxmlformats.org/officeDocument/2006/relationships/hyperlink" Target="https://coronavirus.jhu.edu/region/armenia#vaccine-tracker" TargetMode="External"/><Relationship Id="rId39" Type="http://schemas.openxmlformats.org/officeDocument/2006/relationships/hyperlink" Target="https://coronavirus.jhu.edu/region/burundi#vaccine-tracker" TargetMode="External"/><Relationship Id="rId50" Type="http://schemas.openxmlformats.org/officeDocument/2006/relationships/hyperlink" Target="https://coronavirus.jhu.edu/region/republic-of-the-congo#vaccine-tracker" TargetMode="External"/><Relationship Id="rId104" Type="http://schemas.openxmlformats.org/officeDocument/2006/relationships/hyperlink" Target="https://coronavirus.jhu.edu/region/laos#vaccine-tracker" TargetMode="External"/><Relationship Id="rId125" Type="http://schemas.openxmlformats.org/officeDocument/2006/relationships/hyperlink" Target="https://coronavirus.jhu.edu/region/monaco#vaccine-tracker" TargetMode="External"/><Relationship Id="rId146" Type="http://schemas.openxmlformats.org/officeDocument/2006/relationships/hyperlink" Target="https://coronavirus.jhu.edu/region/philippines#vaccine-tracker" TargetMode="External"/><Relationship Id="rId167" Type="http://schemas.openxmlformats.org/officeDocument/2006/relationships/hyperlink" Target="https://coronavirus.jhu.edu/region/south-sudan#vaccine-tracker" TargetMode="External"/><Relationship Id="rId188" Type="http://schemas.openxmlformats.org/officeDocument/2006/relationships/hyperlink" Target="https://coronavirus.jhu.edu/region/united-kingdom#vaccine-tracker" TargetMode="External"/><Relationship Id="rId71" Type="http://schemas.openxmlformats.org/officeDocument/2006/relationships/hyperlink" Target="https://coronavirus.jhu.edu/region/finland#vaccine-tracker" TargetMode="External"/><Relationship Id="rId92" Type="http://schemas.openxmlformats.org/officeDocument/2006/relationships/hyperlink" Target="https://coronavirus.jhu.edu/region/ireland#vaccine-tracker" TargetMode="External"/><Relationship Id="rId2" Type="http://schemas.openxmlformats.org/officeDocument/2006/relationships/chart" Target="../charts/chart2.xml"/><Relationship Id="rId29" Type="http://schemas.openxmlformats.org/officeDocument/2006/relationships/hyperlink" Target="https://coronavirus.jhu.edu/region/benin#vaccine-tracker" TargetMode="External"/><Relationship Id="rId40" Type="http://schemas.openxmlformats.org/officeDocument/2006/relationships/hyperlink" Target="https://coronavirus.jhu.edu/region/cabo-verde#vaccine-tracker" TargetMode="External"/><Relationship Id="rId115" Type="http://schemas.openxmlformats.org/officeDocument/2006/relationships/hyperlink" Target="https://coronavirus.jhu.edu/region/malaysia#vaccine-tracker" TargetMode="External"/><Relationship Id="rId136" Type="http://schemas.openxmlformats.org/officeDocument/2006/relationships/hyperlink" Target="https://coronavirus.jhu.edu/region/nigeria#vaccine-tracker" TargetMode="External"/><Relationship Id="rId157" Type="http://schemas.openxmlformats.org/officeDocument/2006/relationships/hyperlink" Target="https://coronavirus.jhu.edu/region/saudi-arabia#vaccine-tracker" TargetMode="External"/><Relationship Id="rId178" Type="http://schemas.openxmlformats.org/officeDocument/2006/relationships/hyperlink" Target="https://coronavirus.jhu.edu/region/tanzania#vaccine-tracker"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2</xdr:row>
      <xdr:rowOff>190500</xdr:rowOff>
    </xdr:from>
    <xdr:to>
      <xdr:col>5</xdr:col>
      <xdr:colOff>165100</xdr:colOff>
      <xdr:row>10</xdr:row>
      <xdr:rowOff>128552</xdr:rowOff>
    </xdr:to>
    <xdr:pic>
      <xdr:nvPicPr>
        <xdr:cNvPr id="2" name="Picture 1" descr="Logo, company name&#10;&#10;Description automatically generated">
          <a:extLst>
            <a:ext uri="{FF2B5EF4-FFF2-40B4-BE49-F238E27FC236}">
              <a16:creationId xmlns:a16="http://schemas.microsoft.com/office/drawing/2014/main" id="{DFD0DEFF-573E-1A8F-401C-078AAC0F008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2" t="-1" r="-48" b="314"/>
        <a:stretch/>
      </xdr:blipFill>
      <xdr:spPr bwMode="auto">
        <a:xfrm>
          <a:off x="190500" y="596900"/>
          <a:ext cx="4102100" cy="2300252"/>
        </a:xfrm>
        <a:prstGeom prst="rect">
          <a:avLst/>
        </a:prstGeom>
        <a:ln>
          <a:solidFill>
            <a:srgbClr val="00857C"/>
          </a:solid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124372</xdr:colOff>
      <xdr:row>1</xdr:row>
      <xdr:rowOff>97292</xdr:rowOff>
    </xdr:from>
    <xdr:to>
      <xdr:col>2</xdr:col>
      <xdr:colOff>1803400</xdr:colOff>
      <xdr:row>1</xdr:row>
      <xdr:rowOff>406400</xdr:rowOff>
    </xdr:to>
    <xdr:pic>
      <xdr:nvPicPr>
        <xdr:cNvPr id="5" name="Picture 2">
          <a:extLst>
            <a:ext uri="{FF2B5EF4-FFF2-40B4-BE49-F238E27FC236}">
              <a16:creationId xmlns:a16="http://schemas.microsoft.com/office/drawing/2014/main" id="{9D20BD57-D970-E247-8876-5D3ECC87BCA8}"/>
            </a:ext>
          </a:extLst>
        </xdr:cNvPr>
        <xdr:cNvPicPr/>
      </xdr:nvPicPr>
      <xdr:blipFill>
        <a:blip xmlns:r="http://schemas.openxmlformats.org/officeDocument/2006/relationships" r:embed="rId1"/>
        <a:stretch/>
      </xdr:blipFill>
      <xdr:spPr>
        <a:xfrm>
          <a:off x="352972" y="173492"/>
          <a:ext cx="1679028" cy="309108"/>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389467</xdr:colOff>
      <xdr:row>2</xdr:row>
      <xdr:rowOff>33867</xdr:rowOff>
    </xdr:from>
    <xdr:to>
      <xdr:col>12</xdr:col>
      <xdr:colOff>541867</xdr:colOff>
      <xdr:row>2</xdr:row>
      <xdr:rowOff>169334</xdr:rowOff>
    </xdr:to>
    <xdr:sp macro="" textlink="">
      <xdr:nvSpPr>
        <xdr:cNvPr id="2" name="Rectangle 1">
          <a:extLst>
            <a:ext uri="{FF2B5EF4-FFF2-40B4-BE49-F238E27FC236}">
              <a16:creationId xmlns:a16="http://schemas.microsoft.com/office/drawing/2014/main" id="{9F8EC8B5-6002-1C2D-A07B-609A0D6B3D15}"/>
            </a:ext>
          </a:extLst>
        </xdr:cNvPr>
        <xdr:cNvSpPr/>
      </xdr:nvSpPr>
      <xdr:spPr>
        <a:xfrm>
          <a:off x="19066934" y="440267"/>
          <a:ext cx="152400" cy="135467"/>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592666</xdr:colOff>
      <xdr:row>2</xdr:row>
      <xdr:rowOff>33867</xdr:rowOff>
    </xdr:from>
    <xdr:to>
      <xdr:col>13</xdr:col>
      <xdr:colOff>745066</xdr:colOff>
      <xdr:row>2</xdr:row>
      <xdr:rowOff>169334</xdr:rowOff>
    </xdr:to>
    <xdr:sp macro="" textlink="">
      <xdr:nvSpPr>
        <xdr:cNvPr id="3" name="Rectangle 2">
          <a:extLst>
            <a:ext uri="{FF2B5EF4-FFF2-40B4-BE49-F238E27FC236}">
              <a16:creationId xmlns:a16="http://schemas.microsoft.com/office/drawing/2014/main" id="{0D539C11-72B4-8C49-9E92-E4DDA444CE7F}"/>
            </a:ext>
          </a:extLst>
        </xdr:cNvPr>
        <xdr:cNvSpPr/>
      </xdr:nvSpPr>
      <xdr:spPr>
        <a:xfrm>
          <a:off x="19871266" y="440267"/>
          <a:ext cx="152400" cy="135467"/>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372533</xdr:colOff>
      <xdr:row>2</xdr:row>
      <xdr:rowOff>42334</xdr:rowOff>
    </xdr:from>
    <xdr:to>
      <xdr:col>14</xdr:col>
      <xdr:colOff>524933</xdr:colOff>
      <xdr:row>2</xdr:row>
      <xdr:rowOff>177801</xdr:rowOff>
    </xdr:to>
    <xdr:sp macro="" textlink="">
      <xdr:nvSpPr>
        <xdr:cNvPr id="4" name="Rectangle 3">
          <a:extLst>
            <a:ext uri="{FF2B5EF4-FFF2-40B4-BE49-F238E27FC236}">
              <a16:creationId xmlns:a16="http://schemas.microsoft.com/office/drawing/2014/main" id="{307B7CFA-84CF-3345-848E-4B492A85AEC1}"/>
            </a:ext>
          </a:extLst>
        </xdr:cNvPr>
        <xdr:cNvSpPr/>
      </xdr:nvSpPr>
      <xdr:spPr>
        <a:xfrm>
          <a:off x="20480866" y="448734"/>
          <a:ext cx="152400" cy="135467"/>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234824</xdr:colOff>
      <xdr:row>67</xdr:row>
      <xdr:rowOff>0</xdr:rowOff>
    </xdr:from>
    <xdr:to>
      <xdr:col>18</xdr:col>
      <xdr:colOff>693450</xdr:colOff>
      <xdr:row>78</xdr:row>
      <xdr:rowOff>77195</xdr:rowOff>
    </xdr:to>
    <xdr:graphicFrame macro="">
      <xdr:nvGraphicFramePr>
        <xdr:cNvPr id="4" name="Chart 3">
          <a:extLst>
            <a:ext uri="{FF2B5EF4-FFF2-40B4-BE49-F238E27FC236}">
              <a16:creationId xmlns:a16="http://schemas.microsoft.com/office/drawing/2014/main" id="{EF4E835E-383C-BA42-A442-B91C162D2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352236</xdr:colOff>
      <xdr:row>18</xdr:row>
      <xdr:rowOff>56244</xdr:rowOff>
    </xdr:from>
    <xdr:to>
      <xdr:col>16</xdr:col>
      <xdr:colOff>718456</xdr:colOff>
      <xdr:row>33</xdr:row>
      <xdr:rowOff>30844</xdr:rowOff>
    </xdr:to>
    <xdr:graphicFrame macro="">
      <xdr:nvGraphicFramePr>
        <xdr:cNvPr id="5" name="Chart 4">
          <a:extLst>
            <a:ext uri="{FF2B5EF4-FFF2-40B4-BE49-F238E27FC236}">
              <a16:creationId xmlns:a16="http://schemas.microsoft.com/office/drawing/2014/main" id="{B6E6A18D-8B0E-5B4F-B0A5-72F5C04BA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491068</xdr:colOff>
      <xdr:row>71</xdr:row>
      <xdr:rowOff>169332</xdr:rowOff>
    </xdr:from>
    <xdr:to>
      <xdr:col>6</xdr:col>
      <xdr:colOff>575735</xdr:colOff>
      <xdr:row>85</xdr:row>
      <xdr:rowOff>176105</xdr:rowOff>
    </xdr:to>
    <xdr:graphicFrame macro="">
      <xdr:nvGraphicFramePr>
        <xdr:cNvPr id="6" name="Chart 5">
          <a:extLst>
            <a:ext uri="{FF2B5EF4-FFF2-40B4-BE49-F238E27FC236}">
              <a16:creationId xmlns:a16="http://schemas.microsoft.com/office/drawing/2014/main" id="{735AB623-D054-1243-831D-3215FD52E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331550</xdr:colOff>
      <xdr:row>1</xdr:row>
      <xdr:rowOff>98622</xdr:rowOff>
    </xdr:from>
    <xdr:to>
      <xdr:col>4</xdr:col>
      <xdr:colOff>530331</xdr:colOff>
      <xdr:row>15</xdr:row>
      <xdr:rowOff>115556</xdr:rowOff>
    </xdr:to>
    <xdr:graphicFrame macro="">
      <xdr:nvGraphicFramePr>
        <xdr:cNvPr id="9" name="Chart 8">
          <a:extLst>
            <a:ext uri="{FF2B5EF4-FFF2-40B4-BE49-F238E27FC236}">
              <a16:creationId xmlns:a16="http://schemas.microsoft.com/office/drawing/2014/main" id="{EC4A940A-5C3B-B64F-ACA5-DBCC6BA11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821266</xdr:colOff>
      <xdr:row>1</xdr:row>
      <xdr:rowOff>71967</xdr:rowOff>
    </xdr:from>
    <xdr:to>
      <xdr:col>14</xdr:col>
      <xdr:colOff>434083</xdr:colOff>
      <xdr:row>15</xdr:row>
      <xdr:rowOff>14888</xdr:rowOff>
    </xdr:to>
    <xdr:graphicFrame macro="">
      <xdr:nvGraphicFramePr>
        <xdr:cNvPr id="10" name="Chart 9">
          <a:extLst>
            <a:ext uri="{FF2B5EF4-FFF2-40B4-BE49-F238E27FC236}">
              <a16:creationId xmlns:a16="http://schemas.microsoft.com/office/drawing/2014/main" id="{728A891F-0E25-2942-B015-A94C34EA5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539750</xdr:colOff>
      <xdr:row>36</xdr:row>
      <xdr:rowOff>163286</xdr:rowOff>
    </xdr:from>
    <xdr:to>
      <xdr:col>6</xdr:col>
      <xdr:colOff>237253</xdr:colOff>
      <xdr:row>49</xdr:row>
      <xdr:rowOff>190500</xdr:rowOff>
    </xdr:to>
    <xdr:graphicFrame macro="">
      <xdr:nvGraphicFramePr>
        <xdr:cNvPr id="2" name="Chart 1">
          <a:extLst>
            <a:ext uri="{FF2B5EF4-FFF2-40B4-BE49-F238E27FC236}">
              <a16:creationId xmlns:a16="http://schemas.microsoft.com/office/drawing/2014/main" id="{5B47098D-1037-51F2-AD6D-B8F604992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xdr:colOff>
      <xdr:row>36</xdr:row>
      <xdr:rowOff>72572</xdr:rowOff>
    </xdr:from>
    <xdr:to>
      <xdr:col>14</xdr:col>
      <xdr:colOff>444501</xdr:colOff>
      <xdr:row>49</xdr:row>
      <xdr:rowOff>192314</xdr:rowOff>
    </xdr:to>
    <xdr:graphicFrame macro="">
      <xdr:nvGraphicFramePr>
        <xdr:cNvPr id="3" name="Chart 2">
          <a:extLst>
            <a:ext uri="{FF2B5EF4-FFF2-40B4-BE49-F238E27FC236}">
              <a16:creationId xmlns:a16="http://schemas.microsoft.com/office/drawing/2014/main" id="{5FD3DE70-C5FE-3440-8C9B-4D5E9E8C5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791883</xdr:colOff>
      <xdr:row>90</xdr:row>
      <xdr:rowOff>152399</xdr:rowOff>
    </xdr:from>
    <xdr:to>
      <xdr:col>9</xdr:col>
      <xdr:colOff>186266</xdr:colOff>
      <xdr:row>102</xdr:row>
      <xdr:rowOff>134470</xdr:rowOff>
    </xdr:to>
    <xdr:graphicFrame macro="">
      <xdr:nvGraphicFramePr>
        <xdr:cNvPr id="8" name="Chart 7">
          <a:extLst>
            <a:ext uri="{FF2B5EF4-FFF2-40B4-BE49-F238E27FC236}">
              <a16:creationId xmlns:a16="http://schemas.microsoft.com/office/drawing/2014/main" id="{14091903-397D-1C6C-28D0-3622A5849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739588</xdr:colOff>
      <xdr:row>91</xdr:row>
      <xdr:rowOff>67734</xdr:rowOff>
    </xdr:from>
    <xdr:to>
      <xdr:col>5</xdr:col>
      <xdr:colOff>795866</xdr:colOff>
      <xdr:row>102</xdr:row>
      <xdr:rowOff>149412</xdr:rowOff>
    </xdr:to>
    <xdr:graphicFrame macro="">
      <xdr:nvGraphicFramePr>
        <xdr:cNvPr id="11" name="Chart 10">
          <a:extLst>
            <a:ext uri="{FF2B5EF4-FFF2-40B4-BE49-F238E27FC236}">
              <a16:creationId xmlns:a16="http://schemas.microsoft.com/office/drawing/2014/main" id="{9FD39E51-3255-32C8-CD04-83E4AC4E8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470646</xdr:colOff>
      <xdr:row>135</xdr:row>
      <xdr:rowOff>36855</xdr:rowOff>
    </xdr:from>
    <xdr:to>
      <xdr:col>14</xdr:col>
      <xdr:colOff>141195</xdr:colOff>
      <xdr:row>148</xdr:row>
      <xdr:rowOff>49554</xdr:rowOff>
    </xdr:to>
    <xdr:graphicFrame macro="">
      <xdr:nvGraphicFramePr>
        <xdr:cNvPr id="14" name="Chart 13">
          <a:extLst>
            <a:ext uri="{FF2B5EF4-FFF2-40B4-BE49-F238E27FC236}">
              <a16:creationId xmlns:a16="http://schemas.microsoft.com/office/drawing/2014/main" id="{46C38586-C122-4686-2292-65C3DE0DB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19</xdr:col>
      <xdr:colOff>0</xdr:colOff>
      <xdr:row>2</xdr:row>
      <xdr:rowOff>0</xdr:rowOff>
    </xdr:from>
    <xdr:to>
      <xdr:col>19</xdr:col>
      <xdr:colOff>304800</xdr:colOff>
      <xdr:row>3</xdr:row>
      <xdr:rowOff>101600</xdr:rowOff>
    </xdr:to>
    <xdr:sp macro="" textlink="">
      <xdr:nvSpPr>
        <xdr:cNvPr id="23" name="AutoShape 1">
          <a:hlinkClick xmlns:r="http://schemas.openxmlformats.org/officeDocument/2006/relationships" r:id="rId11"/>
          <a:extLst>
            <a:ext uri="{FF2B5EF4-FFF2-40B4-BE49-F238E27FC236}">
              <a16:creationId xmlns:a16="http://schemas.microsoft.com/office/drawing/2014/main" id="{9E5B6192-5B32-3E4D-BD94-66F4F10081F9}"/>
            </a:ext>
          </a:extLst>
        </xdr:cNvPr>
        <xdr:cNvSpPr>
          <a:spLocks noChangeAspect="1" noChangeArrowheads="1"/>
        </xdr:cNvSpPr>
      </xdr:nvSpPr>
      <xdr:spPr bwMode="auto">
        <a:xfrm>
          <a:off x="0" y="6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xdr:row>
      <xdr:rowOff>0</xdr:rowOff>
    </xdr:from>
    <xdr:to>
      <xdr:col>19</xdr:col>
      <xdr:colOff>304800</xdr:colOff>
      <xdr:row>4</xdr:row>
      <xdr:rowOff>101600</xdr:rowOff>
    </xdr:to>
    <xdr:sp macro="" textlink="">
      <xdr:nvSpPr>
        <xdr:cNvPr id="24" name="AutoShape 2">
          <a:hlinkClick xmlns:r="http://schemas.openxmlformats.org/officeDocument/2006/relationships" r:id="rId12"/>
          <a:extLst>
            <a:ext uri="{FF2B5EF4-FFF2-40B4-BE49-F238E27FC236}">
              <a16:creationId xmlns:a16="http://schemas.microsoft.com/office/drawing/2014/main" id="{691DDC23-300D-E544-B7E4-16C6EE0FC4BE}"/>
            </a:ext>
          </a:extLst>
        </xdr:cNvPr>
        <xdr:cNvSpPr>
          <a:spLocks noChangeAspect="1" noChangeArrowheads="1"/>
        </xdr:cNvSpPr>
      </xdr:nvSpPr>
      <xdr:spPr bwMode="auto">
        <a:xfrm>
          <a:off x="0" y="8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xdr:row>
      <xdr:rowOff>0</xdr:rowOff>
    </xdr:from>
    <xdr:to>
      <xdr:col>19</xdr:col>
      <xdr:colOff>304800</xdr:colOff>
      <xdr:row>5</xdr:row>
      <xdr:rowOff>101600</xdr:rowOff>
    </xdr:to>
    <xdr:sp macro="" textlink="">
      <xdr:nvSpPr>
        <xdr:cNvPr id="25" name="AutoShape 3">
          <a:hlinkClick xmlns:r="http://schemas.openxmlformats.org/officeDocument/2006/relationships" r:id="rId13"/>
          <a:extLst>
            <a:ext uri="{FF2B5EF4-FFF2-40B4-BE49-F238E27FC236}">
              <a16:creationId xmlns:a16="http://schemas.microsoft.com/office/drawing/2014/main" id="{51324BFD-B9A3-D44A-A61A-11F851AFF9C8}"/>
            </a:ext>
          </a:extLst>
        </xdr:cNvPr>
        <xdr:cNvSpPr>
          <a:spLocks noChangeAspect="1" noChangeArrowheads="1"/>
        </xdr:cNvSpPr>
      </xdr:nvSpPr>
      <xdr:spPr bwMode="auto">
        <a:xfrm>
          <a:off x="0" y="1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xdr:row>
      <xdr:rowOff>0</xdr:rowOff>
    </xdr:from>
    <xdr:to>
      <xdr:col>19</xdr:col>
      <xdr:colOff>304800</xdr:colOff>
      <xdr:row>6</xdr:row>
      <xdr:rowOff>101600</xdr:rowOff>
    </xdr:to>
    <xdr:sp macro="" textlink="">
      <xdr:nvSpPr>
        <xdr:cNvPr id="26" name="AutoShape 4">
          <a:hlinkClick xmlns:r="http://schemas.openxmlformats.org/officeDocument/2006/relationships" r:id="rId14"/>
          <a:extLst>
            <a:ext uri="{FF2B5EF4-FFF2-40B4-BE49-F238E27FC236}">
              <a16:creationId xmlns:a16="http://schemas.microsoft.com/office/drawing/2014/main" id="{4D2B84BF-B51B-5B4D-BFBB-B1DFA8EDAA0E}"/>
            </a:ext>
          </a:extLst>
        </xdr:cNvPr>
        <xdr:cNvSpPr>
          <a:spLocks noChangeAspect="1" noChangeArrowheads="1"/>
        </xdr:cNvSpPr>
      </xdr:nvSpPr>
      <xdr:spPr bwMode="auto">
        <a:xfrm>
          <a:off x="0" y="12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xdr:row>
      <xdr:rowOff>0</xdr:rowOff>
    </xdr:from>
    <xdr:to>
      <xdr:col>19</xdr:col>
      <xdr:colOff>304800</xdr:colOff>
      <xdr:row>7</xdr:row>
      <xdr:rowOff>101600</xdr:rowOff>
    </xdr:to>
    <xdr:sp macro="" textlink="">
      <xdr:nvSpPr>
        <xdr:cNvPr id="27" name="AutoShape 5">
          <a:hlinkClick xmlns:r="http://schemas.openxmlformats.org/officeDocument/2006/relationships" r:id="rId15"/>
          <a:extLst>
            <a:ext uri="{FF2B5EF4-FFF2-40B4-BE49-F238E27FC236}">
              <a16:creationId xmlns:a16="http://schemas.microsoft.com/office/drawing/2014/main" id="{ABCB1547-3F87-8F4D-BB27-B78D7134314D}"/>
            </a:ext>
          </a:extLst>
        </xdr:cNvPr>
        <xdr:cNvSpPr>
          <a:spLocks noChangeAspect="1" noChangeArrowheads="1"/>
        </xdr:cNvSpPr>
      </xdr:nvSpPr>
      <xdr:spPr bwMode="auto">
        <a:xfrm>
          <a:off x="0" y="14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xdr:row>
      <xdr:rowOff>0</xdr:rowOff>
    </xdr:from>
    <xdr:to>
      <xdr:col>19</xdr:col>
      <xdr:colOff>304800</xdr:colOff>
      <xdr:row>8</xdr:row>
      <xdr:rowOff>101600</xdr:rowOff>
    </xdr:to>
    <xdr:sp macro="" textlink="">
      <xdr:nvSpPr>
        <xdr:cNvPr id="28" name="AutoShape 6">
          <a:hlinkClick xmlns:r="http://schemas.openxmlformats.org/officeDocument/2006/relationships" r:id="rId16"/>
          <a:extLst>
            <a:ext uri="{FF2B5EF4-FFF2-40B4-BE49-F238E27FC236}">
              <a16:creationId xmlns:a16="http://schemas.microsoft.com/office/drawing/2014/main" id="{ED865966-7CE8-DF46-8DCA-EC979A0BBCA6}"/>
            </a:ext>
          </a:extLst>
        </xdr:cNvPr>
        <xdr:cNvSpPr>
          <a:spLocks noChangeAspect="1" noChangeArrowheads="1"/>
        </xdr:cNvSpPr>
      </xdr:nvSpPr>
      <xdr:spPr bwMode="auto">
        <a:xfrm>
          <a:off x="0" y="16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xdr:row>
      <xdr:rowOff>0</xdr:rowOff>
    </xdr:from>
    <xdr:to>
      <xdr:col>19</xdr:col>
      <xdr:colOff>304800</xdr:colOff>
      <xdr:row>9</xdr:row>
      <xdr:rowOff>101600</xdr:rowOff>
    </xdr:to>
    <xdr:sp macro="" textlink="">
      <xdr:nvSpPr>
        <xdr:cNvPr id="29" name="AutoShape 7">
          <a:hlinkClick xmlns:r="http://schemas.openxmlformats.org/officeDocument/2006/relationships" r:id="rId17"/>
          <a:extLst>
            <a:ext uri="{FF2B5EF4-FFF2-40B4-BE49-F238E27FC236}">
              <a16:creationId xmlns:a16="http://schemas.microsoft.com/office/drawing/2014/main" id="{7BF33716-2C32-0E4A-91C5-497809133A8E}"/>
            </a:ext>
          </a:extLst>
        </xdr:cNvPr>
        <xdr:cNvSpPr>
          <a:spLocks noChangeAspect="1" noChangeArrowheads="1"/>
        </xdr:cNvSpPr>
      </xdr:nvSpPr>
      <xdr:spPr bwMode="auto">
        <a:xfrm>
          <a:off x="0" y="18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xdr:row>
      <xdr:rowOff>0</xdr:rowOff>
    </xdr:from>
    <xdr:to>
      <xdr:col>19</xdr:col>
      <xdr:colOff>304800</xdr:colOff>
      <xdr:row>10</xdr:row>
      <xdr:rowOff>101600</xdr:rowOff>
    </xdr:to>
    <xdr:sp macro="" textlink="">
      <xdr:nvSpPr>
        <xdr:cNvPr id="30" name="AutoShape 8">
          <a:hlinkClick xmlns:r="http://schemas.openxmlformats.org/officeDocument/2006/relationships" r:id="rId18"/>
          <a:extLst>
            <a:ext uri="{FF2B5EF4-FFF2-40B4-BE49-F238E27FC236}">
              <a16:creationId xmlns:a16="http://schemas.microsoft.com/office/drawing/2014/main" id="{F7024BC7-2DA6-494D-A8AB-FA156FB51645}"/>
            </a:ext>
          </a:extLst>
        </xdr:cNvPr>
        <xdr:cNvSpPr>
          <a:spLocks noChangeAspect="1" noChangeArrowheads="1"/>
        </xdr:cNvSpPr>
      </xdr:nvSpPr>
      <xdr:spPr bwMode="auto">
        <a:xfrm>
          <a:off x="0" y="20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xdr:row>
      <xdr:rowOff>0</xdr:rowOff>
    </xdr:from>
    <xdr:to>
      <xdr:col>19</xdr:col>
      <xdr:colOff>304800</xdr:colOff>
      <xdr:row>11</xdr:row>
      <xdr:rowOff>101600</xdr:rowOff>
    </xdr:to>
    <xdr:sp macro="" textlink="">
      <xdr:nvSpPr>
        <xdr:cNvPr id="31" name="AutoShape 9">
          <a:hlinkClick xmlns:r="http://schemas.openxmlformats.org/officeDocument/2006/relationships" r:id="rId19"/>
          <a:extLst>
            <a:ext uri="{FF2B5EF4-FFF2-40B4-BE49-F238E27FC236}">
              <a16:creationId xmlns:a16="http://schemas.microsoft.com/office/drawing/2014/main" id="{A65FB96B-030B-8645-A543-B3B3FF209A99}"/>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xdr:row>
      <xdr:rowOff>0</xdr:rowOff>
    </xdr:from>
    <xdr:to>
      <xdr:col>19</xdr:col>
      <xdr:colOff>304800</xdr:colOff>
      <xdr:row>12</xdr:row>
      <xdr:rowOff>101600</xdr:rowOff>
    </xdr:to>
    <xdr:sp macro="" textlink="">
      <xdr:nvSpPr>
        <xdr:cNvPr id="32" name="AutoShape 10">
          <a:hlinkClick xmlns:r="http://schemas.openxmlformats.org/officeDocument/2006/relationships" r:id="rId20"/>
          <a:extLst>
            <a:ext uri="{FF2B5EF4-FFF2-40B4-BE49-F238E27FC236}">
              <a16:creationId xmlns:a16="http://schemas.microsoft.com/office/drawing/2014/main" id="{3E42F332-F607-6446-96D1-73A10BCC5095}"/>
            </a:ext>
          </a:extLst>
        </xdr:cNvPr>
        <xdr:cNvSpPr>
          <a:spLocks noChangeAspect="1" noChangeArrowheads="1"/>
        </xdr:cNvSpPr>
      </xdr:nvSpPr>
      <xdr:spPr bwMode="auto">
        <a:xfrm>
          <a:off x="0" y="24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xdr:row>
      <xdr:rowOff>0</xdr:rowOff>
    </xdr:from>
    <xdr:to>
      <xdr:col>19</xdr:col>
      <xdr:colOff>304800</xdr:colOff>
      <xdr:row>13</xdr:row>
      <xdr:rowOff>101600</xdr:rowOff>
    </xdr:to>
    <xdr:sp macro="" textlink="">
      <xdr:nvSpPr>
        <xdr:cNvPr id="33" name="AutoShape 11">
          <a:hlinkClick xmlns:r="http://schemas.openxmlformats.org/officeDocument/2006/relationships" r:id="rId21"/>
          <a:extLst>
            <a:ext uri="{FF2B5EF4-FFF2-40B4-BE49-F238E27FC236}">
              <a16:creationId xmlns:a16="http://schemas.microsoft.com/office/drawing/2014/main" id="{52E1D39F-A4F8-9E4F-A38F-65D7682F2384}"/>
            </a:ext>
          </a:extLst>
        </xdr:cNvPr>
        <xdr:cNvSpPr>
          <a:spLocks noChangeAspect="1" noChangeArrowheads="1"/>
        </xdr:cNvSpPr>
      </xdr:nvSpPr>
      <xdr:spPr bwMode="auto">
        <a:xfrm>
          <a:off x="0" y="26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xdr:row>
      <xdr:rowOff>0</xdr:rowOff>
    </xdr:from>
    <xdr:to>
      <xdr:col>19</xdr:col>
      <xdr:colOff>304800</xdr:colOff>
      <xdr:row>14</xdr:row>
      <xdr:rowOff>101600</xdr:rowOff>
    </xdr:to>
    <xdr:sp macro="" textlink="">
      <xdr:nvSpPr>
        <xdr:cNvPr id="34" name="AutoShape 12">
          <a:hlinkClick xmlns:r="http://schemas.openxmlformats.org/officeDocument/2006/relationships" r:id="rId22"/>
          <a:extLst>
            <a:ext uri="{FF2B5EF4-FFF2-40B4-BE49-F238E27FC236}">
              <a16:creationId xmlns:a16="http://schemas.microsoft.com/office/drawing/2014/main" id="{6BF8112A-C472-E241-97F2-62649F760696}"/>
            </a:ext>
          </a:extLst>
        </xdr:cNvPr>
        <xdr:cNvSpPr>
          <a:spLocks noChangeAspect="1" noChangeArrowheads="1"/>
        </xdr:cNvSpPr>
      </xdr:nvSpPr>
      <xdr:spPr bwMode="auto">
        <a:xfrm>
          <a:off x="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xdr:row>
      <xdr:rowOff>0</xdr:rowOff>
    </xdr:from>
    <xdr:to>
      <xdr:col>19</xdr:col>
      <xdr:colOff>304800</xdr:colOff>
      <xdr:row>15</xdr:row>
      <xdr:rowOff>101600</xdr:rowOff>
    </xdr:to>
    <xdr:sp macro="" textlink="">
      <xdr:nvSpPr>
        <xdr:cNvPr id="35" name="AutoShape 13">
          <a:hlinkClick xmlns:r="http://schemas.openxmlformats.org/officeDocument/2006/relationships" r:id="rId23"/>
          <a:extLst>
            <a:ext uri="{FF2B5EF4-FFF2-40B4-BE49-F238E27FC236}">
              <a16:creationId xmlns:a16="http://schemas.microsoft.com/office/drawing/2014/main" id="{54D981FD-DB88-4645-A1D1-11C8BF5E8225}"/>
            </a:ext>
          </a:extLst>
        </xdr:cNvPr>
        <xdr:cNvSpPr>
          <a:spLocks noChangeAspect="1" noChangeArrowheads="1"/>
        </xdr:cNvSpPr>
      </xdr:nvSpPr>
      <xdr:spPr bwMode="auto">
        <a:xfrm>
          <a:off x="0" y="30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xdr:row>
      <xdr:rowOff>0</xdr:rowOff>
    </xdr:from>
    <xdr:to>
      <xdr:col>19</xdr:col>
      <xdr:colOff>304800</xdr:colOff>
      <xdr:row>16</xdr:row>
      <xdr:rowOff>101600</xdr:rowOff>
    </xdr:to>
    <xdr:sp macro="" textlink="">
      <xdr:nvSpPr>
        <xdr:cNvPr id="36" name="AutoShape 14">
          <a:hlinkClick xmlns:r="http://schemas.openxmlformats.org/officeDocument/2006/relationships" r:id="rId24"/>
          <a:extLst>
            <a:ext uri="{FF2B5EF4-FFF2-40B4-BE49-F238E27FC236}">
              <a16:creationId xmlns:a16="http://schemas.microsoft.com/office/drawing/2014/main" id="{5358061A-68E4-9745-AA6C-CE4FB5118A78}"/>
            </a:ext>
          </a:extLst>
        </xdr:cNvPr>
        <xdr:cNvSpPr>
          <a:spLocks noChangeAspect="1" noChangeArrowheads="1"/>
        </xdr:cNvSpPr>
      </xdr:nvSpPr>
      <xdr:spPr bwMode="auto">
        <a:xfrm>
          <a:off x="0" y="32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xdr:row>
      <xdr:rowOff>0</xdr:rowOff>
    </xdr:from>
    <xdr:to>
      <xdr:col>19</xdr:col>
      <xdr:colOff>304800</xdr:colOff>
      <xdr:row>17</xdr:row>
      <xdr:rowOff>101600</xdr:rowOff>
    </xdr:to>
    <xdr:sp macro="" textlink="">
      <xdr:nvSpPr>
        <xdr:cNvPr id="37" name="AutoShape 15">
          <a:hlinkClick xmlns:r="http://schemas.openxmlformats.org/officeDocument/2006/relationships" r:id="rId25"/>
          <a:extLst>
            <a:ext uri="{FF2B5EF4-FFF2-40B4-BE49-F238E27FC236}">
              <a16:creationId xmlns:a16="http://schemas.microsoft.com/office/drawing/2014/main" id="{01AD8F1B-F7A9-D943-8772-9CDCB49B9D2B}"/>
            </a:ext>
          </a:extLst>
        </xdr:cNvPr>
        <xdr:cNvSpPr>
          <a:spLocks noChangeAspect="1" noChangeArrowheads="1"/>
        </xdr:cNvSpPr>
      </xdr:nvSpPr>
      <xdr:spPr bwMode="auto">
        <a:xfrm>
          <a:off x="0" y="34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xdr:row>
      <xdr:rowOff>0</xdr:rowOff>
    </xdr:from>
    <xdr:to>
      <xdr:col>19</xdr:col>
      <xdr:colOff>304800</xdr:colOff>
      <xdr:row>18</xdr:row>
      <xdr:rowOff>101600</xdr:rowOff>
    </xdr:to>
    <xdr:sp macro="" textlink="">
      <xdr:nvSpPr>
        <xdr:cNvPr id="38" name="AutoShape 16">
          <a:hlinkClick xmlns:r="http://schemas.openxmlformats.org/officeDocument/2006/relationships" r:id="rId26"/>
          <a:extLst>
            <a:ext uri="{FF2B5EF4-FFF2-40B4-BE49-F238E27FC236}">
              <a16:creationId xmlns:a16="http://schemas.microsoft.com/office/drawing/2014/main" id="{63A670FF-D022-4945-A45D-6FBAA62797B6}"/>
            </a:ext>
          </a:extLst>
        </xdr:cNvPr>
        <xdr:cNvSpPr>
          <a:spLocks noChangeAspect="1" noChangeArrowheads="1"/>
        </xdr:cNvSpPr>
      </xdr:nvSpPr>
      <xdr:spPr bwMode="auto">
        <a:xfrm>
          <a:off x="0" y="36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xdr:row>
      <xdr:rowOff>0</xdr:rowOff>
    </xdr:from>
    <xdr:to>
      <xdr:col>19</xdr:col>
      <xdr:colOff>304800</xdr:colOff>
      <xdr:row>18</xdr:row>
      <xdr:rowOff>304800</xdr:rowOff>
    </xdr:to>
    <xdr:sp macro="" textlink="">
      <xdr:nvSpPr>
        <xdr:cNvPr id="39" name="AutoShape 17">
          <a:hlinkClick xmlns:r="http://schemas.openxmlformats.org/officeDocument/2006/relationships" r:id="rId27"/>
          <a:extLst>
            <a:ext uri="{FF2B5EF4-FFF2-40B4-BE49-F238E27FC236}">
              <a16:creationId xmlns:a16="http://schemas.microsoft.com/office/drawing/2014/main" id="{BC6C6AFC-DA85-CB49-A1B3-06D5E102F9F8}"/>
            </a:ext>
          </a:extLst>
        </xdr:cNvPr>
        <xdr:cNvSpPr>
          <a:spLocks noChangeAspect="1" noChangeArrowheads="1"/>
        </xdr:cNvSpPr>
      </xdr:nvSpPr>
      <xdr:spPr bwMode="auto">
        <a:xfrm>
          <a:off x="0" y="38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19</xdr:row>
      <xdr:rowOff>0</xdr:rowOff>
    </xdr:from>
    <xdr:to>
      <xdr:col>19</xdr:col>
      <xdr:colOff>304800</xdr:colOff>
      <xdr:row>20</xdr:row>
      <xdr:rowOff>101600</xdr:rowOff>
    </xdr:to>
    <xdr:sp macro="" textlink="">
      <xdr:nvSpPr>
        <xdr:cNvPr id="40" name="AutoShape 18">
          <a:hlinkClick xmlns:r="http://schemas.openxmlformats.org/officeDocument/2006/relationships" r:id="rId28"/>
          <a:extLst>
            <a:ext uri="{FF2B5EF4-FFF2-40B4-BE49-F238E27FC236}">
              <a16:creationId xmlns:a16="http://schemas.microsoft.com/office/drawing/2014/main" id="{FF59F2CA-8923-7E45-BDB3-6D55D13A0A9E}"/>
            </a:ext>
          </a:extLst>
        </xdr:cNvPr>
        <xdr:cNvSpPr>
          <a:spLocks noChangeAspect="1" noChangeArrowheads="1"/>
        </xdr:cNvSpPr>
      </xdr:nvSpPr>
      <xdr:spPr bwMode="auto">
        <a:xfrm>
          <a:off x="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20</xdr:row>
      <xdr:rowOff>0</xdr:rowOff>
    </xdr:from>
    <xdr:to>
      <xdr:col>19</xdr:col>
      <xdr:colOff>304800</xdr:colOff>
      <xdr:row>21</xdr:row>
      <xdr:rowOff>101600</xdr:rowOff>
    </xdr:to>
    <xdr:sp macro="" textlink="">
      <xdr:nvSpPr>
        <xdr:cNvPr id="41" name="AutoShape 19">
          <a:hlinkClick xmlns:r="http://schemas.openxmlformats.org/officeDocument/2006/relationships" r:id="rId29"/>
          <a:extLst>
            <a:ext uri="{FF2B5EF4-FFF2-40B4-BE49-F238E27FC236}">
              <a16:creationId xmlns:a16="http://schemas.microsoft.com/office/drawing/2014/main" id="{9DF3C642-AB90-0440-9360-D32CE89C694C}"/>
            </a:ext>
          </a:extLst>
        </xdr:cNvPr>
        <xdr:cNvSpPr>
          <a:spLocks noChangeAspect="1" noChangeArrowheads="1"/>
        </xdr:cNvSpPr>
      </xdr:nvSpPr>
      <xdr:spPr bwMode="auto">
        <a:xfrm>
          <a:off x="0" y="42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21</xdr:row>
      <xdr:rowOff>0</xdr:rowOff>
    </xdr:from>
    <xdr:to>
      <xdr:col>19</xdr:col>
      <xdr:colOff>304800</xdr:colOff>
      <xdr:row>21</xdr:row>
      <xdr:rowOff>304800</xdr:rowOff>
    </xdr:to>
    <xdr:sp macro="" textlink="">
      <xdr:nvSpPr>
        <xdr:cNvPr id="42" name="AutoShape 20">
          <a:hlinkClick xmlns:r="http://schemas.openxmlformats.org/officeDocument/2006/relationships" r:id="rId30"/>
          <a:extLst>
            <a:ext uri="{FF2B5EF4-FFF2-40B4-BE49-F238E27FC236}">
              <a16:creationId xmlns:a16="http://schemas.microsoft.com/office/drawing/2014/main" id="{6A73C343-536B-BD48-ACB9-A75CEB5878EC}"/>
            </a:ext>
          </a:extLst>
        </xdr:cNvPr>
        <xdr:cNvSpPr>
          <a:spLocks noChangeAspect="1" noChangeArrowheads="1"/>
        </xdr:cNvSpPr>
      </xdr:nvSpPr>
      <xdr:spPr bwMode="auto">
        <a:xfrm>
          <a:off x="0" y="4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22</xdr:row>
      <xdr:rowOff>0</xdr:rowOff>
    </xdr:from>
    <xdr:to>
      <xdr:col>19</xdr:col>
      <xdr:colOff>304800</xdr:colOff>
      <xdr:row>23</xdr:row>
      <xdr:rowOff>101600</xdr:rowOff>
    </xdr:to>
    <xdr:sp macro="" textlink="">
      <xdr:nvSpPr>
        <xdr:cNvPr id="43" name="AutoShape 21">
          <a:hlinkClick xmlns:r="http://schemas.openxmlformats.org/officeDocument/2006/relationships" r:id="rId31"/>
          <a:extLst>
            <a:ext uri="{FF2B5EF4-FFF2-40B4-BE49-F238E27FC236}">
              <a16:creationId xmlns:a16="http://schemas.microsoft.com/office/drawing/2014/main" id="{78A95E51-22A7-CC42-992D-72451B940181}"/>
            </a:ext>
          </a:extLst>
        </xdr:cNvPr>
        <xdr:cNvSpPr>
          <a:spLocks noChangeAspect="1" noChangeArrowheads="1"/>
        </xdr:cNvSpPr>
      </xdr:nvSpPr>
      <xdr:spPr bwMode="auto">
        <a:xfrm>
          <a:off x="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23</xdr:row>
      <xdr:rowOff>0</xdr:rowOff>
    </xdr:from>
    <xdr:to>
      <xdr:col>19</xdr:col>
      <xdr:colOff>304800</xdr:colOff>
      <xdr:row>24</xdr:row>
      <xdr:rowOff>101600</xdr:rowOff>
    </xdr:to>
    <xdr:sp macro="" textlink="">
      <xdr:nvSpPr>
        <xdr:cNvPr id="44" name="AutoShape 22">
          <a:hlinkClick xmlns:r="http://schemas.openxmlformats.org/officeDocument/2006/relationships" r:id="rId32"/>
          <a:extLst>
            <a:ext uri="{FF2B5EF4-FFF2-40B4-BE49-F238E27FC236}">
              <a16:creationId xmlns:a16="http://schemas.microsoft.com/office/drawing/2014/main" id="{15559D4D-FAF1-A043-AEC3-940BAC1E6868}"/>
            </a:ext>
          </a:extLst>
        </xdr:cNvPr>
        <xdr:cNvSpPr>
          <a:spLocks noChangeAspect="1" noChangeArrowheads="1"/>
        </xdr:cNvSpPr>
      </xdr:nvSpPr>
      <xdr:spPr bwMode="auto">
        <a:xfrm>
          <a:off x="0" y="48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24</xdr:row>
      <xdr:rowOff>0</xdr:rowOff>
    </xdr:from>
    <xdr:to>
      <xdr:col>19</xdr:col>
      <xdr:colOff>304800</xdr:colOff>
      <xdr:row>24</xdr:row>
      <xdr:rowOff>304800</xdr:rowOff>
    </xdr:to>
    <xdr:sp macro="" textlink="">
      <xdr:nvSpPr>
        <xdr:cNvPr id="45" name="AutoShape 23">
          <a:hlinkClick xmlns:r="http://schemas.openxmlformats.org/officeDocument/2006/relationships" r:id="rId33"/>
          <a:extLst>
            <a:ext uri="{FF2B5EF4-FFF2-40B4-BE49-F238E27FC236}">
              <a16:creationId xmlns:a16="http://schemas.microsoft.com/office/drawing/2014/main" id="{C4924C64-65DA-DD42-A582-3BFC430B033A}"/>
            </a:ext>
          </a:extLst>
        </xdr:cNvPr>
        <xdr:cNvSpPr>
          <a:spLocks noChangeAspect="1" noChangeArrowheads="1"/>
        </xdr:cNvSpPr>
      </xdr:nvSpPr>
      <xdr:spPr bwMode="auto">
        <a:xfrm>
          <a:off x="0" y="50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25</xdr:row>
      <xdr:rowOff>0</xdr:rowOff>
    </xdr:from>
    <xdr:to>
      <xdr:col>19</xdr:col>
      <xdr:colOff>304800</xdr:colOff>
      <xdr:row>26</xdr:row>
      <xdr:rowOff>101600</xdr:rowOff>
    </xdr:to>
    <xdr:sp macro="" textlink="">
      <xdr:nvSpPr>
        <xdr:cNvPr id="46" name="AutoShape 24">
          <a:hlinkClick xmlns:r="http://schemas.openxmlformats.org/officeDocument/2006/relationships" r:id="rId34"/>
          <a:extLst>
            <a:ext uri="{FF2B5EF4-FFF2-40B4-BE49-F238E27FC236}">
              <a16:creationId xmlns:a16="http://schemas.microsoft.com/office/drawing/2014/main" id="{421C6DEE-AFA5-DA48-A979-E9EAE07C850D}"/>
            </a:ext>
          </a:extLst>
        </xdr:cNvPr>
        <xdr:cNvSpPr>
          <a:spLocks noChangeAspect="1" noChangeArrowheads="1"/>
        </xdr:cNvSpPr>
      </xdr:nvSpPr>
      <xdr:spPr bwMode="auto">
        <a:xfrm>
          <a:off x="0" y="52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26</xdr:row>
      <xdr:rowOff>0</xdr:rowOff>
    </xdr:from>
    <xdr:to>
      <xdr:col>19</xdr:col>
      <xdr:colOff>304800</xdr:colOff>
      <xdr:row>27</xdr:row>
      <xdr:rowOff>101600</xdr:rowOff>
    </xdr:to>
    <xdr:sp macro="" textlink="">
      <xdr:nvSpPr>
        <xdr:cNvPr id="47" name="AutoShape 25">
          <a:hlinkClick xmlns:r="http://schemas.openxmlformats.org/officeDocument/2006/relationships" r:id="rId35"/>
          <a:extLst>
            <a:ext uri="{FF2B5EF4-FFF2-40B4-BE49-F238E27FC236}">
              <a16:creationId xmlns:a16="http://schemas.microsoft.com/office/drawing/2014/main" id="{4231F77E-04C5-E44C-9C69-CA175F465915}"/>
            </a:ext>
          </a:extLst>
        </xdr:cNvPr>
        <xdr:cNvSpPr>
          <a:spLocks noChangeAspect="1" noChangeArrowheads="1"/>
        </xdr:cNvSpPr>
      </xdr:nvSpPr>
      <xdr:spPr bwMode="auto">
        <a:xfrm>
          <a:off x="0" y="54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27</xdr:row>
      <xdr:rowOff>0</xdr:rowOff>
    </xdr:from>
    <xdr:to>
      <xdr:col>19</xdr:col>
      <xdr:colOff>304800</xdr:colOff>
      <xdr:row>28</xdr:row>
      <xdr:rowOff>101600</xdr:rowOff>
    </xdr:to>
    <xdr:sp macro="" textlink="">
      <xdr:nvSpPr>
        <xdr:cNvPr id="48" name="AutoShape 26">
          <a:hlinkClick xmlns:r="http://schemas.openxmlformats.org/officeDocument/2006/relationships" r:id="rId36"/>
          <a:extLst>
            <a:ext uri="{FF2B5EF4-FFF2-40B4-BE49-F238E27FC236}">
              <a16:creationId xmlns:a16="http://schemas.microsoft.com/office/drawing/2014/main" id="{48B5EF5C-7F41-FC40-994B-A7FC9DEFBCD0}"/>
            </a:ext>
          </a:extLst>
        </xdr:cNvPr>
        <xdr:cNvSpPr>
          <a:spLocks noChangeAspect="1" noChangeArrowheads="1"/>
        </xdr:cNvSpPr>
      </xdr:nvSpPr>
      <xdr:spPr bwMode="auto">
        <a:xfrm>
          <a:off x="0" y="57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28</xdr:row>
      <xdr:rowOff>0</xdr:rowOff>
    </xdr:from>
    <xdr:to>
      <xdr:col>19</xdr:col>
      <xdr:colOff>304800</xdr:colOff>
      <xdr:row>29</xdr:row>
      <xdr:rowOff>101600</xdr:rowOff>
    </xdr:to>
    <xdr:sp macro="" textlink="">
      <xdr:nvSpPr>
        <xdr:cNvPr id="49" name="AutoShape 27">
          <a:hlinkClick xmlns:r="http://schemas.openxmlformats.org/officeDocument/2006/relationships" r:id="rId37"/>
          <a:extLst>
            <a:ext uri="{FF2B5EF4-FFF2-40B4-BE49-F238E27FC236}">
              <a16:creationId xmlns:a16="http://schemas.microsoft.com/office/drawing/2014/main" id="{B9527314-3F81-B743-B0B7-4F99607D60FC}"/>
            </a:ext>
          </a:extLst>
        </xdr:cNvPr>
        <xdr:cNvSpPr>
          <a:spLocks noChangeAspect="1" noChangeArrowheads="1"/>
        </xdr:cNvSpPr>
      </xdr:nvSpPr>
      <xdr:spPr bwMode="auto">
        <a:xfrm>
          <a:off x="0" y="59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29</xdr:row>
      <xdr:rowOff>0</xdr:rowOff>
    </xdr:from>
    <xdr:to>
      <xdr:col>19</xdr:col>
      <xdr:colOff>304800</xdr:colOff>
      <xdr:row>30</xdr:row>
      <xdr:rowOff>101600</xdr:rowOff>
    </xdr:to>
    <xdr:sp macro="" textlink="">
      <xdr:nvSpPr>
        <xdr:cNvPr id="50" name="AutoShape 28">
          <a:hlinkClick xmlns:r="http://schemas.openxmlformats.org/officeDocument/2006/relationships" r:id="rId38"/>
          <a:extLst>
            <a:ext uri="{FF2B5EF4-FFF2-40B4-BE49-F238E27FC236}">
              <a16:creationId xmlns:a16="http://schemas.microsoft.com/office/drawing/2014/main" id="{320E60B8-B066-224F-A0E0-E84D3D20D5C5}"/>
            </a:ext>
          </a:extLst>
        </xdr:cNvPr>
        <xdr:cNvSpPr>
          <a:spLocks noChangeAspect="1" noChangeArrowheads="1"/>
        </xdr:cNvSpPr>
      </xdr:nvSpPr>
      <xdr:spPr bwMode="auto">
        <a:xfrm>
          <a:off x="0" y="61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30</xdr:row>
      <xdr:rowOff>0</xdr:rowOff>
    </xdr:from>
    <xdr:to>
      <xdr:col>19</xdr:col>
      <xdr:colOff>304800</xdr:colOff>
      <xdr:row>31</xdr:row>
      <xdr:rowOff>101600</xdr:rowOff>
    </xdr:to>
    <xdr:sp macro="" textlink="">
      <xdr:nvSpPr>
        <xdr:cNvPr id="51" name="AutoShape 29">
          <a:hlinkClick xmlns:r="http://schemas.openxmlformats.org/officeDocument/2006/relationships" r:id="rId39"/>
          <a:extLst>
            <a:ext uri="{FF2B5EF4-FFF2-40B4-BE49-F238E27FC236}">
              <a16:creationId xmlns:a16="http://schemas.microsoft.com/office/drawing/2014/main" id="{D8163D15-2144-B943-A0C4-82191A3DE6E0}"/>
            </a:ext>
          </a:extLst>
        </xdr:cNvPr>
        <xdr:cNvSpPr>
          <a:spLocks noChangeAspect="1" noChangeArrowheads="1"/>
        </xdr:cNvSpPr>
      </xdr:nvSpPr>
      <xdr:spPr bwMode="auto">
        <a:xfrm>
          <a:off x="0" y="63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31</xdr:row>
      <xdr:rowOff>0</xdr:rowOff>
    </xdr:from>
    <xdr:to>
      <xdr:col>19</xdr:col>
      <xdr:colOff>304800</xdr:colOff>
      <xdr:row>32</xdr:row>
      <xdr:rowOff>101600</xdr:rowOff>
    </xdr:to>
    <xdr:sp macro="" textlink="">
      <xdr:nvSpPr>
        <xdr:cNvPr id="52" name="AutoShape 30">
          <a:hlinkClick xmlns:r="http://schemas.openxmlformats.org/officeDocument/2006/relationships" r:id="rId40"/>
          <a:extLst>
            <a:ext uri="{FF2B5EF4-FFF2-40B4-BE49-F238E27FC236}">
              <a16:creationId xmlns:a16="http://schemas.microsoft.com/office/drawing/2014/main" id="{F13F2BFE-D5C8-1A47-88F0-DE4667B16EAB}"/>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32</xdr:row>
      <xdr:rowOff>0</xdr:rowOff>
    </xdr:from>
    <xdr:to>
      <xdr:col>19</xdr:col>
      <xdr:colOff>304800</xdr:colOff>
      <xdr:row>33</xdr:row>
      <xdr:rowOff>101600</xdr:rowOff>
    </xdr:to>
    <xdr:sp macro="" textlink="">
      <xdr:nvSpPr>
        <xdr:cNvPr id="53" name="AutoShape 31">
          <a:hlinkClick xmlns:r="http://schemas.openxmlformats.org/officeDocument/2006/relationships" r:id="rId41"/>
          <a:extLst>
            <a:ext uri="{FF2B5EF4-FFF2-40B4-BE49-F238E27FC236}">
              <a16:creationId xmlns:a16="http://schemas.microsoft.com/office/drawing/2014/main" id="{7AB6AF2F-DF4E-1E46-A4CB-0CC65109B7F3}"/>
            </a:ext>
          </a:extLst>
        </xdr:cNvPr>
        <xdr:cNvSpPr>
          <a:spLocks noChangeAspect="1" noChangeArrowheads="1"/>
        </xdr:cNvSpPr>
      </xdr:nvSpPr>
      <xdr:spPr bwMode="auto">
        <a:xfrm>
          <a:off x="0" y="67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33</xdr:row>
      <xdr:rowOff>0</xdr:rowOff>
    </xdr:from>
    <xdr:to>
      <xdr:col>19</xdr:col>
      <xdr:colOff>304800</xdr:colOff>
      <xdr:row>34</xdr:row>
      <xdr:rowOff>101600</xdr:rowOff>
    </xdr:to>
    <xdr:sp macro="" textlink="">
      <xdr:nvSpPr>
        <xdr:cNvPr id="54" name="AutoShape 32">
          <a:hlinkClick xmlns:r="http://schemas.openxmlformats.org/officeDocument/2006/relationships" r:id="rId42"/>
          <a:extLst>
            <a:ext uri="{FF2B5EF4-FFF2-40B4-BE49-F238E27FC236}">
              <a16:creationId xmlns:a16="http://schemas.microsoft.com/office/drawing/2014/main" id="{6BF240F9-E15C-2741-B6D8-D64A48DCA192}"/>
            </a:ext>
          </a:extLst>
        </xdr:cNvPr>
        <xdr:cNvSpPr>
          <a:spLocks noChangeAspect="1" noChangeArrowheads="1"/>
        </xdr:cNvSpPr>
      </xdr:nvSpPr>
      <xdr:spPr bwMode="auto">
        <a:xfrm>
          <a:off x="0" y="69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34</xdr:row>
      <xdr:rowOff>0</xdr:rowOff>
    </xdr:from>
    <xdr:to>
      <xdr:col>19</xdr:col>
      <xdr:colOff>304800</xdr:colOff>
      <xdr:row>35</xdr:row>
      <xdr:rowOff>101600</xdr:rowOff>
    </xdr:to>
    <xdr:sp macro="" textlink="">
      <xdr:nvSpPr>
        <xdr:cNvPr id="55" name="AutoShape 33">
          <a:hlinkClick xmlns:r="http://schemas.openxmlformats.org/officeDocument/2006/relationships" r:id="rId43"/>
          <a:extLst>
            <a:ext uri="{FF2B5EF4-FFF2-40B4-BE49-F238E27FC236}">
              <a16:creationId xmlns:a16="http://schemas.microsoft.com/office/drawing/2014/main" id="{1599DEDD-E5E4-7940-ABC9-B849C8B9E28B}"/>
            </a:ext>
          </a:extLst>
        </xdr:cNvPr>
        <xdr:cNvSpPr>
          <a:spLocks noChangeAspect="1" noChangeArrowheads="1"/>
        </xdr:cNvSpPr>
      </xdr:nvSpPr>
      <xdr:spPr bwMode="auto">
        <a:xfrm>
          <a:off x="0" y="71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35</xdr:row>
      <xdr:rowOff>0</xdr:rowOff>
    </xdr:from>
    <xdr:to>
      <xdr:col>19</xdr:col>
      <xdr:colOff>304800</xdr:colOff>
      <xdr:row>36</xdr:row>
      <xdr:rowOff>101600</xdr:rowOff>
    </xdr:to>
    <xdr:sp macro="" textlink="">
      <xdr:nvSpPr>
        <xdr:cNvPr id="56" name="AutoShape 34">
          <a:hlinkClick xmlns:r="http://schemas.openxmlformats.org/officeDocument/2006/relationships" r:id="rId44"/>
          <a:extLst>
            <a:ext uri="{FF2B5EF4-FFF2-40B4-BE49-F238E27FC236}">
              <a16:creationId xmlns:a16="http://schemas.microsoft.com/office/drawing/2014/main" id="{BBA154AE-6B9E-DD4C-91B5-C3010585DFE9}"/>
            </a:ext>
          </a:extLst>
        </xdr:cNvPr>
        <xdr:cNvSpPr>
          <a:spLocks noChangeAspect="1" noChangeArrowheads="1"/>
        </xdr:cNvSpPr>
      </xdr:nvSpPr>
      <xdr:spPr bwMode="auto">
        <a:xfrm>
          <a:off x="0" y="73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36</xdr:row>
      <xdr:rowOff>0</xdr:rowOff>
    </xdr:from>
    <xdr:to>
      <xdr:col>19</xdr:col>
      <xdr:colOff>304800</xdr:colOff>
      <xdr:row>37</xdr:row>
      <xdr:rowOff>101600</xdr:rowOff>
    </xdr:to>
    <xdr:sp macro="" textlink="">
      <xdr:nvSpPr>
        <xdr:cNvPr id="57" name="AutoShape 35">
          <a:hlinkClick xmlns:r="http://schemas.openxmlformats.org/officeDocument/2006/relationships" r:id="rId45"/>
          <a:extLst>
            <a:ext uri="{FF2B5EF4-FFF2-40B4-BE49-F238E27FC236}">
              <a16:creationId xmlns:a16="http://schemas.microsoft.com/office/drawing/2014/main" id="{2E02EBC0-F4A0-F842-B233-EC9B5BE99460}"/>
            </a:ext>
          </a:extLst>
        </xdr:cNvPr>
        <xdr:cNvSpPr>
          <a:spLocks noChangeAspect="1" noChangeArrowheads="1"/>
        </xdr:cNvSpPr>
      </xdr:nvSpPr>
      <xdr:spPr bwMode="auto">
        <a:xfrm>
          <a:off x="0" y="75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37</xdr:row>
      <xdr:rowOff>0</xdr:rowOff>
    </xdr:from>
    <xdr:to>
      <xdr:col>19</xdr:col>
      <xdr:colOff>304800</xdr:colOff>
      <xdr:row>38</xdr:row>
      <xdr:rowOff>101600</xdr:rowOff>
    </xdr:to>
    <xdr:sp macro="" textlink="">
      <xdr:nvSpPr>
        <xdr:cNvPr id="58" name="AutoShape 36">
          <a:hlinkClick xmlns:r="http://schemas.openxmlformats.org/officeDocument/2006/relationships" r:id="rId46"/>
          <a:extLst>
            <a:ext uri="{FF2B5EF4-FFF2-40B4-BE49-F238E27FC236}">
              <a16:creationId xmlns:a16="http://schemas.microsoft.com/office/drawing/2014/main" id="{36330EB2-ECDD-324D-BD98-6CB960764DDA}"/>
            </a:ext>
          </a:extLst>
        </xdr:cNvPr>
        <xdr:cNvSpPr>
          <a:spLocks noChangeAspect="1" noChangeArrowheads="1"/>
        </xdr:cNvSpPr>
      </xdr:nvSpPr>
      <xdr:spPr bwMode="auto">
        <a:xfrm>
          <a:off x="0" y="77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38</xdr:row>
      <xdr:rowOff>0</xdr:rowOff>
    </xdr:from>
    <xdr:to>
      <xdr:col>19</xdr:col>
      <xdr:colOff>304800</xdr:colOff>
      <xdr:row>39</xdr:row>
      <xdr:rowOff>101600</xdr:rowOff>
    </xdr:to>
    <xdr:sp macro="" textlink="">
      <xdr:nvSpPr>
        <xdr:cNvPr id="59" name="AutoShape 37">
          <a:hlinkClick xmlns:r="http://schemas.openxmlformats.org/officeDocument/2006/relationships" r:id="rId47"/>
          <a:extLst>
            <a:ext uri="{FF2B5EF4-FFF2-40B4-BE49-F238E27FC236}">
              <a16:creationId xmlns:a16="http://schemas.microsoft.com/office/drawing/2014/main" id="{770F734A-553A-784D-B152-BA44F4337632}"/>
            </a:ext>
          </a:extLst>
        </xdr:cNvPr>
        <xdr:cNvSpPr>
          <a:spLocks noChangeAspect="1" noChangeArrowheads="1"/>
        </xdr:cNvSpPr>
      </xdr:nvSpPr>
      <xdr:spPr bwMode="auto">
        <a:xfrm>
          <a:off x="0" y="7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39</xdr:row>
      <xdr:rowOff>0</xdr:rowOff>
    </xdr:from>
    <xdr:to>
      <xdr:col>19</xdr:col>
      <xdr:colOff>304800</xdr:colOff>
      <xdr:row>40</xdr:row>
      <xdr:rowOff>101600</xdr:rowOff>
    </xdr:to>
    <xdr:sp macro="" textlink="">
      <xdr:nvSpPr>
        <xdr:cNvPr id="60" name="AutoShape 38">
          <a:hlinkClick xmlns:r="http://schemas.openxmlformats.org/officeDocument/2006/relationships" r:id="rId48"/>
          <a:extLst>
            <a:ext uri="{FF2B5EF4-FFF2-40B4-BE49-F238E27FC236}">
              <a16:creationId xmlns:a16="http://schemas.microsoft.com/office/drawing/2014/main" id="{1545623A-2BF7-5440-8290-E5FECF0311B9}"/>
            </a:ext>
          </a:extLst>
        </xdr:cNvPr>
        <xdr:cNvSpPr>
          <a:spLocks noChangeAspect="1" noChangeArrowheads="1"/>
        </xdr:cNvSpPr>
      </xdr:nvSpPr>
      <xdr:spPr bwMode="auto">
        <a:xfrm>
          <a:off x="0" y="81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40</xdr:row>
      <xdr:rowOff>0</xdr:rowOff>
    </xdr:from>
    <xdr:to>
      <xdr:col>19</xdr:col>
      <xdr:colOff>304800</xdr:colOff>
      <xdr:row>41</xdr:row>
      <xdr:rowOff>101600</xdr:rowOff>
    </xdr:to>
    <xdr:sp macro="" textlink="">
      <xdr:nvSpPr>
        <xdr:cNvPr id="61" name="AutoShape 39">
          <a:hlinkClick xmlns:r="http://schemas.openxmlformats.org/officeDocument/2006/relationships" r:id="rId49"/>
          <a:extLst>
            <a:ext uri="{FF2B5EF4-FFF2-40B4-BE49-F238E27FC236}">
              <a16:creationId xmlns:a16="http://schemas.microsoft.com/office/drawing/2014/main" id="{1DABEF7F-B2D1-3946-9940-03ABAB414575}"/>
            </a:ext>
          </a:extLst>
        </xdr:cNvPr>
        <xdr:cNvSpPr>
          <a:spLocks noChangeAspect="1" noChangeArrowheads="1"/>
        </xdr:cNvSpPr>
      </xdr:nvSpPr>
      <xdr:spPr bwMode="auto">
        <a:xfrm>
          <a:off x="0" y="83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41</xdr:row>
      <xdr:rowOff>0</xdr:rowOff>
    </xdr:from>
    <xdr:to>
      <xdr:col>19</xdr:col>
      <xdr:colOff>304800</xdr:colOff>
      <xdr:row>42</xdr:row>
      <xdr:rowOff>101600</xdr:rowOff>
    </xdr:to>
    <xdr:sp macro="" textlink="">
      <xdr:nvSpPr>
        <xdr:cNvPr id="62" name="AutoShape 40">
          <a:hlinkClick xmlns:r="http://schemas.openxmlformats.org/officeDocument/2006/relationships" r:id="rId50"/>
          <a:extLst>
            <a:ext uri="{FF2B5EF4-FFF2-40B4-BE49-F238E27FC236}">
              <a16:creationId xmlns:a16="http://schemas.microsoft.com/office/drawing/2014/main" id="{A8A115C7-1301-AC4A-9183-0A751BDC346B}"/>
            </a:ext>
          </a:extLst>
        </xdr:cNvPr>
        <xdr:cNvSpPr>
          <a:spLocks noChangeAspect="1" noChangeArrowheads="1"/>
        </xdr:cNvSpPr>
      </xdr:nvSpPr>
      <xdr:spPr bwMode="auto">
        <a:xfrm>
          <a:off x="0" y="85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42</xdr:row>
      <xdr:rowOff>0</xdr:rowOff>
    </xdr:from>
    <xdr:to>
      <xdr:col>19</xdr:col>
      <xdr:colOff>304800</xdr:colOff>
      <xdr:row>43</xdr:row>
      <xdr:rowOff>101600</xdr:rowOff>
    </xdr:to>
    <xdr:sp macro="" textlink="">
      <xdr:nvSpPr>
        <xdr:cNvPr id="63" name="AutoShape 41">
          <a:hlinkClick xmlns:r="http://schemas.openxmlformats.org/officeDocument/2006/relationships" r:id="rId51"/>
          <a:extLst>
            <a:ext uri="{FF2B5EF4-FFF2-40B4-BE49-F238E27FC236}">
              <a16:creationId xmlns:a16="http://schemas.microsoft.com/office/drawing/2014/main" id="{CE0C8600-4A15-B14B-9A85-CFF518CDD389}"/>
            </a:ext>
          </a:extLst>
        </xdr:cNvPr>
        <xdr:cNvSpPr>
          <a:spLocks noChangeAspect="1" noChangeArrowheads="1"/>
        </xdr:cNvSpPr>
      </xdr:nvSpPr>
      <xdr:spPr bwMode="auto">
        <a:xfrm>
          <a:off x="0" y="8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43</xdr:row>
      <xdr:rowOff>0</xdr:rowOff>
    </xdr:from>
    <xdr:to>
      <xdr:col>19</xdr:col>
      <xdr:colOff>304800</xdr:colOff>
      <xdr:row>44</xdr:row>
      <xdr:rowOff>101600</xdr:rowOff>
    </xdr:to>
    <xdr:sp macro="" textlink="">
      <xdr:nvSpPr>
        <xdr:cNvPr id="64" name="AutoShape 42">
          <a:hlinkClick xmlns:r="http://schemas.openxmlformats.org/officeDocument/2006/relationships" r:id="rId52"/>
          <a:extLst>
            <a:ext uri="{FF2B5EF4-FFF2-40B4-BE49-F238E27FC236}">
              <a16:creationId xmlns:a16="http://schemas.microsoft.com/office/drawing/2014/main" id="{CB4AD7ED-C756-9240-8032-1466B07F5746}"/>
            </a:ext>
          </a:extLst>
        </xdr:cNvPr>
        <xdr:cNvSpPr>
          <a:spLocks noChangeAspect="1" noChangeArrowheads="1"/>
        </xdr:cNvSpPr>
      </xdr:nvSpPr>
      <xdr:spPr bwMode="auto">
        <a:xfrm>
          <a:off x="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44</xdr:row>
      <xdr:rowOff>0</xdr:rowOff>
    </xdr:from>
    <xdr:to>
      <xdr:col>19</xdr:col>
      <xdr:colOff>304800</xdr:colOff>
      <xdr:row>45</xdr:row>
      <xdr:rowOff>101600</xdr:rowOff>
    </xdr:to>
    <xdr:sp macro="" textlink="">
      <xdr:nvSpPr>
        <xdr:cNvPr id="65" name="AutoShape 43">
          <a:hlinkClick xmlns:r="http://schemas.openxmlformats.org/officeDocument/2006/relationships" r:id="rId53"/>
          <a:extLst>
            <a:ext uri="{FF2B5EF4-FFF2-40B4-BE49-F238E27FC236}">
              <a16:creationId xmlns:a16="http://schemas.microsoft.com/office/drawing/2014/main" id="{4C916093-DCA4-084A-9D3C-2137DBEDF5CF}"/>
            </a:ext>
          </a:extLst>
        </xdr:cNvPr>
        <xdr:cNvSpPr>
          <a:spLocks noChangeAspect="1" noChangeArrowheads="1"/>
        </xdr:cNvSpPr>
      </xdr:nvSpPr>
      <xdr:spPr bwMode="auto">
        <a:xfrm>
          <a:off x="0" y="91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45</xdr:row>
      <xdr:rowOff>0</xdr:rowOff>
    </xdr:from>
    <xdr:to>
      <xdr:col>19</xdr:col>
      <xdr:colOff>304800</xdr:colOff>
      <xdr:row>46</xdr:row>
      <xdr:rowOff>101600</xdr:rowOff>
    </xdr:to>
    <xdr:sp macro="" textlink="">
      <xdr:nvSpPr>
        <xdr:cNvPr id="66" name="AutoShape 44">
          <a:hlinkClick xmlns:r="http://schemas.openxmlformats.org/officeDocument/2006/relationships" r:id="rId54"/>
          <a:extLst>
            <a:ext uri="{FF2B5EF4-FFF2-40B4-BE49-F238E27FC236}">
              <a16:creationId xmlns:a16="http://schemas.microsoft.com/office/drawing/2014/main" id="{EE281076-2C30-EE47-9A08-6AE8175D3222}"/>
            </a:ext>
          </a:extLst>
        </xdr:cNvPr>
        <xdr:cNvSpPr>
          <a:spLocks noChangeAspect="1" noChangeArrowheads="1"/>
        </xdr:cNvSpPr>
      </xdr:nvSpPr>
      <xdr:spPr bwMode="auto">
        <a:xfrm>
          <a:off x="0" y="93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46</xdr:row>
      <xdr:rowOff>0</xdr:rowOff>
    </xdr:from>
    <xdr:to>
      <xdr:col>19</xdr:col>
      <xdr:colOff>304800</xdr:colOff>
      <xdr:row>47</xdr:row>
      <xdr:rowOff>101600</xdr:rowOff>
    </xdr:to>
    <xdr:sp macro="" textlink="">
      <xdr:nvSpPr>
        <xdr:cNvPr id="67" name="AutoShape 45">
          <a:hlinkClick xmlns:r="http://schemas.openxmlformats.org/officeDocument/2006/relationships" r:id="rId55"/>
          <a:extLst>
            <a:ext uri="{FF2B5EF4-FFF2-40B4-BE49-F238E27FC236}">
              <a16:creationId xmlns:a16="http://schemas.microsoft.com/office/drawing/2014/main" id="{7DD4CA0B-E6B5-7C47-BDD6-255E544CE63D}"/>
            </a:ext>
          </a:extLst>
        </xdr:cNvPr>
        <xdr:cNvSpPr>
          <a:spLocks noChangeAspect="1" noChangeArrowheads="1"/>
        </xdr:cNvSpPr>
      </xdr:nvSpPr>
      <xdr:spPr bwMode="auto">
        <a:xfrm>
          <a:off x="0" y="95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47</xdr:row>
      <xdr:rowOff>0</xdr:rowOff>
    </xdr:from>
    <xdr:to>
      <xdr:col>19</xdr:col>
      <xdr:colOff>304800</xdr:colOff>
      <xdr:row>48</xdr:row>
      <xdr:rowOff>101600</xdr:rowOff>
    </xdr:to>
    <xdr:sp macro="" textlink="">
      <xdr:nvSpPr>
        <xdr:cNvPr id="68" name="AutoShape 46">
          <a:hlinkClick xmlns:r="http://schemas.openxmlformats.org/officeDocument/2006/relationships" r:id="rId56"/>
          <a:extLst>
            <a:ext uri="{FF2B5EF4-FFF2-40B4-BE49-F238E27FC236}">
              <a16:creationId xmlns:a16="http://schemas.microsoft.com/office/drawing/2014/main" id="{64C5739C-E642-D64D-A533-1EA7565F792A}"/>
            </a:ext>
          </a:extLst>
        </xdr:cNvPr>
        <xdr:cNvSpPr>
          <a:spLocks noChangeAspect="1" noChangeArrowheads="1"/>
        </xdr:cNvSpPr>
      </xdr:nvSpPr>
      <xdr:spPr bwMode="auto">
        <a:xfrm>
          <a:off x="0" y="97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48</xdr:row>
      <xdr:rowOff>0</xdr:rowOff>
    </xdr:from>
    <xdr:to>
      <xdr:col>19</xdr:col>
      <xdr:colOff>304800</xdr:colOff>
      <xdr:row>49</xdr:row>
      <xdr:rowOff>101600</xdr:rowOff>
    </xdr:to>
    <xdr:sp macro="" textlink="">
      <xdr:nvSpPr>
        <xdr:cNvPr id="69" name="AutoShape 47">
          <a:hlinkClick xmlns:r="http://schemas.openxmlformats.org/officeDocument/2006/relationships" r:id="rId57"/>
          <a:extLst>
            <a:ext uri="{FF2B5EF4-FFF2-40B4-BE49-F238E27FC236}">
              <a16:creationId xmlns:a16="http://schemas.microsoft.com/office/drawing/2014/main" id="{AFD280A8-B45F-3B46-96B9-2899C813D7B9}"/>
            </a:ext>
          </a:extLst>
        </xdr:cNvPr>
        <xdr:cNvSpPr>
          <a:spLocks noChangeAspect="1" noChangeArrowheads="1"/>
        </xdr:cNvSpPr>
      </xdr:nvSpPr>
      <xdr:spPr bwMode="auto">
        <a:xfrm>
          <a:off x="0" y="99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49</xdr:row>
      <xdr:rowOff>0</xdr:rowOff>
    </xdr:from>
    <xdr:to>
      <xdr:col>19</xdr:col>
      <xdr:colOff>304800</xdr:colOff>
      <xdr:row>50</xdr:row>
      <xdr:rowOff>101600</xdr:rowOff>
    </xdr:to>
    <xdr:sp macro="" textlink="">
      <xdr:nvSpPr>
        <xdr:cNvPr id="70" name="AutoShape 48">
          <a:hlinkClick xmlns:r="http://schemas.openxmlformats.org/officeDocument/2006/relationships" r:id="rId58"/>
          <a:extLst>
            <a:ext uri="{FF2B5EF4-FFF2-40B4-BE49-F238E27FC236}">
              <a16:creationId xmlns:a16="http://schemas.microsoft.com/office/drawing/2014/main" id="{31C48DA8-B73E-CB43-9F5E-796CD23826C1}"/>
            </a:ext>
          </a:extLst>
        </xdr:cNvPr>
        <xdr:cNvSpPr>
          <a:spLocks noChangeAspect="1" noChangeArrowheads="1"/>
        </xdr:cNvSpPr>
      </xdr:nvSpPr>
      <xdr:spPr bwMode="auto">
        <a:xfrm>
          <a:off x="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50</xdr:row>
      <xdr:rowOff>0</xdr:rowOff>
    </xdr:from>
    <xdr:to>
      <xdr:col>19</xdr:col>
      <xdr:colOff>304800</xdr:colOff>
      <xdr:row>51</xdr:row>
      <xdr:rowOff>101600</xdr:rowOff>
    </xdr:to>
    <xdr:sp macro="" textlink="">
      <xdr:nvSpPr>
        <xdr:cNvPr id="71" name="AutoShape 49">
          <a:hlinkClick xmlns:r="http://schemas.openxmlformats.org/officeDocument/2006/relationships" r:id="rId59"/>
          <a:extLst>
            <a:ext uri="{FF2B5EF4-FFF2-40B4-BE49-F238E27FC236}">
              <a16:creationId xmlns:a16="http://schemas.microsoft.com/office/drawing/2014/main" id="{03081717-C47B-CF44-81A8-9E5B4B4BDC42}"/>
            </a:ext>
          </a:extLst>
        </xdr:cNvPr>
        <xdr:cNvSpPr>
          <a:spLocks noChangeAspect="1" noChangeArrowheads="1"/>
        </xdr:cNvSpPr>
      </xdr:nvSpPr>
      <xdr:spPr bwMode="auto">
        <a:xfrm>
          <a:off x="0" y="1037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50</xdr:row>
      <xdr:rowOff>0</xdr:rowOff>
    </xdr:from>
    <xdr:to>
      <xdr:col>19</xdr:col>
      <xdr:colOff>304800</xdr:colOff>
      <xdr:row>51</xdr:row>
      <xdr:rowOff>101600</xdr:rowOff>
    </xdr:to>
    <xdr:sp macro="" textlink="">
      <xdr:nvSpPr>
        <xdr:cNvPr id="72" name="AutoShape 50">
          <a:hlinkClick xmlns:r="http://schemas.openxmlformats.org/officeDocument/2006/relationships" r:id="rId60"/>
          <a:extLst>
            <a:ext uri="{FF2B5EF4-FFF2-40B4-BE49-F238E27FC236}">
              <a16:creationId xmlns:a16="http://schemas.microsoft.com/office/drawing/2014/main" id="{A54AA20A-3E37-5048-89CE-4CC52025C177}"/>
            </a:ext>
          </a:extLst>
        </xdr:cNvPr>
        <xdr:cNvSpPr>
          <a:spLocks noChangeAspect="1" noChangeArrowheads="1"/>
        </xdr:cNvSpPr>
      </xdr:nvSpPr>
      <xdr:spPr bwMode="auto">
        <a:xfrm>
          <a:off x="0" y="10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51</xdr:row>
      <xdr:rowOff>0</xdr:rowOff>
    </xdr:from>
    <xdr:to>
      <xdr:col>19</xdr:col>
      <xdr:colOff>304800</xdr:colOff>
      <xdr:row>52</xdr:row>
      <xdr:rowOff>101600</xdr:rowOff>
    </xdr:to>
    <xdr:sp macro="" textlink="">
      <xdr:nvSpPr>
        <xdr:cNvPr id="73" name="AutoShape 51">
          <a:hlinkClick xmlns:r="http://schemas.openxmlformats.org/officeDocument/2006/relationships" r:id="rId61"/>
          <a:extLst>
            <a:ext uri="{FF2B5EF4-FFF2-40B4-BE49-F238E27FC236}">
              <a16:creationId xmlns:a16="http://schemas.microsoft.com/office/drawing/2014/main" id="{B23B8A48-B1B5-4849-B8AC-32D673C7B12E}"/>
            </a:ext>
          </a:extLst>
        </xdr:cNvPr>
        <xdr:cNvSpPr>
          <a:spLocks noChangeAspect="1" noChangeArrowheads="1"/>
        </xdr:cNvSpPr>
      </xdr:nvSpPr>
      <xdr:spPr bwMode="auto">
        <a:xfrm>
          <a:off x="0" y="107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52</xdr:row>
      <xdr:rowOff>0</xdr:rowOff>
    </xdr:from>
    <xdr:to>
      <xdr:col>19</xdr:col>
      <xdr:colOff>304800</xdr:colOff>
      <xdr:row>53</xdr:row>
      <xdr:rowOff>101600</xdr:rowOff>
    </xdr:to>
    <xdr:sp macro="" textlink="">
      <xdr:nvSpPr>
        <xdr:cNvPr id="74" name="AutoShape 52">
          <a:hlinkClick xmlns:r="http://schemas.openxmlformats.org/officeDocument/2006/relationships" r:id="rId62"/>
          <a:extLst>
            <a:ext uri="{FF2B5EF4-FFF2-40B4-BE49-F238E27FC236}">
              <a16:creationId xmlns:a16="http://schemas.microsoft.com/office/drawing/2014/main" id="{6C774117-6722-B042-A0EE-BA3364424D00}"/>
            </a:ext>
          </a:extLst>
        </xdr:cNvPr>
        <xdr:cNvSpPr>
          <a:spLocks noChangeAspect="1" noChangeArrowheads="1"/>
        </xdr:cNvSpPr>
      </xdr:nvSpPr>
      <xdr:spPr bwMode="auto">
        <a:xfrm>
          <a:off x="0" y="109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53</xdr:row>
      <xdr:rowOff>0</xdr:rowOff>
    </xdr:from>
    <xdr:to>
      <xdr:col>19</xdr:col>
      <xdr:colOff>304800</xdr:colOff>
      <xdr:row>54</xdr:row>
      <xdr:rowOff>101600</xdr:rowOff>
    </xdr:to>
    <xdr:sp macro="" textlink="">
      <xdr:nvSpPr>
        <xdr:cNvPr id="75" name="AutoShape 53">
          <a:hlinkClick xmlns:r="http://schemas.openxmlformats.org/officeDocument/2006/relationships" r:id="rId63"/>
          <a:extLst>
            <a:ext uri="{FF2B5EF4-FFF2-40B4-BE49-F238E27FC236}">
              <a16:creationId xmlns:a16="http://schemas.microsoft.com/office/drawing/2014/main" id="{62D4AE4D-D268-1C4D-8B54-28452E658DF7}"/>
            </a:ext>
          </a:extLst>
        </xdr:cNvPr>
        <xdr:cNvSpPr>
          <a:spLocks noChangeAspect="1" noChangeArrowheads="1"/>
        </xdr:cNvSpPr>
      </xdr:nvSpPr>
      <xdr:spPr bwMode="auto">
        <a:xfrm>
          <a:off x="0" y="1118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54</xdr:row>
      <xdr:rowOff>0</xdr:rowOff>
    </xdr:from>
    <xdr:to>
      <xdr:col>19</xdr:col>
      <xdr:colOff>304800</xdr:colOff>
      <xdr:row>55</xdr:row>
      <xdr:rowOff>101600</xdr:rowOff>
    </xdr:to>
    <xdr:sp macro="" textlink="">
      <xdr:nvSpPr>
        <xdr:cNvPr id="76" name="AutoShape 54">
          <a:hlinkClick xmlns:r="http://schemas.openxmlformats.org/officeDocument/2006/relationships" r:id="rId64"/>
          <a:extLst>
            <a:ext uri="{FF2B5EF4-FFF2-40B4-BE49-F238E27FC236}">
              <a16:creationId xmlns:a16="http://schemas.microsoft.com/office/drawing/2014/main" id="{2DD56466-4D1B-3648-8F36-031C5A8A7601}"/>
            </a:ext>
          </a:extLst>
        </xdr:cNvPr>
        <xdr:cNvSpPr>
          <a:spLocks noChangeAspect="1" noChangeArrowheads="1"/>
        </xdr:cNvSpPr>
      </xdr:nvSpPr>
      <xdr:spPr bwMode="auto">
        <a:xfrm>
          <a:off x="0" y="11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55</xdr:row>
      <xdr:rowOff>0</xdr:rowOff>
    </xdr:from>
    <xdr:to>
      <xdr:col>19</xdr:col>
      <xdr:colOff>304800</xdr:colOff>
      <xdr:row>56</xdr:row>
      <xdr:rowOff>101600</xdr:rowOff>
    </xdr:to>
    <xdr:sp macro="" textlink="">
      <xdr:nvSpPr>
        <xdr:cNvPr id="77" name="AutoShape 55">
          <a:hlinkClick xmlns:r="http://schemas.openxmlformats.org/officeDocument/2006/relationships" r:id="rId65"/>
          <a:extLst>
            <a:ext uri="{FF2B5EF4-FFF2-40B4-BE49-F238E27FC236}">
              <a16:creationId xmlns:a16="http://schemas.microsoft.com/office/drawing/2014/main" id="{876C32C9-031C-4D4E-8A18-D349E33C528D}"/>
            </a:ext>
          </a:extLst>
        </xdr:cNvPr>
        <xdr:cNvSpPr>
          <a:spLocks noChangeAspect="1" noChangeArrowheads="1"/>
        </xdr:cNvSpPr>
      </xdr:nvSpPr>
      <xdr:spPr bwMode="auto">
        <a:xfrm>
          <a:off x="0" y="115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55</xdr:row>
      <xdr:rowOff>0</xdr:rowOff>
    </xdr:from>
    <xdr:to>
      <xdr:col>19</xdr:col>
      <xdr:colOff>304800</xdr:colOff>
      <xdr:row>56</xdr:row>
      <xdr:rowOff>101599</xdr:rowOff>
    </xdr:to>
    <xdr:sp macro="" textlink="">
      <xdr:nvSpPr>
        <xdr:cNvPr id="78" name="AutoShape 56">
          <a:hlinkClick xmlns:r="http://schemas.openxmlformats.org/officeDocument/2006/relationships" r:id="rId66"/>
          <a:extLst>
            <a:ext uri="{FF2B5EF4-FFF2-40B4-BE49-F238E27FC236}">
              <a16:creationId xmlns:a16="http://schemas.microsoft.com/office/drawing/2014/main" id="{5401AEE4-8AD7-9841-8B41-E8DFBD130CC9}"/>
            </a:ext>
          </a:extLst>
        </xdr:cNvPr>
        <xdr:cNvSpPr>
          <a:spLocks noChangeAspect="1" noChangeArrowheads="1"/>
        </xdr:cNvSpPr>
      </xdr:nvSpPr>
      <xdr:spPr bwMode="auto">
        <a:xfrm>
          <a:off x="0" y="117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56</xdr:row>
      <xdr:rowOff>0</xdr:rowOff>
    </xdr:from>
    <xdr:to>
      <xdr:col>19</xdr:col>
      <xdr:colOff>304800</xdr:colOff>
      <xdr:row>57</xdr:row>
      <xdr:rowOff>101600</xdr:rowOff>
    </xdr:to>
    <xdr:sp macro="" textlink="">
      <xdr:nvSpPr>
        <xdr:cNvPr id="79" name="AutoShape 57">
          <a:hlinkClick xmlns:r="http://schemas.openxmlformats.org/officeDocument/2006/relationships" r:id="rId67"/>
          <a:extLst>
            <a:ext uri="{FF2B5EF4-FFF2-40B4-BE49-F238E27FC236}">
              <a16:creationId xmlns:a16="http://schemas.microsoft.com/office/drawing/2014/main" id="{98612AFC-7165-9947-92DB-E072F6FCE878}"/>
            </a:ext>
          </a:extLst>
        </xdr:cNvPr>
        <xdr:cNvSpPr>
          <a:spLocks noChangeAspect="1" noChangeArrowheads="1"/>
        </xdr:cNvSpPr>
      </xdr:nvSpPr>
      <xdr:spPr bwMode="auto">
        <a:xfrm>
          <a:off x="0" y="120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57</xdr:row>
      <xdr:rowOff>0</xdr:rowOff>
    </xdr:from>
    <xdr:to>
      <xdr:col>19</xdr:col>
      <xdr:colOff>304800</xdr:colOff>
      <xdr:row>58</xdr:row>
      <xdr:rowOff>101600</xdr:rowOff>
    </xdr:to>
    <xdr:sp macro="" textlink="">
      <xdr:nvSpPr>
        <xdr:cNvPr id="80" name="AutoShape 58">
          <a:hlinkClick xmlns:r="http://schemas.openxmlformats.org/officeDocument/2006/relationships" r:id="rId68"/>
          <a:extLst>
            <a:ext uri="{FF2B5EF4-FFF2-40B4-BE49-F238E27FC236}">
              <a16:creationId xmlns:a16="http://schemas.microsoft.com/office/drawing/2014/main" id="{E71F3798-5AC8-D44D-9CA3-10EB5283B6C4}"/>
            </a:ext>
          </a:extLst>
        </xdr:cNvPr>
        <xdr:cNvSpPr>
          <a:spLocks noChangeAspect="1" noChangeArrowheads="1"/>
        </xdr:cNvSpPr>
      </xdr:nvSpPr>
      <xdr:spPr bwMode="auto">
        <a:xfrm>
          <a:off x="0" y="122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58</xdr:row>
      <xdr:rowOff>0</xdr:rowOff>
    </xdr:from>
    <xdr:to>
      <xdr:col>19</xdr:col>
      <xdr:colOff>304800</xdr:colOff>
      <xdr:row>59</xdr:row>
      <xdr:rowOff>101600</xdr:rowOff>
    </xdr:to>
    <xdr:sp macro="" textlink="">
      <xdr:nvSpPr>
        <xdr:cNvPr id="81" name="AutoShape 59">
          <a:hlinkClick xmlns:r="http://schemas.openxmlformats.org/officeDocument/2006/relationships" r:id="rId69"/>
          <a:extLst>
            <a:ext uri="{FF2B5EF4-FFF2-40B4-BE49-F238E27FC236}">
              <a16:creationId xmlns:a16="http://schemas.microsoft.com/office/drawing/2014/main" id="{D69A25BC-20F0-0442-AD0A-156A2419D1AB}"/>
            </a:ext>
          </a:extLst>
        </xdr:cNvPr>
        <xdr:cNvSpPr>
          <a:spLocks noChangeAspect="1" noChangeArrowheads="1"/>
        </xdr:cNvSpPr>
      </xdr:nvSpPr>
      <xdr:spPr bwMode="auto">
        <a:xfrm>
          <a:off x="0" y="124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59</xdr:row>
      <xdr:rowOff>0</xdr:rowOff>
    </xdr:from>
    <xdr:to>
      <xdr:col>19</xdr:col>
      <xdr:colOff>304800</xdr:colOff>
      <xdr:row>60</xdr:row>
      <xdr:rowOff>101601</xdr:rowOff>
    </xdr:to>
    <xdr:sp macro="" textlink="">
      <xdr:nvSpPr>
        <xdr:cNvPr id="82" name="AutoShape 60">
          <a:hlinkClick xmlns:r="http://schemas.openxmlformats.org/officeDocument/2006/relationships" r:id="rId70"/>
          <a:extLst>
            <a:ext uri="{FF2B5EF4-FFF2-40B4-BE49-F238E27FC236}">
              <a16:creationId xmlns:a16="http://schemas.microsoft.com/office/drawing/2014/main" id="{B404BB8D-7351-D548-ABC2-68C0AD95637E}"/>
            </a:ext>
          </a:extLst>
        </xdr:cNvPr>
        <xdr:cNvSpPr>
          <a:spLocks noChangeAspect="1" noChangeArrowheads="1"/>
        </xdr:cNvSpPr>
      </xdr:nvSpPr>
      <xdr:spPr bwMode="auto">
        <a:xfrm>
          <a:off x="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60</xdr:row>
      <xdr:rowOff>0</xdr:rowOff>
    </xdr:from>
    <xdr:to>
      <xdr:col>19</xdr:col>
      <xdr:colOff>304800</xdr:colOff>
      <xdr:row>61</xdr:row>
      <xdr:rowOff>101599</xdr:rowOff>
    </xdr:to>
    <xdr:sp macro="" textlink="">
      <xdr:nvSpPr>
        <xdr:cNvPr id="83" name="AutoShape 61">
          <a:hlinkClick xmlns:r="http://schemas.openxmlformats.org/officeDocument/2006/relationships" r:id="rId71"/>
          <a:extLst>
            <a:ext uri="{FF2B5EF4-FFF2-40B4-BE49-F238E27FC236}">
              <a16:creationId xmlns:a16="http://schemas.microsoft.com/office/drawing/2014/main" id="{B2587554-7ACD-DC48-B6FE-87BA7909F539}"/>
            </a:ext>
          </a:extLst>
        </xdr:cNvPr>
        <xdr:cNvSpPr>
          <a:spLocks noChangeAspect="1" noChangeArrowheads="1"/>
        </xdr:cNvSpPr>
      </xdr:nvSpPr>
      <xdr:spPr bwMode="auto">
        <a:xfrm>
          <a:off x="0" y="128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61</xdr:row>
      <xdr:rowOff>0</xdr:rowOff>
    </xdr:from>
    <xdr:to>
      <xdr:col>19</xdr:col>
      <xdr:colOff>304800</xdr:colOff>
      <xdr:row>62</xdr:row>
      <xdr:rowOff>101600</xdr:rowOff>
    </xdr:to>
    <xdr:sp macro="" textlink="">
      <xdr:nvSpPr>
        <xdr:cNvPr id="84" name="AutoShape 62">
          <a:hlinkClick xmlns:r="http://schemas.openxmlformats.org/officeDocument/2006/relationships" r:id="rId72"/>
          <a:extLst>
            <a:ext uri="{FF2B5EF4-FFF2-40B4-BE49-F238E27FC236}">
              <a16:creationId xmlns:a16="http://schemas.microsoft.com/office/drawing/2014/main" id="{01540B2B-67CA-6848-9166-8D81356AD359}"/>
            </a:ext>
          </a:extLst>
        </xdr:cNvPr>
        <xdr:cNvSpPr>
          <a:spLocks noChangeAspect="1" noChangeArrowheads="1"/>
        </xdr:cNvSpPr>
      </xdr:nvSpPr>
      <xdr:spPr bwMode="auto">
        <a:xfrm>
          <a:off x="0" y="130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62</xdr:row>
      <xdr:rowOff>0</xdr:rowOff>
    </xdr:from>
    <xdr:to>
      <xdr:col>19</xdr:col>
      <xdr:colOff>304800</xdr:colOff>
      <xdr:row>63</xdr:row>
      <xdr:rowOff>101600</xdr:rowOff>
    </xdr:to>
    <xdr:sp macro="" textlink="">
      <xdr:nvSpPr>
        <xdr:cNvPr id="85" name="AutoShape 63">
          <a:hlinkClick xmlns:r="http://schemas.openxmlformats.org/officeDocument/2006/relationships" r:id="rId73"/>
          <a:extLst>
            <a:ext uri="{FF2B5EF4-FFF2-40B4-BE49-F238E27FC236}">
              <a16:creationId xmlns:a16="http://schemas.microsoft.com/office/drawing/2014/main" id="{C3CE257E-7579-A04A-9299-9B9496922CFE}"/>
            </a:ext>
          </a:extLst>
        </xdr:cNvPr>
        <xdr:cNvSpPr>
          <a:spLocks noChangeAspect="1" noChangeArrowheads="1"/>
        </xdr:cNvSpPr>
      </xdr:nvSpPr>
      <xdr:spPr bwMode="auto">
        <a:xfrm>
          <a:off x="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63</xdr:row>
      <xdr:rowOff>0</xdr:rowOff>
    </xdr:from>
    <xdr:to>
      <xdr:col>19</xdr:col>
      <xdr:colOff>304800</xdr:colOff>
      <xdr:row>64</xdr:row>
      <xdr:rowOff>101600</xdr:rowOff>
    </xdr:to>
    <xdr:sp macro="" textlink="">
      <xdr:nvSpPr>
        <xdr:cNvPr id="86" name="AutoShape 64">
          <a:hlinkClick xmlns:r="http://schemas.openxmlformats.org/officeDocument/2006/relationships" r:id="rId74"/>
          <a:extLst>
            <a:ext uri="{FF2B5EF4-FFF2-40B4-BE49-F238E27FC236}">
              <a16:creationId xmlns:a16="http://schemas.microsoft.com/office/drawing/2014/main" id="{467740C9-5E3C-2A46-B615-B94636DBA5AD}"/>
            </a:ext>
          </a:extLst>
        </xdr:cNvPr>
        <xdr:cNvSpPr>
          <a:spLocks noChangeAspect="1" noChangeArrowheads="1"/>
        </xdr:cNvSpPr>
      </xdr:nvSpPr>
      <xdr:spPr bwMode="auto">
        <a:xfrm>
          <a:off x="0" y="134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64</xdr:row>
      <xdr:rowOff>0</xdr:rowOff>
    </xdr:from>
    <xdr:to>
      <xdr:col>19</xdr:col>
      <xdr:colOff>304800</xdr:colOff>
      <xdr:row>65</xdr:row>
      <xdr:rowOff>101600</xdr:rowOff>
    </xdr:to>
    <xdr:sp macro="" textlink="">
      <xdr:nvSpPr>
        <xdr:cNvPr id="87" name="AutoShape 65">
          <a:hlinkClick xmlns:r="http://schemas.openxmlformats.org/officeDocument/2006/relationships" r:id="rId75"/>
          <a:extLst>
            <a:ext uri="{FF2B5EF4-FFF2-40B4-BE49-F238E27FC236}">
              <a16:creationId xmlns:a16="http://schemas.microsoft.com/office/drawing/2014/main" id="{A972A95A-990F-6D49-8061-4FF32C1EAB7C}"/>
            </a:ext>
          </a:extLst>
        </xdr:cNvPr>
        <xdr:cNvSpPr>
          <a:spLocks noChangeAspect="1" noChangeArrowheads="1"/>
        </xdr:cNvSpPr>
      </xdr:nvSpPr>
      <xdr:spPr bwMode="auto">
        <a:xfrm>
          <a:off x="0" y="136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65</xdr:row>
      <xdr:rowOff>0</xdr:rowOff>
    </xdr:from>
    <xdr:to>
      <xdr:col>19</xdr:col>
      <xdr:colOff>304800</xdr:colOff>
      <xdr:row>66</xdr:row>
      <xdr:rowOff>101601</xdr:rowOff>
    </xdr:to>
    <xdr:sp macro="" textlink="">
      <xdr:nvSpPr>
        <xdr:cNvPr id="88" name="AutoShape 66">
          <a:hlinkClick xmlns:r="http://schemas.openxmlformats.org/officeDocument/2006/relationships" r:id="rId76"/>
          <a:extLst>
            <a:ext uri="{FF2B5EF4-FFF2-40B4-BE49-F238E27FC236}">
              <a16:creationId xmlns:a16="http://schemas.microsoft.com/office/drawing/2014/main" id="{B76927BE-1C10-0B48-AB32-97E3AD993DC6}"/>
            </a:ext>
          </a:extLst>
        </xdr:cNvPr>
        <xdr:cNvSpPr>
          <a:spLocks noChangeAspect="1" noChangeArrowheads="1"/>
        </xdr:cNvSpPr>
      </xdr:nvSpPr>
      <xdr:spPr bwMode="auto">
        <a:xfrm>
          <a:off x="0" y="138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66</xdr:row>
      <xdr:rowOff>0</xdr:rowOff>
    </xdr:from>
    <xdr:to>
      <xdr:col>19</xdr:col>
      <xdr:colOff>304800</xdr:colOff>
      <xdr:row>67</xdr:row>
      <xdr:rowOff>101599</xdr:rowOff>
    </xdr:to>
    <xdr:sp macro="" textlink="">
      <xdr:nvSpPr>
        <xdr:cNvPr id="89" name="AutoShape 67">
          <a:hlinkClick xmlns:r="http://schemas.openxmlformats.org/officeDocument/2006/relationships" r:id="rId77"/>
          <a:extLst>
            <a:ext uri="{FF2B5EF4-FFF2-40B4-BE49-F238E27FC236}">
              <a16:creationId xmlns:a16="http://schemas.microsoft.com/office/drawing/2014/main" id="{0C831CF0-84DE-F642-9D30-9252FF6C5703}"/>
            </a:ext>
          </a:extLst>
        </xdr:cNvPr>
        <xdr:cNvSpPr>
          <a:spLocks noChangeAspect="1" noChangeArrowheads="1"/>
        </xdr:cNvSpPr>
      </xdr:nvSpPr>
      <xdr:spPr bwMode="auto">
        <a:xfrm>
          <a:off x="0" y="140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67</xdr:row>
      <xdr:rowOff>0</xdr:rowOff>
    </xdr:from>
    <xdr:to>
      <xdr:col>19</xdr:col>
      <xdr:colOff>304800</xdr:colOff>
      <xdr:row>68</xdr:row>
      <xdr:rowOff>101600</xdr:rowOff>
    </xdr:to>
    <xdr:sp macro="" textlink="">
      <xdr:nvSpPr>
        <xdr:cNvPr id="90" name="AutoShape 68">
          <a:hlinkClick xmlns:r="http://schemas.openxmlformats.org/officeDocument/2006/relationships" r:id="rId78"/>
          <a:extLst>
            <a:ext uri="{FF2B5EF4-FFF2-40B4-BE49-F238E27FC236}">
              <a16:creationId xmlns:a16="http://schemas.microsoft.com/office/drawing/2014/main" id="{AAE274F2-7FE3-0744-9081-0BE4B5B31EC9}"/>
            </a:ext>
          </a:extLst>
        </xdr:cNvPr>
        <xdr:cNvSpPr>
          <a:spLocks noChangeAspect="1" noChangeArrowheads="1"/>
        </xdr:cNvSpPr>
      </xdr:nvSpPr>
      <xdr:spPr bwMode="auto">
        <a:xfrm>
          <a:off x="0" y="142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68</xdr:row>
      <xdr:rowOff>0</xdr:rowOff>
    </xdr:from>
    <xdr:to>
      <xdr:col>19</xdr:col>
      <xdr:colOff>304800</xdr:colOff>
      <xdr:row>69</xdr:row>
      <xdr:rowOff>101600</xdr:rowOff>
    </xdr:to>
    <xdr:sp macro="" textlink="">
      <xdr:nvSpPr>
        <xdr:cNvPr id="91" name="AutoShape 69">
          <a:hlinkClick xmlns:r="http://schemas.openxmlformats.org/officeDocument/2006/relationships" r:id="rId79"/>
          <a:extLst>
            <a:ext uri="{FF2B5EF4-FFF2-40B4-BE49-F238E27FC236}">
              <a16:creationId xmlns:a16="http://schemas.microsoft.com/office/drawing/2014/main" id="{0FAEE589-953B-354E-8C9B-EC07EA8AB34F}"/>
            </a:ext>
          </a:extLst>
        </xdr:cNvPr>
        <xdr:cNvSpPr>
          <a:spLocks noChangeAspect="1" noChangeArrowheads="1"/>
        </xdr:cNvSpPr>
      </xdr:nvSpPr>
      <xdr:spPr bwMode="auto">
        <a:xfrm>
          <a:off x="0" y="144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69</xdr:row>
      <xdr:rowOff>0</xdr:rowOff>
    </xdr:from>
    <xdr:to>
      <xdr:col>19</xdr:col>
      <xdr:colOff>304800</xdr:colOff>
      <xdr:row>70</xdr:row>
      <xdr:rowOff>101600</xdr:rowOff>
    </xdr:to>
    <xdr:sp macro="" textlink="">
      <xdr:nvSpPr>
        <xdr:cNvPr id="92" name="AutoShape 70">
          <a:hlinkClick xmlns:r="http://schemas.openxmlformats.org/officeDocument/2006/relationships" r:id="rId80"/>
          <a:extLst>
            <a:ext uri="{FF2B5EF4-FFF2-40B4-BE49-F238E27FC236}">
              <a16:creationId xmlns:a16="http://schemas.microsoft.com/office/drawing/2014/main" id="{85A426BC-4ECE-4F40-A2A8-AFADEBAD0F3C}"/>
            </a:ext>
          </a:extLst>
        </xdr:cNvPr>
        <xdr:cNvSpPr>
          <a:spLocks noChangeAspect="1" noChangeArrowheads="1"/>
        </xdr:cNvSpPr>
      </xdr:nvSpPr>
      <xdr:spPr bwMode="auto">
        <a:xfrm>
          <a:off x="0" y="146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70</xdr:row>
      <xdr:rowOff>0</xdr:rowOff>
    </xdr:from>
    <xdr:to>
      <xdr:col>19</xdr:col>
      <xdr:colOff>304800</xdr:colOff>
      <xdr:row>71</xdr:row>
      <xdr:rowOff>101601</xdr:rowOff>
    </xdr:to>
    <xdr:sp macro="" textlink="">
      <xdr:nvSpPr>
        <xdr:cNvPr id="93" name="AutoShape 71">
          <a:hlinkClick xmlns:r="http://schemas.openxmlformats.org/officeDocument/2006/relationships" r:id="rId81"/>
          <a:extLst>
            <a:ext uri="{FF2B5EF4-FFF2-40B4-BE49-F238E27FC236}">
              <a16:creationId xmlns:a16="http://schemas.microsoft.com/office/drawing/2014/main" id="{D70B4F49-484E-4D4A-BD62-8840F5D99188}"/>
            </a:ext>
          </a:extLst>
        </xdr:cNvPr>
        <xdr:cNvSpPr>
          <a:spLocks noChangeAspect="1" noChangeArrowheads="1"/>
        </xdr:cNvSpPr>
      </xdr:nvSpPr>
      <xdr:spPr bwMode="auto">
        <a:xfrm>
          <a:off x="0" y="14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71</xdr:row>
      <xdr:rowOff>0</xdr:rowOff>
    </xdr:from>
    <xdr:to>
      <xdr:col>19</xdr:col>
      <xdr:colOff>304800</xdr:colOff>
      <xdr:row>72</xdr:row>
      <xdr:rowOff>101599</xdr:rowOff>
    </xdr:to>
    <xdr:sp macro="" textlink="">
      <xdr:nvSpPr>
        <xdr:cNvPr id="94" name="AutoShape 72">
          <a:hlinkClick xmlns:r="http://schemas.openxmlformats.org/officeDocument/2006/relationships" r:id="rId82"/>
          <a:extLst>
            <a:ext uri="{FF2B5EF4-FFF2-40B4-BE49-F238E27FC236}">
              <a16:creationId xmlns:a16="http://schemas.microsoft.com/office/drawing/2014/main" id="{48A2B97A-F03D-C34C-AFDB-E70D14CA702B}"/>
            </a:ext>
          </a:extLst>
        </xdr:cNvPr>
        <xdr:cNvSpPr>
          <a:spLocks noChangeAspect="1" noChangeArrowheads="1"/>
        </xdr:cNvSpPr>
      </xdr:nvSpPr>
      <xdr:spPr bwMode="auto">
        <a:xfrm>
          <a:off x="0" y="150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72</xdr:row>
      <xdr:rowOff>0</xdr:rowOff>
    </xdr:from>
    <xdr:to>
      <xdr:col>19</xdr:col>
      <xdr:colOff>304800</xdr:colOff>
      <xdr:row>73</xdr:row>
      <xdr:rowOff>101600</xdr:rowOff>
    </xdr:to>
    <xdr:sp macro="" textlink="">
      <xdr:nvSpPr>
        <xdr:cNvPr id="95" name="AutoShape 73">
          <a:hlinkClick xmlns:r="http://schemas.openxmlformats.org/officeDocument/2006/relationships" r:id="rId83"/>
          <a:extLst>
            <a:ext uri="{FF2B5EF4-FFF2-40B4-BE49-F238E27FC236}">
              <a16:creationId xmlns:a16="http://schemas.microsoft.com/office/drawing/2014/main" id="{7BA26D31-33F9-9C49-961D-35A81E24A01A}"/>
            </a:ext>
          </a:extLst>
        </xdr:cNvPr>
        <xdr:cNvSpPr>
          <a:spLocks noChangeAspect="1" noChangeArrowheads="1"/>
        </xdr:cNvSpPr>
      </xdr:nvSpPr>
      <xdr:spPr bwMode="auto">
        <a:xfrm>
          <a:off x="0" y="152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73</xdr:row>
      <xdr:rowOff>0</xdr:rowOff>
    </xdr:from>
    <xdr:to>
      <xdr:col>19</xdr:col>
      <xdr:colOff>304800</xdr:colOff>
      <xdr:row>74</xdr:row>
      <xdr:rowOff>101600</xdr:rowOff>
    </xdr:to>
    <xdr:sp macro="" textlink="">
      <xdr:nvSpPr>
        <xdr:cNvPr id="96" name="AutoShape 74">
          <a:hlinkClick xmlns:r="http://schemas.openxmlformats.org/officeDocument/2006/relationships" r:id="rId84"/>
          <a:extLst>
            <a:ext uri="{FF2B5EF4-FFF2-40B4-BE49-F238E27FC236}">
              <a16:creationId xmlns:a16="http://schemas.microsoft.com/office/drawing/2014/main" id="{CB572DE5-13E2-894B-A06F-3B3F3EED1CC0}"/>
            </a:ext>
          </a:extLst>
        </xdr:cNvPr>
        <xdr:cNvSpPr>
          <a:spLocks noChangeAspect="1" noChangeArrowheads="1"/>
        </xdr:cNvSpPr>
      </xdr:nvSpPr>
      <xdr:spPr bwMode="auto">
        <a:xfrm>
          <a:off x="0" y="154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74</xdr:row>
      <xdr:rowOff>0</xdr:rowOff>
    </xdr:from>
    <xdr:to>
      <xdr:col>19</xdr:col>
      <xdr:colOff>304800</xdr:colOff>
      <xdr:row>75</xdr:row>
      <xdr:rowOff>101600</xdr:rowOff>
    </xdr:to>
    <xdr:sp macro="" textlink="">
      <xdr:nvSpPr>
        <xdr:cNvPr id="97" name="AutoShape 75">
          <a:hlinkClick xmlns:r="http://schemas.openxmlformats.org/officeDocument/2006/relationships" r:id="rId85"/>
          <a:extLst>
            <a:ext uri="{FF2B5EF4-FFF2-40B4-BE49-F238E27FC236}">
              <a16:creationId xmlns:a16="http://schemas.microsoft.com/office/drawing/2014/main" id="{5DD206AA-1548-6C4C-949A-279185000CBD}"/>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75</xdr:row>
      <xdr:rowOff>0</xdr:rowOff>
    </xdr:from>
    <xdr:to>
      <xdr:col>19</xdr:col>
      <xdr:colOff>304800</xdr:colOff>
      <xdr:row>76</xdr:row>
      <xdr:rowOff>101601</xdr:rowOff>
    </xdr:to>
    <xdr:sp macro="" textlink="">
      <xdr:nvSpPr>
        <xdr:cNvPr id="98" name="AutoShape 76">
          <a:hlinkClick xmlns:r="http://schemas.openxmlformats.org/officeDocument/2006/relationships" r:id="rId86"/>
          <a:extLst>
            <a:ext uri="{FF2B5EF4-FFF2-40B4-BE49-F238E27FC236}">
              <a16:creationId xmlns:a16="http://schemas.microsoft.com/office/drawing/2014/main" id="{A3CB0995-5DF5-EF4C-8A85-5096060EBA5C}"/>
            </a:ext>
          </a:extLst>
        </xdr:cNvPr>
        <xdr:cNvSpPr>
          <a:spLocks noChangeAspect="1" noChangeArrowheads="1"/>
        </xdr:cNvSpPr>
      </xdr:nvSpPr>
      <xdr:spPr bwMode="auto">
        <a:xfrm>
          <a:off x="0" y="158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76</xdr:row>
      <xdr:rowOff>0</xdr:rowOff>
    </xdr:from>
    <xdr:to>
      <xdr:col>19</xdr:col>
      <xdr:colOff>304800</xdr:colOff>
      <xdr:row>77</xdr:row>
      <xdr:rowOff>101599</xdr:rowOff>
    </xdr:to>
    <xdr:sp macro="" textlink="">
      <xdr:nvSpPr>
        <xdr:cNvPr id="99" name="AutoShape 77">
          <a:hlinkClick xmlns:r="http://schemas.openxmlformats.org/officeDocument/2006/relationships" r:id="rId87"/>
          <a:extLst>
            <a:ext uri="{FF2B5EF4-FFF2-40B4-BE49-F238E27FC236}">
              <a16:creationId xmlns:a16="http://schemas.microsoft.com/office/drawing/2014/main" id="{49A760C0-B9F2-FF46-89D8-CD6F343D9E94}"/>
            </a:ext>
          </a:extLst>
        </xdr:cNvPr>
        <xdr:cNvSpPr>
          <a:spLocks noChangeAspect="1" noChangeArrowheads="1"/>
        </xdr:cNvSpPr>
      </xdr:nvSpPr>
      <xdr:spPr bwMode="auto">
        <a:xfrm>
          <a:off x="0" y="160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77</xdr:row>
      <xdr:rowOff>0</xdr:rowOff>
    </xdr:from>
    <xdr:to>
      <xdr:col>19</xdr:col>
      <xdr:colOff>304800</xdr:colOff>
      <xdr:row>78</xdr:row>
      <xdr:rowOff>101600</xdr:rowOff>
    </xdr:to>
    <xdr:sp macro="" textlink="">
      <xdr:nvSpPr>
        <xdr:cNvPr id="100" name="AutoShape 78">
          <a:hlinkClick xmlns:r="http://schemas.openxmlformats.org/officeDocument/2006/relationships" r:id="rId88"/>
          <a:extLst>
            <a:ext uri="{FF2B5EF4-FFF2-40B4-BE49-F238E27FC236}">
              <a16:creationId xmlns:a16="http://schemas.microsoft.com/office/drawing/2014/main" id="{10EC1874-73B1-5F46-8E7E-F8EBB2ECAFD7}"/>
            </a:ext>
          </a:extLst>
        </xdr:cNvPr>
        <xdr:cNvSpPr>
          <a:spLocks noChangeAspect="1" noChangeArrowheads="1"/>
        </xdr:cNvSpPr>
      </xdr:nvSpPr>
      <xdr:spPr bwMode="auto">
        <a:xfrm>
          <a:off x="0" y="162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78</xdr:row>
      <xdr:rowOff>0</xdr:rowOff>
    </xdr:from>
    <xdr:to>
      <xdr:col>19</xdr:col>
      <xdr:colOff>304800</xdr:colOff>
      <xdr:row>79</xdr:row>
      <xdr:rowOff>101600</xdr:rowOff>
    </xdr:to>
    <xdr:sp macro="" textlink="">
      <xdr:nvSpPr>
        <xdr:cNvPr id="101" name="AutoShape 79">
          <a:hlinkClick xmlns:r="http://schemas.openxmlformats.org/officeDocument/2006/relationships" r:id="rId89"/>
          <a:extLst>
            <a:ext uri="{FF2B5EF4-FFF2-40B4-BE49-F238E27FC236}">
              <a16:creationId xmlns:a16="http://schemas.microsoft.com/office/drawing/2014/main" id="{D1FC9620-18B2-AE4F-97B2-A117FCE8A5FE}"/>
            </a:ext>
          </a:extLst>
        </xdr:cNvPr>
        <xdr:cNvSpPr>
          <a:spLocks noChangeAspect="1" noChangeArrowheads="1"/>
        </xdr:cNvSpPr>
      </xdr:nvSpPr>
      <xdr:spPr bwMode="auto">
        <a:xfrm>
          <a:off x="0" y="164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79</xdr:row>
      <xdr:rowOff>0</xdr:rowOff>
    </xdr:from>
    <xdr:to>
      <xdr:col>19</xdr:col>
      <xdr:colOff>304800</xdr:colOff>
      <xdr:row>80</xdr:row>
      <xdr:rowOff>101600</xdr:rowOff>
    </xdr:to>
    <xdr:sp macro="" textlink="">
      <xdr:nvSpPr>
        <xdr:cNvPr id="102" name="AutoShape 80">
          <a:hlinkClick xmlns:r="http://schemas.openxmlformats.org/officeDocument/2006/relationships" r:id="rId90"/>
          <a:extLst>
            <a:ext uri="{FF2B5EF4-FFF2-40B4-BE49-F238E27FC236}">
              <a16:creationId xmlns:a16="http://schemas.microsoft.com/office/drawing/2014/main" id="{6B76EF74-E508-0B49-830D-5A341E7C4760}"/>
            </a:ext>
          </a:extLst>
        </xdr:cNvPr>
        <xdr:cNvSpPr>
          <a:spLocks noChangeAspect="1" noChangeArrowheads="1"/>
        </xdr:cNvSpPr>
      </xdr:nvSpPr>
      <xdr:spPr bwMode="auto">
        <a:xfrm>
          <a:off x="0" y="166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80</xdr:row>
      <xdr:rowOff>0</xdr:rowOff>
    </xdr:from>
    <xdr:to>
      <xdr:col>19</xdr:col>
      <xdr:colOff>304800</xdr:colOff>
      <xdr:row>81</xdr:row>
      <xdr:rowOff>101600</xdr:rowOff>
    </xdr:to>
    <xdr:sp macro="" textlink="">
      <xdr:nvSpPr>
        <xdr:cNvPr id="103" name="AutoShape 81">
          <a:hlinkClick xmlns:r="http://schemas.openxmlformats.org/officeDocument/2006/relationships" r:id="rId91"/>
          <a:extLst>
            <a:ext uri="{FF2B5EF4-FFF2-40B4-BE49-F238E27FC236}">
              <a16:creationId xmlns:a16="http://schemas.microsoft.com/office/drawing/2014/main" id="{3C87735B-4B36-C249-A868-BDEB35D2CE6F}"/>
            </a:ext>
          </a:extLst>
        </xdr:cNvPr>
        <xdr:cNvSpPr>
          <a:spLocks noChangeAspect="1" noChangeArrowheads="1"/>
        </xdr:cNvSpPr>
      </xdr:nvSpPr>
      <xdr:spPr bwMode="auto">
        <a:xfrm>
          <a:off x="0" y="168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81</xdr:row>
      <xdr:rowOff>0</xdr:rowOff>
    </xdr:from>
    <xdr:to>
      <xdr:col>19</xdr:col>
      <xdr:colOff>304800</xdr:colOff>
      <xdr:row>82</xdr:row>
      <xdr:rowOff>101601</xdr:rowOff>
    </xdr:to>
    <xdr:sp macro="" textlink="">
      <xdr:nvSpPr>
        <xdr:cNvPr id="104" name="AutoShape 82">
          <a:hlinkClick xmlns:r="http://schemas.openxmlformats.org/officeDocument/2006/relationships" r:id="rId92"/>
          <a:extLst>
            <a:ext uri="{FF2B5EF4-FFF2-40B4-BE49-F238E27FC236}">
              <a16:creationId xmlns:a16="http://schemas.microsoft.com/office/drawing/2014/main" id="{71C558EC-6A6C-9B43-A225-64DCAAF67906}"/>
            </a:ext>
          </a:extLst>
        </xdr:cNvPr>
        <xdr:cNvSpPr>
          <a:spLocks noChangeAspect="1" noChangeArrowheads="1"/>
        </xdr:cNvSpPr>
      </xdr:nvSpPr>
      <xdr:spPr bwMode="auto">
        <a:xfrm>
          <a:off x="0" y="170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82</xdr:row>
      <xdr:rowOff>0</xdr:rowOff>
    </xdr:from>
    <xdr:to>
      <xdr:col>19</xdr:col>
      <xdr:colOff>304800</xdr:colOff>
      <xdr:row>83</xdr:row>
      <xdr:rowOff>101599</xdr:rowOff>
    </xdr:to>
    <xdr:sp macro="" textlink="">
      <xdr:nvSpPr>
        <xdr:cNvPr id="105" name="AutoShape 83">
          <a:hlinkClick xmlns:r="http://schemas.openxmlformats.org/officeDocument/2006/relationships" r:id="rId93"/>
          <a:extLst>
            <a:ext uri="{FF2B5EF4-FFF2-40B4-BE49-F238E27FC236}">
              <a16:creationId xmlns:a16="http://schemas.microsoft.com/office/drawing/2014/main" id="{659FAE4B-96A1-BB48-870A-6A57AA4D0C9B}"/>
            </a:ext>
          </a:extLst>
        </xdr:cNvPr>
        <xdr:cNvSpPr>
          <a:spLocks noChangeAspect="1" noChangeArrowheads="1"/>
        </xdr:cNvSpPr>
      </xdr:nvSpPr>
      <xdr:spPr bwMode="auto">
        <a:xfrm>
          <a:off x="0" y="172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83</xdr:row>
      <xdr:rowOff>0</xdr:rowOff>
    </xdr:from>
    <xdr:to>
      <xdr:col>19</xdr:col>
      <xdr:colOff>304800</xdr:colOff>
      <xdr:row>84</xdr:row>
      <xdr:rowOff>101600</xdr:rowOff>
    </xdr:to>
    <xdr:sp macro="" textlink="">
      <xdr:nvSpPr>
        <xdr:cNvPr id="106" name="AutoShape 84">
          <a:hlinkClick xmlns:r="http://schemas.openxmlformats.org/officeDocument/2006/relationships" r:id="rId94"/>
          <a:extLst>
            <a:ext uri="{FF2B5EF4-FFF2-40B4-BE49-F238E27FC236}">
              <a16:creationId xmlns:a16="http://schemas.microsoft.com/office/drawing/2014/main" id="{50CF459A-35BF-554F-9D61-60699153E399}"/>
            </a:ext>
          </a:extLst>
        </xdr:cNvPr>
        <xdr:cNvSpPr>
          <a:spLocks noChangeAspect="1" noChangeArrowheads="1"/>
        </xdr:cNvSpPr>
      </xdr:nvSpPr>
      <xdr:spPr bwMode="auto">
        <a:xfrm>
          <a:off x="0" y="174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84</xdr:row>
      <xdr:rowOff>0</xdr:rowOff>
    </xdr:from>
    <xdr:to>
      <xdr:col>19</xdr:col>
      <xdr:colOff>304800</xdr:colOff>
      <xdr:row>85</xdr:row>
      <xdr:rowOff>101600</xdr:rowOff>
    </xdr:to>
    <xdr:sp macro="" textlink="">
      <xdr:nvSpPr>
        <xdr:cNvPr id="107" name="AutoShape 85">
          <a:hlinkClick xmlns:r="http://schemas.openxmlformats.org/officeDocument/2006/relationships" r:id="rId95"/>
          <a:extLst>
            <a:ext uri="{FF2B5EF4-FFF2-40B4-BE49-F238E27FC236}">
              <a16:creationId xmlns:a16="http://schemas.microsoft.com/office/drawing/2014/main" id="{7BB576A1-C238-A44D-845B-91F3B8E9B302}"/>
            </a:ext>
          </a:extLst>
        </xdr:cNvPr>
        <xdr:cNvSpPr>
          <a:spLocks noChangeAspect="1" noChangeArrowheads="1"/>
        </xdr:cNvSpPr>
      </xdr:nvSpPr>
      <xdr:spPr bwMode="auto">
        <a:xfrm>
          <a:off x="0" y="176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85</xdr:row>
      <xdr:rowOff>0</xdr:rowOff>
    </xdr:from>
    <xdr:to>
      <xdr:col>19</xdr:col>
      <xdr:colOff>304800</xdr:colOff>
      <xdr:row>86</xdr:row>
      <xdr:rowOff>101600</xdr:rowOff>
    </xdr:to>
    <xdr:sp macro="" textlink="">
      <xdr:nvSpPr>
        <xdr:cNvPr id="108" name="AutoShape 86">
          <a:hlinkClick xmlns:r="http://schemas.openxmlformats.org/officeDocument/2006/relationships" r:id="rId96"/>
          <a:extLst>
            <a:ext uri="{FF2B5EF4-FFF2-40B4-BE49-F238E27FC236}">
              <a16:creationId xmlns:a16="http://schemas.microsoft.com/office/drawing/2014/main" id="{DC7DDF46-C611-1644-B8B2-21FC6132ABD6}"/>
            </a:ext>
          </a:extLst>
        </xdr:cNvPr>
        <xdr:cNvSpPr>
          <a:spLocks noChangeAspect="1" noChangeArrowheads="1"/>
        </xdr:cNvSpPr>
      </xdr:nvSpPr>
      <xdr:spPr bwMode="auto">
        <a:xfrm>
          <a:off x="0" y="178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89</xdr:row>
      <xdr:rowOff>0</xdr:rowOff>
    </xdr:from>
    <xdr:to>
      <xdr:col>19</xdr:col>
      <xdr:colOff>304800</xdr:colOff>
      <xdr:row>90</xdr:row>
      <xdr:rowOff>101601</xdr:rowOff>
    </xdr:to>
    <xdr:sp macro="" textlink="">
      <xdr:nvSpPr>
        <xdr:cNvPr id="109" name="AutoShape 87">
          <a:hlinkClick xmlns:r="http://schemas.openxmlformats.org/officeDocument/2006/relationships" r:id="rId97"/>
          <a:extLst>
            <a:ext uri="{FF2B5EF4-FFF2-40B4-BE49-F238E27FC236}">
              <a16:creationId xmlns:a16="http://schemas.microsoft.com/office/drawing/2014/main" id="{90E477C8-5A04-034A-9736-944946589D07}"/>
            </a:ext>
          </a:extLst>
        </xdr:cNvPr>
        <xdr:cNvSpPr>
          <a:spLocks noChangeAspect="1" noChangeArrowheads="1"/>
        </xdr:cNvSpPr>
      </xdr:nvSpPr>
      <xdr:spPr bwMode="auto">
        <a:xfrm>
          <a:off x="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90</xdr:row>
      <xdr:rowOff>0</xdr:rowOff>
    </xdr:from>
    <xdr:to>
      <xdr:col>19</xdr:col>
      <xdr:colOff>304800</xdr:colOff>
      <xdr:row>91</xdr:row>
      <xdr:rowOff>101599</xdr:rowOff>
    </xdr:to>
    <xdr:sp macro="" textlink="">
      <xdr:nvSpPr>
        <xdr:cNvPr id="110" name="AutoShape 88">
          <a:hlinkClick xmlns:r="http://schemas.openxmlformats.org/officeDocument/2006/relationships" r:id="rId98"/>
          <a:extLst>
            <a:ext uri="{FF2B5EF4-FFF2-40B4-BE49-F238E27FC236}">
              <a16:creationId xmlns:a16="http://schemas.microsoft.com/office/drawing/2014/main" id="{5E76BC45-8651-E04F-9370-6396C43D80B3}"/>
            </a:ext>
          </a:extLst>
        </xdr:cNvPr>
        <xdr:cNvSpPr>
          <a:spLocks noChangeAspect="1" noChangeArrowheads="1"/>
        </xdr:cNvSpPr>
      </xdr:nvSpPr>
      <xdr:spPr bwMode="auto">
        <a:xfrm>
          <a:off x="0" y="1830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91</xdr:row>
      <xdr:rowOff>0</xdr:rowOff>
    </xdr:from>
    <xdr:to>
      <xdr:col>19</xdr:col>
      <xdr:colOff>304800</xdr:colOff>
      <xdr:row>92</xdr:row>
      <xdr:rowOff>101599</xdr:rowOff>
    </xdr:to>
    <xdr:sp macro="" textlink="">
      <xdr:nvSpPr>
        <xdr:cNvPr id="111" name="AutoShape 89">
          <a:hlinkClick xmlns:r="http://schemas.openxmlformats.org/officeDocument/2006/relationships" r:id="rId99"/>
          <a:extLst>
            <a:ext uri="{FF2B5EF4-FFF2-40B4-BE49-F238E27FC236}">
              <a16:creationId xmlns:a16="http://schemas.microsoft.com/office/drawing/2014/main" id="{59B4B5AF-28E4-CD4A-9D47-AC71C1FF2900}"/>
            </a:ext>
          </a:extLst>
        </xdr:cNvPr>
        <xdr:cNvSpPr>
          <a:spLocks noChangeAspect="1" noChangeArrowheads="1"/>
        </xdr:cNvSpPr>
      </xdr:nvSpPr>
      <xdr:spPr bwMode="auto">
        <a:xfrm>
          <a:off x="0" y="185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93</xdr:row>
      <xdr:rowOff>0</xdr:rowOff>
    </xdr:from>
    <xdr:to>
      <xdr:col>19</xdr:col>
      <xdr:colOff>304800</xdr:colOff>
      <xdr:row>93</xdr:row>
      <xdr:rowOff>310778</xdr:rowOff>
    </xdr:to>
    <xdr:sp macro="" textlink="">
      <xdr:nvSpPr>
        <xdr:cNvPr id="112" name="AutoShape 90">
          <a:hlinkClick xmlns:r="http://schemas.openxmlformats.org/officeDocument/2006/relationships" r:id="rId100"/>
          <a:extLst>
            <a:ext uri="{FF2B5EF4-FFF2-40B4-BE49-F238E27FC236}">
              <a16:creationId xmlns:a16="http://schemas.microsoft.com/office/drawing/2014/main" id="{4372A719-8708-B74B-9E87-8A06C1E2AAA7}"/>
            </a:ext>
          </a:extLst>
        </xdr:cNvPr>
        <xdr:cNvSpPr>
          <a:spLocks noChangeAspect="1" noChangeArrowheads="1"/>
        </xdr:cNvSpPr>
      </xdr:nvSpPr>
      <xdr:spPr bwMode="auto">
        <a:xfrm>
          <a:off x="0" y="189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94</xdr:row>
      <xdr:rowOff>0</xdr:rowOff>
    </xdr:from>
    <xdr:to>
      <xdr:col>19</xdr:col>
      <xdr:colOff>304800</xdr:colOff>
      <xdr:row>95</xdr:row>
      <xdr:rowOff>101600</xdr:rowOff>
    </xdr:to>
    <xdr:sp macro="" textlink="">
      <xdr:nvSpPr>
        <xdr:cNvPr id="113" name="AutoShape 91">
          <a:hlinkClick xmlns:r="http://schemas.openxmlformats.org/officeDocument/2006/relationships" r:id="rId101"/>
          <a:extLst>
            <a:ext uri="{FF2B5EF4-FFF2-40B4-BE49-F238E27FC236}">
              <a16:creationId xmlns:a16="http://schemas.microsoft.com/office/drawing/2014/main" id="{A470127B-CFA7-6848-9955-1BE415A98474}"/>
            </a:ext>
          </a:extLst>
        </xdr:cNvPr>
        <xdr:cNvSpPr>
          <a:spLocks noChangeAspect="1" noChangeArrowheads="1"/>
        </xdr:cNvSpPr>
      </xdr:nvSpPr>
      <xdr:spPr bwMode="auto">
        <a:xfrm>
          <a:off x="0" y="19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95</xdr:row>
      <xdr:rowOff>0</xdr:rowOff>
    </xdr:from>
    <xdr:to>
      <xdr:col>19</xdr:col>
      <xdr:colOff>304800</xdr:colOff>
      <xdr:row>96</xdr:row>
      <xdr:rowOff>101600</xdr:rowOff>
    </xdr:to>
    <xdr:sp macro="" textlink="">
      <xdr:nvSpPr>
        <xdr:cNvPr id="114" name="AutoShape 92">
          <a:hlinkClick xmlns:r="http://schemas.openxmlformats.org/officeDocument/2006/relationships" r:id="rId102"/>
          <a:extLst>
            <a:ext uri="{FF2B5EF4-FFF2-40B4-BE49-F238E27FC236}">
              <a16:creationId xmlns:a16="http://schemas.microsoft.com/office/drawing/2014/main" id="{7FDD1A6A-F432-9D4C-9351-B8D7D262C45F}"/>
            </a:ext>
          </a:extLst>
        </xdr:cNvPr>
        <xdr:cNvSpPr>
          <a:spLocks noChangeAspect="1" noChangeArrowheads="1"/>
        </xdr:cNvSpPr>
      </xdr:nvSpPr>
      <xdr:spPr bwMode="auto">
        <a:xfrm>
          <a:off x="0" y="193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96</xdr:row>
      <xdr:rowOff>0</xdr:rowOff>
    </xdr:from>
    <xdr:to>
      <xdr:col>19</xdr:col>
      <xdr:colOff>304800</xdr:colOff>
      <xdr:row>96</xdr:row>
      <xdr:rowOff>304799</xdr:rowOff>
    </xdr:to>
    <xdr:sp macro="" textlink="">
      <xdr:nvSpPr>
        <xdr:cNvPr id="115" name="AutoShape 93">
          <a:hlinkClick xmlns:r="http://schemas.openxmlformats.org/officeDocument/2006/relationships" r:id="rId103"/>
          <a:extLst>
            <a:ext uri="{FF2B5EF4-FFF2-40B4-BE49-F238E27FC236}">
              <a16:creationId xmlns:a16="http://schemas.microsoft.com/office/drawing/2014/main" id="{0C81A44B-0739-F645-B8A4-333AF86E04D1}"/>
            </a:ext>
          </a:extLst>
        </xdr:cNvPr>
        <xdr:cNvSpPr>
          <a:spLocks noChangeAspect="1" noChangeArrowheads="1"/>
        </xdr:cNvSpPr>
      </xdr:nvSpPr>
      <xdr:spPr bwMode="auto">
        <a:xfrm>
          <a:off x="0" y="195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97</xdr:row>
      <xdr:rowOff>0</xdr:rowOff>
    </xdr:from>
    <xdr:to>
      <xdr:col>19</xdr:col>
      <xdr:colOff>304800</xdr:colOff>
      <xdr:row>98</xdr:row>
      <xdr:rowOff>101599</xdr:rowOff>
    </xdr:to>
    <xdr:sp macro="" textlink="">
      <xdr:nvSpPr>
        <xdr:cNvPr id="116" name="AutoShape 94">
          <a:hlinkClick xmlns:r="http://schemas.openxmlformats.org/officeDocument/2006/relationships" r:id="rId104"/>
          <a:extLst>
            <a:ext uri="{FF2B5EF4-FFF2-40B4-BE49-F238E27FC236}">
              <a16:creationId xmlns:a16="http://schemas.microsoft.com/office/drawing/2014/main" id="{7414F7C2-2BD6-1C41-8727-DFF1F9193288}"/>
            </a:ext>
          </a:extLst>
        </xdr:cNvPr>
        <xdr:cNvSpPr>
          <a:spLocks noChangeAspect="1" noChangeArrowheads="1"/>
        </xdr:cNvSpPr>
      </xdr:nvSpPr>
      <xdr:spPr bwMode="auto">
        <a:xfrm>
          <a:off x="0" y="1972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98</xdr:row>
      <xdr:rowOff>0</xdr:rowOff>
    </xdr:from>
    <xdr:to>
      <xdr:col>19</xdr:col>
      <xdr:colOff>304800</xdr:colOff>
      <xdr:row>98</xdr:row>
      <xdr:rowOff>304802</xdr:rowOff>
    </xdr:to>
    <xdr:sp macro="" textlink="">
      <xdr:nvSpPr>
        <xdr:cNvPr id="117" name="AutoShape 95">
          <a:hlinkClick xmlns:r="http://schemas.openxmlformats.org/officeDocument/2006/relationships" r:id="rId105"/>
          <a:extLst>
            <a:ext uri="{FF2B5EF4-FFF2-40B4-BE49-F238E27FC236}">
              <a16:creationId xmlns:a16="http://schemas.microsoft.com/office/drawing/2014/main" id="{F168E81D-A61A-3042-8B44-B07BA331F15A}"/>
            </a:ext>
          </a:extLst>
        </xdr:cNvPr>
        <xdr:cNvSpPr>
          <a:spLocks noChangeAspect="1" noChangeArrowheads="1"/>
        </xdr:cNvSpPr>
      </xdr:nvSpPr>
      <xdr:spPr bwMode="auto">
        <a:xfrm>
          <a:off x="0" y="199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99</xdr:row>
      <xdr:rowOff>0</xdr:rowOff>
    </xdr:from>
    <xdr:to>
      <xdr:col>19</xdr:col>
      <xdr:colOff>304800</xdr:colOff>
      <xdr:row>100</xdr:row>
      <xdr:rowOff>101599</xdr:rowOff>
    </xdr:to>
    <xdr:sp macro="" textlink="">
      <xdr:nvSpPr>
        <xdr:cNvPr id="118" name="AutoShape 96">
          <a:hlinkClick xmlns:r="http://schemas.openxmlformats.org/officeDocument/2006/relationships" r:id="rId106"/>
          <a:extLst>
            <a:ext uri="{FF2B5EF4-FFF2-40B4-BE49-F238E27FC236}">
              <a16:creationId xmlns:a16="http://schemas.microsoft.com/office/drawing/2014/main" id="{1A9B8946-E40A-FB47-99F7-844A7DEE3420}"/>
            </a:ext>
          </a:extLst>
        </xdr:cNvPr>
        <xdr:cNvSpPr>
          <a:spLocks noChangeAspect="1" noChangeArrowheads="1"/>
        </xdr:cNvSpPr>
      </xdr:nvSpPr>
      <xdr:spPr bwMode="auto">
        <a:xfrm>
          <a:off x="0" y="201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100</xdr:row>
      <xdr:rowOff>0</xdr:rowOff>
    </xdr:from>
    <xdr:to>
      <xdr:col>19</xdr:col>
      <xdr:colOff>304800</xdr:colOff>
      <xdr:row>101</xdr:row>
      <xdr:rowOff>101601</xdr:rowOff>
    </xdr:to>
    <xdr:sp macro="" textlink="">
      <xdr:nvSpPr>
        <xdr:cNvPr id="119" name="AutoShape 97">
          <a:hlinkClick xmlns:r="http://schemas.openxmlformats.org/officeDocument/2006/relationships" r:id="rId107"/>
          <a:extLst>
            <a:ext uri="{FF2B5EF4-FFF2-40B4-BE49-F238E27FC236}">
              <a16:creationId xmlns:a16="http://schemas.microsoft.com/office/drawing/2014/main" id="{FB79E98F-9FE9-7649-8C8C-DE9A819BE354}"/>
            </a:ext>
          </a:extLst>
        </xdr:cNvPr>
        <xdr:cNvSpPr>
          <a:spLocks noChangeAspect="1" noChangeArrowheads="1"/>
        </xdr:cNvSpPr>
      </xdr:nvSpPr>
      <xdr:spPr bwMode="auto">
        <a:xfrm>
          <a:off x="0" y="203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101</xdr:row>
      <xdr:rowOff>0</xdr:rowOff>
    </xdr:from>
    <xdr:to>
      <xdr:col>19</xdr:col>
      <xdr:colOff>304800</xdr:colOff>
      <xdr:row>102</xdr:row>
      <xdr:rowOff>101599</xdr:rowOff>
    </xdr:to>
    <xdr:sp macro="" textlink="">
      <xdr:nvSpPr>
        <xdr:cNvPr id="120" name="AutoShape 98">
          <a:hlinkClick xmlns:r="http://schemas.openxmlformats.org/officeDocument/2006/relationships" r:id="rId108"/>
          <a:extLst>
            <a:ext uri="{FF2B5EF4-FFF2-40B4-BE49-F238E27FC236}">
              <a16:creationId xmlns:a16="http://schemas.microsoft.com/office/drawing/2014/main" id="{63228B68-6378-9348-9244-A62A7366BEAF}"/>
            </a:ext>
          </a:extLst>
        </xdr:cNvPr>
        <xdr:cNvSpPr>
          <a:spLocks noChangeAspect="1" noChangeArrowheads="1"/>
        </xdr:cNvSpPr>
      </xdr:nvSpPr>
      <xdr:spPr bwMode="auto">
        <a:xfrm>
          <a:off x="0" y="205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103</xdr:row>
      <xdr:rowOff>0</xdr:rowOff>
    </xdr:from>
    <xdr:to>
      <xdr:col>19</xdr:col>
      <xdr:colOff>304800</xdr:colOff>
      <xdr:row>104</xdr:row>
      <xdr:rowOff>96293</xdr:rowOff>
    </xdr:to>
    <xdr:sp macro="" textlink="">
      <xdr:nvSpPr>
        <xdr:cNvPr id="121" name="AutoShape 99">
          <a:hlinkClick xmlns:r="http://schemas.openxmlformats.org/officeDocument/2006/relationships" r:id="rId109"/>
          <a:extLst>
            <a:ext uri="{FF2B5EF4-FFF2-40B4-BE49-F238E27FC236}">
              <a16:creationId xmlns:a16="http://schemas.microsoft.com/office/drawing/2014/main" id="{3C7BAD5A-EE4C-4B45-9038-16087814E1AF}"/>
            </a:ext>
          </a:extLst>
        </xdr:cNvPr>
        <xdr:cNvSpPr>
          <a:spLocks noChangeAspect="1" noChangeArrowheads="1"/>
        </xdr:cNvSpPr>
      </xdr:nvSpPr>
      <xdr:spPr bwMode="auto">
        <a:xfrm>
          <a:off x="0" y="207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104</xdr:row>
      <xdr:rowOff>0</xdr:rowOff>
    </xdr:from>
    <xdr:to>
      <xdr:col>19</xdr:col>
      <xdr:colOff>304800</xdr:colOff>
      <xdr:row>105</xdr:row>
      <xdr:rowOff>101599</xdr:rowOff>
    </xdr:to>
    <xdr:sp macro="" textlink="">
      <xdr:nvSpPr>
        <xdr:cNvPr id="122" name="AutoShape 100">
          <a:hlinkClick xmlns:r="http://schemas.openxmlformats.org/officeDocument/2006/relationships" r:id="rId110"/>
          <a:extLst>
            <a:ext uri="{FF2B5EF4-FFF2-40B4-BE49-F238E27FC236}">
              <a16:creationId xmlns:a16="http://schemas.microsoft.com/office/drawing/2014/main" id="{43977B1A-BE09-554B-B120-A4C7B7C5E0BB}"/>
            </a:ext>
          </a:extLst>
        </xdr:cNvPr>
        <xdr:cNvSpPr>
          <a:spLocks noChangeAspect="1" noChangeArrowheads="1"/>
        </xdr:cNvSpPr>
      </xdr:nvSpPr>
      <xdr:spPr bwMode="auto">
        <a:xfrm>
          <a:off x="0" y="20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105</xdr:row>
      <xdr:rowOff>0</xdr:rowOff>
    </xdr:from>
    <xdr:to>
      <xdr:col>19</xdr:col>
      <xdr:colOff>304800</xdr:colOff>
      <xdr:row>106</xdr:row>
      <xdr:rowOff>101600</xdr:rowOff>
    </xdr:to>
    <xdr:sp macro="" textlink="">
      <xdr:nvSpPr>
        <xdr:cNvPr id="123" name="AutoShape 101">
          <a:hlinkClick xmlns:r="http://schemas.openxmlformats.org/officeDocument/2006/relationships" r:id="rId111"/>
          <a:extLst>
            <a:ext uri="{FF2B5EF4-FFF2-40B4-BE49-F238E27FC236}">
              <a16:creationId xmlns:a16="http://schemas.microsoft.com/office/drawing/2014/main" id="{28409D89-4E0D-1D4B-93B2-380B818E408B}"/>
            </a:ext>
          </a:extLst>
        </xdr:cNvPr>
        <xdr:cNvSpPr>
          <a:spLocks noChangeAspect="1" noChangeArrowheads="1"/>
        </xdr:cNvSpPr>
      </xdr:nvSpPr>
      <xdr:spPr bwMode="auto">
        <a:xfrm>
          <a:off x="0" y="211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106</xdr:row>
      <xdr:rowOff>0</xdr:rowOff>
    </xdr:from>
    <xdr:to>
      <xdr:col>19</xdr:col>
      <xdr:colOff>304800</xdr:colOff>
      <xdr:row>107</xdr:row>
      <xdr:rowOff>101599</xdr:rowOff>
    </xdr:to>
    <xdr:sp macro="" textlink="">
      <xdr:nvSpPr>
        <xdr:cNvPr id="124" name="AutoShape 102">
          <a:hlinkClick xmlns:r="http://schemas.openxmlformats.org/officeDocument/2006/relationships" r:id="rId112"/>
          <a:extLst>
            <a:ext uri="{FF2B5EF4-FFF2-40B4-BE49-F238E27FC236}">
              <a16:creationId xmlns:a16="http://schemas.microsoft.com/office/drawing/2014/main" id="{7446875A-7923-054E-A352-E5B6794757BD}"/>
            </a:ext>
          </a:extLst>
        </xdr:cNvPr>
        <xdr:cNvSpPr>
          <a:spLocks noChangeAspect="1" noChangeArrowheads="1"/>
        </xdr:cNvSpPr>
      </xdr:nvSpPr>
      <xdr:spPr bwMode="auto">
        <a:xfrm>
          <a:off x="0" y="213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107</xdr:row>
      <xdr:rowOff>0</xdr:rowOff>
    </xdr:from>
    <xdr:to>
      <xdr:col>19</xdr:col>
      <xdr:colOff>304800</xdr:colOff>
      <xdr:row>108</xdr:row>
      <xdr:rowOff>101602</xdr:rowOff>
    </xdr:to>
    <xdr:sp macro="" textlink="">
      <xdr:nvSpPr>
        <xdr:cNvPr id="125" name="AutoShape 103">
          <a:hlinkClick xmlns:r="http://schemas.openxmlformats.org/officeDocument/2006/relationships" r:id="rId113"/>
          <a:extLst>
            <a:ext uri="{FF2B5EF4-FFF2-40B4-BE49-F238E27FC236}">
              <a16:creationId xmlns:a16="http://schemas.microsoft.com/office/drawing/2014/main" id="{6A9F170C-F344-5741-87D3-24CB23F2A290}"/>
            </a:ext>
          </a:extLst>
        </xdr:cNvPr>
        <xdr:cNvSpPr>
          <a:spLocks noChangeAspect="1" noChangeArrowheads="1"/>
        </xdr:cNvSpPr>
      </xdr:nvSpPr>
      <xdr:spPr bwMode="auto">
        <a:xfrm>
          <a:off x="0" y="215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108</xdr:row>
      <xdr:rowOff>0</xdr:rowOff>
    </xdr:from>
    <xdr:to>
      <xdr:col>19</xdr:col>
      <xdr:colOff>304800</xdr:colOff>
      <xdr:row>109</xdr:row>
      <xdr:rowOff>101599</xdr:rowOff>
    </xdr:to>
    <xdr:sp macro="" textlink="">
      <xdr:nvSpPr>
        <xdr:cNvPr id="126" name="AutoShape 104">
          <a:hlinkClick xmlns:r="http://schemas.openxmlformats.org/officeDocument/2006/relationships" r:id="rId114"/>
          <a:extLst>
            <a:ext uri="{FF2B5EF4-FFF2-40B4-BE49-F238E27FC236}">
              <a16:creationId xmlns:a16="http://schemas.microsoft.com/office/drawing/2014/main" id="{F656F1C2-5B5C-4040-AEAA-206552210269}"/>
            </a:ext>
          </a:extLst>
        </xdr:cNvPr>
        <xdr:cNvSpPr>
          <a:spLocks noChangeAspect="1" noChangeArrowheads="1"/>
        </xdr:cNvSpPr>
      </xdr:nvSpPr>
      <xdr:spPr bwMode="auto">
        <a:xfrm>
          <a:off x="0" y="217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109</xdr:row>
      <xdr:rowOff>0</xdr:rowOff>
    </xdr:from>
    <xdr:to>
      <xdr:col>19</xdr:col>
      <xdr:colOff>304800</xdr:colOff>
      <xdr:row>110</xdr:row>
      <xdr:rowOff>101601</xdr:rowOff>
    </xdr:to>
    <xdr:sp macro="" textlink="">
      <xdr:nvSpPr>
        <xdr:cNvPr id="127" name="AutoShape 105">
          <a:hlinkClick xmlns:r="http://schemas.openxmlformats.org/officeDocument/2006/relationships" r:id="rId115"/>
          <a:extLst>
            <a:ext uri="{FF2B5EF4-FFF2-40B4-BE49-F238E27FC236}">
              <a16:creationId xmlns:a16="http://schemas.microsoft.com/office/drawing/2014/main" id="{862EE9A8-90C1-BE45-89C1-D403CE22AA01}"/>
            </a:ext>
          </a:extLst>
        </xdr:cNvPr>
        <xdr:cNvSpPr>
          <a:spLocks noChangeAspect="1" noChangeArrowheads="1"/>
        </xdr:cNvSpPr>
      </xdr:nvSpPr>
      <xdr:spPr bwMode="auto">
        <a:xfrm>
          <a:off x="0" y="219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110</xdr:row>
      <xdr:rowOff>0</xdr:rowOff>
    </xdr:from>
    <xdr:to>
      <xdr:col>19</xdr:col>
      <xdr:colOff>304800</xdr:colOff>
      <xdr:row>111</xdr:row>
      <xdr:rowOff>101599</xdr:rowOff>
    </xdr:to>
    <xdr:sp macro="" textlink="">
      <xdr:nvSpPr>
        <xdr:cNvPr id="128" name="AutoShape 106">
          <a:hlinkClick xmlns:r="http://schemas.openxmlformats.org/officeDocument/2006/relationships" r:id="rId116"/>
          <a:extLst>
            <a:ext uri="{FF2B5EF4-FFF2-40B4-BE49-F238E27FC236}">
              <a16:creationId xmlns:a16="http://schemas.microsoft.com/office/drawing/2014/main" id="{27B426DC-CEE8-8640-8B7F-31675B489427}"/>
            </a:ext>
          </a:extLst>
        </xdr:cNvPr>
        <xdr:cNvSpPr>
          <a:spLocks noChangeAspect="1" noChangeArrowheads="1"/>
        </xdr:cNvSpPr>
      </xdr:nvSpPr>
      <xdr:spPr bwMode="auto">
        <a:xfrm>
          <a:off x="0" y="221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111</xdr:row>
      <xdr:rowOff>0</xdr:rowOff>
    </xdr:from>
    <xdr:to>
      <xdr:col>19</xdr:col>
      <xdr:colOff>304800</xdr:colOff>
      <xdr:row>112</xdr:row>
      <xdr:rowOff>101600</xdr:rowOff>
    </xdr:to>
    <xdr:sp macro="" textlink="">
      <xdr:nvSpPr>
        <xdr:cNvPr id="129" name="AutoShape 107">
          <a:hlinkClick xmlns:r="http://schemas.openxmlformats.org/officeDocument/2006/relationships" r:id="rId117"/>
          <a:extLst>
            <a:ext uri="{FF2B5EF4-FFF2-40B4-BE49-F238E27FC236}">
              <a16:creationId xmlns:a16="http://schemas.microsoft.com/office/drawing/2014/main" id="{133141DE-9ED6-7545-BF82-C2ECAF95EBEF}"/>
            </a:ext>
          </a:extLst>
        </xdr:cNvPr>
        <xdr:cNvSpPr>
          <a:spLocks noChangeAspect="1" noChangeArrowheads="1"/>
        </xdr:cNvSpPr>
      </xdr:nvSpPr>
      <xdr:spPr bwMode="auto">
        <a:xfrm>
          <a:off x="0" y="223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112</xdr:row>
      <xdr:rowOff>0</xdr:rowOff>
    </xdr:from>
    <xdr:to>
      <xdr:col>19</xdr:col>
      <xdr:colOff>304800</xdr:colOff>
      <xdr:row>113</xdr:row>
      <xdr:rowOff>101601</xdr:rowOff>
    </xdr:to>
    <xdr:sp macro="" textlink="">
      <xdr:nvSpPr>
        <xdr:cNvPr id="130" name="AutoShape 108">
          <a:hlinkClick xmlns:r="http://schemas.openxmlformats.org/officeDocument/2006/relationships" r:id="rId118"/>
          <a:extLst>
            <a:ext uri="{FF2B5EF4-FFF2-40B4-BE49-F238E27FC236}">
              <a16:creationId xmlns:a16="http://schemas.microsoft.com/office/drawing/2014/main" id="{931E846B-7344-CC4C-81D1-4514F7DBFEFF}"/>
            </a:ext>
          </a:extLst>
        </xdr:cNvPr>
        <xdr:cNvSpPr>
          <a:spLocks noChangeAspect="1" noChangeArrowheads="1"/>
        </xdr:cNvSpPr>
      </xdr:nvSpPr>
      <xdr:spPr bwMode="auto">
        <a:xfrm>
          <a:off x="0" y="225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113</xdr:row>
      <xdr:rowOff>0</xdr:rowOff>
    </xdr:from>
    <xdr:to>
      <xdr:col>19</xdr:col>
      <xdr:colOff>304800</xdr:colOff>
      <xdr:row>114</xdr:row>
      <xdr:rowOff>101600</xdr:rowOff>
    </xdr:to>
    <xdr:sp macro="" textlink="">
      <xdr:nvSpPr>
        <xdr:cNvPr id="131" name="AutoShape 109">
          <a:hlinkClick xmlns:r="http://schemas.openxmlformats.org/officeDocument/2006/relationships" r:id="rId119"/>
          <a:extLst>
            <a:ext uri="{FF2B5EF4-FFF2-40B4-BE49-F238E27FC236}">
              <a16:creationId xmlns:a16="http://schemas.microsoft.com/office/drawing/2014/main" id="{9AE7ED53-9DD6-6C40-86F9-4BA14B4B083F}"/>
            </a:ext>
          </a:extLst>
        </xdr:cNvPr>
        <xdr:cNvSpPr>
          <a:spLocks noChangeAspect="1" noChangeArrowheads="1"/>
        </xdr:cNvSpPr>
      </xdr:nvSpPr>
      <xdr:spPr bwMode="auto">
        <a:xfrm>
          <a:off x="0" y="227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114</xdr:row>
      <xdr:rowOff>0</xdr:rowOff>
    </xdr:from>
    <xdr:to>
      <xdr:col>19</xdr:col>
      <xdr:colOff>304800</xdr:colOff>
      <xdr:row>115</xdr:row>
      <xdr:rowOff>101598</xdr:rowOff>
    </xdr:to>
    <xdr:sp macro="" textlink="">
      <xdr:nvSpPr>
        <xdr:cNvPr id="132" name="AutoShape 110">
          <a:hlinkClick xmlns:r="http://schemas.openxmlformats.org/officeDocument/2006/relationships" r:id="rId120"/>
          <a:extLst>
            <a:ext uri="{FF2B5EF4-FFF2-40B4-BE49-F238E27FC236}">
              <a16:creationId xmlns:a16="http://schemas.microsoft.com/office/drawing/2014/main" id="{24A5386C-BCAC-7D4D-8988-2CACD3F83574}"/>
            </a:ext>
          </a:extLst>
        </xdr:cNvPr>
        <xdr:cNvSpPr>
          <a:spLocks noChangeAspect="1" noChangeArrowheads="1"/>
        </xdr:cNvSpPr>
      </xdr:nvSpPr>
      <xdr:spPr bwMode="auto">
        <a:xfrm>
          <a:off x="0" y="229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115</xdr:row>
      <xdr:rowOff>0</xdr:rowOff>
    </xdr:from>
    <xdr:to>
      <xdr:col>19</xdr:col>
      <xdr:colOff>304800</xdr:colOff>
      <xdr:row>116</xdr:row>
      <xdr:rowOff>101600</xdr:rowOff>
    </xdr:to>
    <xdr:sp macro="" textlink="">
      <xdr:nvSpPr>
        <xdr:cNvPr id="133" name="AutoShape 111">
          <a:hlinkClick xmlns:r="http://schemas.openxmlformats.org/officeDocument/2006/relationships" r:id="rId121"/>
          <a:extLst>
            <a:ext uri="{FF2B5EF4-FFF2-40B4-BE49-F238E27FC236}">
              <a16:creationId xmlns:a16="http://schemas.microsoft.com/office/drawing/2014/main" id="{A75ECF18-DD52-E643-B351-784B780F3630}"/>
            </a:ext>
          </a:extLst>
        </xdr:cNvPr>
        <xdr:cNvSpPr>
          <a:spLocks noChangeAspect="1" noChangeArrowheads="1"/>
        </xdr:cNvSpPr>
      </xdr:nvSpPr>
      <xdr:spPr bwMode="auto">
        <a:xfrm>
          <a:off x="0" y="231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116</xdr:row>
      <xdr:rowOff>0</xdr:rowOff>
    </xdr:from>
    <xdr:to>
      <xdr:col>19</xdr:col>
      <xdr:colOff>304800</xdr:colOff>
      <xdr:row>117</xdr:row>
      <xdr:rowOff>101601</xdr:rowOff>
    </xdr:to>
    <xdr:sp macro="" textlink="">
      <xdr:nvSpPr>
        <xdr:cNvPr id="134" name="AutoShape 112">
          <a:hlinkClick xmlns:r="http://schemas.openxmlformats.org/officeDocument/2006/relationships" r:id="rId122"/>
          <a:extLst>
            <a:ext uri="{FF2B5EF4-FFF2-40B4-BE49-F238E27FC236}">
              <a16:creationId xmlns:a16="http://schemas.microsoft.com/office/drawing/2014/main" id="{0A53FA6D-BED9-5C4A-B65C-28B2274DAC28}"/>
            </a:ext>
          </a:extLst>
        </xdr:cNvPr>
        <xdr:cNvSpPr>
          <a:spLocks noChangeAspect="1" noChangeArrowheads="1"/>
        </xdr:cNvSpPr>
      </xdr:nvSpPr>
      <xdr:spPr bwMode="auto">
        <a:xfrm>
          <a:off x="0" y="233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117</xdr:row>
      <xdr:rowOff>0</xdr:rowOff>
    </xdr:from>
    <xdr:to>
      <xdr:col>19</xdr:col>
      <xdr:colOff>304800</xdr:colOff>
      <xdr:row>118</xdr:row>
      <xdr:rowOff>101600</xdr:rowOff>
    </xdr:to>
    <xdr:sp macro="" textlink="">
      <xdr:nvSpPr>
        <xdr:cNvPr id="135" name="AutoShape 113">
          <a:hlinkClick xmlns:r="http://schemas.openxmlformats.org/officeDocument/2006/relationships" r:id="rId123"/>
          <a:extLst>
            <a:ext uri="{FF2B5EF4-FFF2-40B4-BE49-F238E27FC236}">
              <a16:creationId xmlns:a16="http://schemas.microsoft.com/office/drawing/2014/main" id="{35F4FB37-6A96-A449-9ED3-4B62DC6D497A}"/>
            </a:ext>
          </a:extLst>
        </xdr:cNvPr>
        <xdr:cNvSpPr>
          <a:spLocks noChangeAspect="1" noChangeArrowheads="1"/>
        </xdr:cNvSpPr>
      </xdr:nvSpPr>
      <xdr:spPr bwMode="auto">
        <a:xfrm>
          <a:off x="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118</xdr:row>
      <xdr:rowOff>0</xdr:rowOff>
    </xdr:from>
    <xdr:to>
      <xdr:col>19</xdr:col>
      <xdr:colOff>304800</xdr:colOff>
      <xdr:row>119</xdr:row>
      <xdr:rowOff>101601</xdr:rowOff>
    </xdr:to>
    <xdr:sp macro="" textlink="">
      <xdr:nvSpPr>
        <xdr:cNvPr id="136" name="AutoShape 114">
          <a:hlinkClick xmlns:r="http://schemas.openxmlformats.org/officeDocument/2006/relationships" r:id="rId124"/>
          <a:extLst>
            <a:ext uri="{FF2B5EF4-FFF2-40B4-BE49-F238E27FC236}">
              <a16:creationId xmlns:a16="http://schemas.microsoft.com/office/drawing/2014/main" id="{FD0F0E0B-9C37-584A-B154-2A6084A3E139}"/>
            </a:ext>
          </a:extLst>
        </xdr:cNvPr>
        <xdr:cNvSpPr>
          <a:spLocks noChangeAspect="1" noChangeArrowheads="1"/>
        </xdr:cNvSpPr>
      </xdr:nvSpPr>
      <xdr:spPr bwMode="auto">
        <a:xfrm>
          <a:off x="0" y="237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119</xdr:row>
      <xdr:rowOff>0</xdr:rowOff>
    </xdr:from>
    <xdr:to>
      <xdr:col>19</xdr:col>
      <xdr:colOff>304800</xdr:colOff>
      <xdr:row>120</xdr:row>
      <xdr:rowOff>101598</xdr:rowOff>
    </xdr:to>
    <xdr:sp macro="" textlink="">
      <xdr:nvSpPr>
        <xdr:cNvPr id="137" name="AutoShape 115">
          <a:hlinkClick xmlns:r="http://schemas.openxmlformats.org/officeDocument/2006/relationships" r:id="rId125"/>
          <a:extLst>
            <a:ext uri="{FF2B5EF4-FFF2-40B4-BE49-F238E27FC236}">
              <a16:creationId xmlns:a16="http://schemas.microsoft.com/office/drawing/2014/main" id="{D0FBAEE7-EDCC-7249-9648-4F0892C69ED1}"/>
            </a:ext>
          </a:extLst>
        </xdr:cNvPr>
        <xdr:cNvSpPr>
          <a:spLocks noChangeAspect="1" noChangeArrowheads="1"/>
        </xdr:cNvSpPr>
      </xdr:nvSpPr>
      <xdr:spPr bwMode="auto">
        <a:xfrm>
          <a:off x="0" y="2399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120</xdr:row>
      <xdr:rowOff>0</xdr:rowOff>
    </xdr:from>
    <xdr:to>
      <xdr:col>19</xdr:col>
      <xdr:colOff>304800</xdr:colOff>
      <xdr:row>121</xdr:row>
      <xdr:rowOff>101601</xdr:rowOff>
    </xdr:to>
    <xdr:sp macro="" textlink="">
      <xdr:nvSpPr>
        <xdr:cNvPr id="138" name="AutoShape 116">
          <a:hlinkClick xmlns:r="http://schemas.openxmlformats.org/officeDocument/2006/relationships" r:id="rId126"/>
          <a:extLst>
            <a:ext uri="{FF2B5EF4-FFF2-40B4-BE49-F238E27FC236}">
              <a16:creationId xmlns:a16="http://schemas.microsoft.com/office/drawing/2014/main" id="{0E03DA8F-04A3-BB4B-865E-CBE5A51D87C6}"/>
            </a:ext>
          </a:extLst>
        </xdr:cNvPr>
        <xdr:cNvSpPr>
          <a:spLocks noChangeAspect="1" noChangeArrowheads="1"/>
        </xdr:cNvSpPr>
      </xdr:nvSpPr>
      <xdr:spPr bwMode="auto">
        <a:xfrm>
          <a:off x="0" y="241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121</xdr:row>
      <xdr:rowOff>0</xdr:rowOff>
    </xdr:from>
    <xdr:to>
      <xdr:col>19</xdr:col>
      <xdr:colOff>304800</xdr:colOff>
      <xdr:row>122</xdr:row>
      <xdr:rowOff>101600</xdr:rowOff>
    </xdr:to>
    <xdr:sp macro="" textlink="">
      <xdr:nvSpPr>
        <xdr:cNvPr id="139" name="AutoShape 117">
          <a:hlinkClick xmlns:r="http://schemas.openxmlformats.org/officeDocument/2006/relationships" r:id="rId127"/>
          <a:extLst>
            <a:ext uri="{FF2B5EF4-FFF2-40B4-BE49-F238E27FC236}">
              <a16:creationId xmlns:a16="http://schemas.microsoft.com/office/drawing/2014/main" id="{7D1587EB-0C85-E64B-93A0-225D81B65619}"/>
            </a:ext>
          </a:extLst>
        </xdr:cNvPr>
        <xdr:cNvSpPr>
          <a:spLocks noChangeAspect="1" noChangeArrowheads="1"/>
        </xdr:cNvSpPr>
      </xdr:nvSpPr>
      <xdr:spPr bwMode="auto">
        <a:xfrm>
          <a:off x="0" y="2439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122</xdr:row>
      <xdr:rowOff>0</xdr:rowOff>
    </xdr:from>
    <xdr:to>
      <xdr:col>19</xdr:col>
      <xdr:colOff>304800</xdr:colOff>
      <xdr:row>123</xdr:row>
      <xdr:rowOff>101601</xdr:rowOff>
    </xdr:to>
    <xdr:sp macro="" textlink="">
      <xdr:nvSpPr>
        <xdr:cNvPr id="140" name="AutoShape 118">
          <a:hlinkClick xmlns:r="http://schemas.openxmlformats.org/officeDocument/2006/relationships" r:id="rId128"/>
          <a:extLst>
            <a:ext uri="{FF2B5EF4-FFF2-40B4-BE49-F238E27FC236}">
              <a16:creationId xmlns:a16="http://schemas.microsoft.com/office/drawing/2014/main" id="{5564E05A-EB53-3B4C-B542-60B37EF46F45}"/>
            </a:ext>
          </a:extLst>
        </xdr:cNvPr>
        <xdr:cNvSpPr>
          <a:spLocks noChangeAspect="1" noChangeArrowheads="1"/>
        </xdr:cNvSpPr>
      </xdr:nvSpPr>
      <xdr:spPr bwMode="auto">
        <a:xfrm>
          <a:off x="0" y="245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123</xdr:row>
      <xdr:rowOff>0</xdr:rowOff>
    </xdr:from>
    <xdr:to>
      <xdr:col>19</xdr:col>
      <xdr:colOff>304800</xdr:colOff>
      <xdr:row>124</xdr:row>
      <xdr:rowOff>101600</xdr:rowOff>
    </xdr:to>
    <xdr:sp macro="" textlink="">
      <xdr:nvSpPr>
        <xdr:cNvPr id="141" name="AutoShape 119">
          <a:hlinkClick xmlns:r="http://schemas.openxmlformats.org/officeDocument/2006/relationships" r:id="rId129"/>
          <a:extLst>
            <a:ext uri="{FF2B5EF4-FFF2-40B4-BE49-F238E27FC236}">
              <a16:creationId xmlns:a16="http://schemas.microsoft.com/office/drawing/2014/main" id="{BF8F90CE-2472-0244-A267-A13AF4872771}"/>
            </a:ext>
          </a:extLst>
        </xdr:cNvPr>
        <xdr:cNvSpPr>
          <a:spLocks noChangeAspect="1" noChangeArrowheads="1"/>
        </xdr:cNvSpPr>
      </xdr:nvSpPr>
      <xdr:spPr bwMode="auto">
        <a:xfrm>
          <a:off x="0" y="248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124</xdr:row>
      <xdr:rowOff>0</xdr:rowOff>
    </xdr:from>
    <xdr:to>
      <xdr:col>19</xdr:col>
      <xdr:colOff>304800</xdr:colOff>
      <xdr:row>125</xdr:row>
      <xdr:rowOff>101599</xdr:rowOff>
    </xdr:to>
    <xdr:sp macro="" textlink="">
      <xdr:nvSpPr>
        <xdr:cNvPr id="142" name="AutoShape 120">
          <a:hlinkClick xmlns:r="http://schemas.openxmlformats.org/officeDocument/2006/relationships" r:id="rId130"/>
          <a:extLst>
            <a:ext uri="{FF2B5EF4-FFF2-40B4-BE49-F238E27FC236}">
              <a16:creationId xmlns:a16="http://schemas.microsoft.com/office/drawing/2014/main" id="{DCC4C986-D5BB-8242-9FB3-C07D74F9BB6E}"/>
            </a:ext>
          </a:extLst>
        </xdr:cNvPr>
        <xdr:cNvSpPr>
          <a:spLocks noChangeAspect="1" noChangeArrowheads="1"/>
        </xdr:cNvSpPr>
      </xdr:nvSpPr>
      <xdr:spPr bwMode="auto">
        <a:xfrm>
          <a:off x="0" y="250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125</xdr:row>
      <xdr:rowOff>0</xdr:rowOff>
    </xdr:from>
    <xdr:to>
      <xdr:col>19</xdr:col>
      <xdr:colOff>304800</xdr:colOff>
      <xdr:row>126</xdr:row>
      <xdr:rowOff>101600</xdr:rowOff>
    </xdr:to>
    <xdr:sp macro="" textlink="">
      <xdr:nvSpPr>
        <xdr:cNvPr id="143" name="AutoShape 121">
          <a:hlinkClick xmlns:r="http://schemas.openxmlformats.org/officeDocument/2006/relationships" r:id="rId131"/>
          <a:extLst>
            <a:ext uri="{FF2B5EF4-FFF2-40B4-BE49-F238E27FC236}">
              <a16:creationId xmlns:a16="http://schemas.microsoft.com/office/drawing/2014/main" id="{D7DD2E97-212B-6941-BB2B-9B4A6ACD39AA}"/>
            </a:ext>
          </a:extLst>
        </xdr:cNvPr>
        <xdr:cNvSpPr>
          <a:spLocks noChangeAspect="1" noChangeArrowheads="1"/>
        </xdr:cNvSpPr>
      </xdr:nvSpPr>
      <xdr:spPr bwMode="auto">
        <a:xfrm>
          <a:off x="0" y="25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126</xdr:row>
      <xdr:rowOff>0</xdr:rowOff>
    </xdr:from>
    <xdr:to>
      <xdr:col>19</xdr:col>
      <xdr:colOff>304800</xdr:colOff>
      <xdr:row>127</xdr:row>
      <xdr:rowOff>101601</xdr:rowOff>
    </xdr:to>
    <xdr:sp macro="" textlink="">
      <xdr:nvSpPr>
        <xdr:cNvPr id="144" name="AutoShape 122">
          <a:hlinkClick xmlns:r="http://schemas.openxmlformats.org/officeDocument/2006/relationships" r:id="rId132"/>
          <a:extLst>
            <a:ext uri="{FF2B5EF4-FFF2-40B4-BE49-F238E27FC236}">
              <a16:creationId xmlns:a16="http://schemas.microsoft.com/office/drawing/2014/main" id="{40CD9FA7-81C1-A449-B9AF-D3FD0601C7D7}"/>
            </a:ext>
          </a:extLst>
        </xdr:cNvPr>
        <xdr:cNvSpPr>
          <a:spLocks noChangeAspect="1" noChangeArrowheads="1"/>
        </xdr:cNvSpPr>
      </xdr:nvSpPr>
      <xdr:spPr bwMode="auto">
        <a:xfrm>
          <a:off x="0" y="254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127</xdr:row>
      <xdr:rowOff>0</xdr:rowOff>
    </xdr:from>
    <xdr:to>
      <xdr:col>19</xdr:col>
      <xdr:colOff>304800</xdr:colOff>
      <xdr:row>128</xdr:row>
      <xdr:rowOff>101600</xdr:rowOff>
    </xdr:to>
    <xdr:sp macro="" textlink="">
      <xdr:nvSpPr>
        <xdr:cNvPr id="145" name="AutoShape 123">
          <a:hlinkClick xmlns:r="http://schemas.openxmlformats.org/officeDocument/2006/relationships" r:id="rId133"/>
          <a:extLst>
            <a:ext uri="{FF2B5EF4-FFF2-40B4-BE49-F238E27FC236}">
              <a16:creationId xmlns:a16="http://schemas.microsoft.com/office/drawing/2014/main" id="{EDAC24A2-770C-1540-B4C0-509BA606623E}"/>
            </a:ext>
          </a:extLst>
        </xdr:cNvPr>
        <xdr:cNvSpPr>
          <a:spLocks noChangeAspect="1" noChangeArrowheads="1"/>
        </xdr:cNvSpPr>
      </xdr:nvSpPr>
      <xdr:spPr bwMode="auto">
        <a:xfrm>
          <a:off x="0" y="256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128</xdr:row>
      <xdr:rowOff>0</xdr:rowOff>
    </xdr:from>
    <xdr:to>
      <xdr:col>19</xdr:col>
      <xdr:colOff>304800</xdr:colOff>
      <xdr:row>129</xdr:row>
      <xdr:rowOff>101598</xdr:rowOff>
    </xdr:to>
    <xdr:sp macro="" textlink="">
      <xdr:nvSpPr>
        <xdr:cNvPr id="146" name="AutoShape 124">
          <a:hlinkClick xmlns:r="http://schemas.openxmlformats.org/officeDocument/2006/relationships" r:id="rId134"/>
          <a:extLst>
            <a:ext uri="{FF2B5EF4-FFF2-40B4-BE49-F238E27FC236}">
              <a16:creationId xmlns:a16="http://schemas.microsoft.com/office/drawing/2014/main" id="{3CA978B7-38AE-FD43-9F5D-4DE51ECA2791}"/>
            </a:ext>
          </a:extLst>
        </xdr:cNvPr>
        <xdr:cNvSpPr>
          <a:spLocks noChangeAspect="1" noChangeArrowheads="1"/>
        </xdr:cNvSpPr>
      </xdr:nvSpPr>
      <xdr:spPr bwMode="auto">
        <a:xfrm>
          <a:off x="0" y="258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129</xdr:row>
      <xdr:rowOff>0</xdr:rowOff>
    </xdr:from>
    <xdr:to>
      <xdr:col>19</xdr:col>
      <xdr:colOff>304800</xdr:colOff>
      <xdr:row>130</xdr:row>
      <xdr:rowOff>101601</xdr:rowOff>
    </xdr:to>
    <xdr:sp macro="" textlink="">
      <xdr:nvSpPr>
        <xdr:cNvPr id="147" name="AutoShape 125">
          <a:hlinkClick xmlns:r="http://schemas.openxmlformats.org/officeDocument/2006/relationships" r:id="rId135"/>
          <a:extLst>
            <a:ext uri="{FF2B5EF4-FFF2-40B4-BE49-F238E27FC236}">
              <a16:creationId xmlns:a16="http://schemas.microsoft.com/office/drawing/2014/main" id="{91C71DF5-49C6-A641-8C7D-49E4509EFA73}"/>
            </a:ext>
          </a:extLst>
        </xdr:cNvPr>
        <xdr:cNvSpPr>
          <a:spLocks noChangeAspect="1" noChangeArrowheads="1"/>
        </xdr:cNvSpPr>
      </xdr:nvSpPr>
      <xdr:spPr bwMode="auto">
        <a:xfrm>
          <a:off x="0" y="260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130</xdr:row>
      <xdr:rowOff>0</xdr:rowOff>
    </xdr:from>
    <xdr:to>
      <xdr:col>19</xdr:col>
      <xdr:colOff>304800</xdr:colOff>
      <xdr:row>131</xdr:row>
      <xdr:rowOff>101600</xdr:rowOff>
    </xdr:to>
    <xdr:sp macro="" textlink="">
      <xdr:nvSpPr>
        <xdr:cNvPr id="148" name="AutoShape 126">
          <a:hlinkClick xmlns:r="http://schemas.openxmlformats.org/officeDocument/2006/relationships" r:id="rId136"/>
          <a:extLst>
            <a:ext uri="{FF2B5EF4-FFF2-40B4-BE49-F238E27FC236}">
              <a16:creationId xmlns:a16="http://schemas.microsoft.com/office/drawing/2014/main" id="{40E7722A-A017-6A4B-8045-FD4C15B077E1}"/>
            </a:ext>
          </a:extLst>
        </xdr:cNvPr>
        <xdr:cNvSpPr>
          <a:spLocks noChangeAspect="1" noChangeArrowheads="1"/>
        </xdr:cNvSpPr>
      </xdr:nvSpPr>
      <xdr:spPr bwMode="auto">
        <a:xfrm>
          <a:off x="0" y="262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131</xdr:row>
      <xdr:rowOff>0</xdr:rowOff>
    </xdr:from>
    <xdr:to>
      <xdr:col>19</xdr:col>
      <xdr:colOff>304800</xdr:colOff>
      <xdr:row>132</xdr:row>
      <xdr:rowOff>101600</xdr:rowOff>
    </xdr:to>
    <xdr:sp macro="" textlink="">
      <xdr:nvSpPr>
        <xdr:cNvPr id="149" name="AutoShape 127">
          <a:hlinkClick xmlns:r="http://schemas.openxmlformats.org/officeDocument/2006/relationships" r:id="rId137"/>
          <a:extLst>
            <a:ext uri="{FF2B5EF4-FFF2-40B4-BE49-F238E27FC236}">
              <a16:creationId xmlns:a16="http://schemas.microsoft.com/office/drawing/2014/main" id="{825FFCDA-1B12-C641-B065-1E5D83DBF902}"/>
            </a:ext>
          </a:extLst>
        </xdr:cNvPr>
        <xdr:cNvSpPr>
          <a:spLocks noChangeAspect="1" noChangeArrowheads="1"/>
        </xdr:cNvSpPr>
      </xdr:nvSpPr>
      <xdr:spPr bwMode="auto">
        <a:xfrm>
          <a:off x="0" y="264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132</xdr:row>
      <xdr:rowOff>0</xdr:rowOff>
    </xdr:from>
    <xdr:to>
      <xdr:col>19</xdr:col>
      <xdr:colOff>304800</xdr:colOff>
      <xdr:row>133</xdr:row>
      <xdr:rowOff>101600</xdr:rowOff>
    </xdr:to>
    <xdr:sp macro="" textlink="">
      <xdr:nvSpPr>
        <xdr:cNvPr id="150" name="AutoShape 128">
          <a:hlinkClick xmlns:r="http://schemas.openxmlformats.org/officeDocument/2006/relationships" r:id="rId138"/>
          <a:extLst>
            <a:ext uri="{FF2B5EF4-FFF2-40B4-BE49-F238E27FC236}">
              <a16:creationId xmlns:a16="http://schemas.microsoft.com/office/drawing/2014/main" id="{F175CCF5-800C-BD43-BEEE-F43B340A33E8}"/>
            </a:ext>
          </a:extLst>
        </xdr:cNvPr>
        <xdr:cNvSpPr>
          <a:spLocks noChangeAspect="1" noChangeArrowheads="1"/>
        </xdr:cNvSpPr>
      </xdr:nvSpPr>
      <xdr:spPr bwMode="auto">
        <a:xfrm>
          <a:off x="0" y="266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133</xdr:row>
      <xdr:rowOff>0</xdr:rowOff>
    </xdr:from>
    <xdr:to>
      <xdr:col>19</xdr:col>
      <xdr:colOff>304800</xdr:colOff>
      <xdr:row>134</xdr:row>
      <xdr:rowOff>101599</xdr:rowOff>
    </xdr:to>
    <xdr:sp macro="" textlink="">
      <xdr:nvSpPr>
        <xdr:cNvPr id="151" name="AutoShape 129">
          <a:hlinkClick xmlns:r="http://schemas.openxmlformats.org/officeDocument/2006/relationships" r:id="rId139"/>
          <a:extLst>
            <a:ext uri="{FF2B5EF4-FFF2-40B4-BE49-F238E27FC236}">
              <a16:creationId xmlns:a16="http://schemas.microsoft.com/office/drawing/2014/main" id="{E5043830-F46E-9645-BBC6-9EAB3EEB1805}"/>
            </a:ext>
          </a:extLst>
        </xdr:cNvPr>
        <xdr:cNvSpPr>
          <a:spLocks noChangeAspect="1" noChangeArrowheads="1"/>
        </xdr:cNvSpPr>
      </xdr:nvSpPr>
      <xdr:spPr bwMode="auto">
        <a:xfrm>
          <a:off x="0" y="268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134</xdr:row>
      <xdr:rowOff>0</xdr:rowOff>
    </xdr:from>
    <xdr:to>
      <xdr:col>19</xdr:col>
      <xdr:colOff>304800</xdr:colOff>
      <xdr:row>135</xdr:row>
      <xdr:rowOff>101600</xdr:rowOff>
    </xdr:to>
    <xdr:sp macro="" textlink="">
      <xdr:nvSpPr>
        <xdr:cNvPr id="152" name="AutoShape 130">
          <a:hlinkClick xmlns:r="http://schemas.openxmlformats.org/officeDocument/2006/relationships" r:id="rId140"/>
          <a:extLst>
            <a:ext uri="{FF2B5EF4-FFF2-40B4-BE49-F238E27FC236}">
              <a16:creationId xmlns:a16="http://schemas.microsoft.com/office/drawing/2014/main" id="{F1930C84-0474-0541-8403-4B7ED17C67B3}"/>
            </a:ext>
          </a:extLst>
        </xdr:cNvPr>
        <xdr:cNvSpPr>
          <a:spLocks noChangeAspect="1" noChangeArrowheads="1"/>
        </xdr:cNvSpPr>
      </xdr:nvSpPr>
      <xdr:spPr bwMode="auto">
        <a:xfrm>
          <a:off x="0" y="270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135</xdr:row>
      <xdr:rowOff>0</xdr:rowOff>
    </xdr:from>
    <xdr:to>
      <xdr:col>19</xdr:col>
      <xdr:colOff>304800</xdr:colOff>
      <xdr:row>136</xdr:row>
      <xdr:rowOff>101602</xdr:rowOff>
    </xdr:to>
    <xdr:sp macro="" textlink="">
      <xdr:nvSpPr>
        <xdr:cNvPr id="153" name="AutoShape 131">
          <a:hlinkClick xmlns:r="http://schemas.openxmlformats.org/officeDocument/2006/relationships" r:id="rId141"/>
          <a:extLst>
            <a:ext uri="{FF2B5EF4-FFF2-40B4-BE49-F238E27FC236}">
              <a16:creationId xmlns:a16="http://schemas.microsoft.com/office/drawing/2014/main" id="{3B0C3058-20EA-B443-B68C-A675DB32DDCB}"/>
            </a:ext>
          </a:extLst>
        </xdr:cNvPr>
        <xdr:cNvSpPr>
          <a:spLocks noChangeAspect="1" noChangeArrowheads="1"/>
        </xdr:cNvSpPr>
      </xdr:nvSpPr>
      <xdr:spPr bwMode="auto">
        <a:xfrm>
          <a:off x="0" y="272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136</xdr:row>
      <xdr:rowOff>0</xdr:rowOff>
    </xdr:from>
    <xdr:to>
      <xdr:col>19</xdr:col>
      <xdr:colOff>304800</xdr:colOff>
      <xdr:row>137</xdr:row>
      <xdr:rowOff>101600</xdr:rowOff>
    </xdr:to>
    <xdr:sp macro="" textlink="">
      <xdr:nvSpPr>
        <xdr:cNvPr id="154" name="AutoShape 132">
          <a:hlinkClick xmlns:r="http://schemas.openxmlformats.org/officeDocument/2006/relationships" r:id="rId142"/>
          <a:extLst>
            <a:ext uri="{FF2B5EF4-FFF2-40B4-BE49-F238E27FC236}">
              <a16:creationId xmlns:a16="http://schemas.microsoft.com/office/drawing/2014/main" id="{CBED657A-DCEB-2044-95CF-08F86FC4AAF8}"/>
            </a:ext>
          </a:extLst>
        </xdr:cNvPr>
        <xdr:cNvSpPr>
          <a:spLocks noChangeAspect="1" noChangeArrowheads="1"/>
        </xdr:cNvSpPr>
      </xdr:nvSpPr>
      <xdr:spPr bwMode="auto">
        <a:xfrm>
          <a:off x="0" y="274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137</xdr:row>
      <xdr:rowOff>0</xdr:rowOff>
    </xdr:from>
    <xdr:to>
      <xdr:col>19</xdr:col>
      <xdr:colOff>304800</xdr:colOff>
      <xdr:row>138</xdr:row>
      <xdr:rowOff>101600</xdr:rowOff>
    </xdr:to>
    <xdr:sp macro="" textlink="">
      <xdr:nvSpPr>
        <xdr:cNvPr id="155" name="AutoShape 133">
          <a:hlinkClick xmlns:r="http://schemas.openxmlformats.org/officeDocument/2006/relationships" r:id="rId143"/>
          <a:extLst>
            <a:ext uri="{FF2B5EF4-FFF2-40B4-BE49-F238E27FC236}">
              <a16:creationId xmlns:a16="http://schemas.microsoft.com/office/drawing/2014/main" id="{8D296B34-0D07-9B41-8BF9-0750673C3F92}"/>
            </a:ext>
          </a:extLst>
        </xdr:cNvPr>
        <xdr:cNvSpPr>
          <a:spLocks noChangeAspect="1" noChangeArrowheads="1"/>
        </xdr:cNvSpPr>
      </xdr:nvSpPr>
      <xdr:spPr bwMode="auto">
        <a:xfrm>
          <a:off x="0" y="276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138</xdr:row>
      <xdr:rowOff>0</xdr:rowOff>
    </xdr:from>
    <xdr:to>
      <xdr:col>19</xdr:col>
      <xdr:colOff>304800</xdr:colOff>
      <xdr:row>139</xdr:row>
      <xdr:rowOff>101599</xdr:rowOff>
    </xdr:to>
    <xdr:sp macro="" textlink="">
      <xdr:nvSpPr>
        <xdr:cNvPr id="156" name="AutoShape 134">
          <a:hlinkClick xmlns:r="http://schemas.openxmlformats.org/officeDocument/2006/relationships" r:id="rId144"/>
          <a:extLst>
            <a:ext uri="{FF2B5EF4-FFF2-40B4-BE49-F238E27FC236}">
              <a16:creationId xmlns:a16="http://schemas.microsoft.com/office/drawing/2014/main" id="{ABBA0BA7-A18F-5046-990C-27D6D6D8CC3E}"/>
            </a:ext>
          </a:extLst>
        </xdr:cNvPr>
        <xdr:cNvSpPr>
          <a:spLocks noChangeAspect="1" noChangeArrowheads="1"/>
        </xdr:cNvSpPr>
      </xdr:nvSpPr>
      <xdr:spPr bwMode="auto">
        <a:xfrm>
          <a:off x="0" y="278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139</xdr:row>
      <xdr:rowOff>0</xdr:rowOff>
    </xdr:from>
    <xdr:to>
      <xdr:col>19</xdr:col>
      <xdr:colOff>304800</xdr:colOff>
      <xdr:row>140</xdr:row>
      <xdr:rowOff>101600</xdr:rowOff>
    </xdr:to>
    <xdr:sp macro="" textlink="">
      <xdr:nvSpPr>
        <xdr:cNvPr id="157" name="AutoShape 135">
          <a:hlinkClick xmlns:r="http://schemas.openxmlformats.org/officeDocument/2006/relationships" r:id="rId145"/>
          <a:extLst>
            <a:ext uri="{FF2B5EF4-FFF2-40B4-BE49-F238E27FC236}">
              <a16:creationId xmlns:a16="http://schemas.microsoft.com/office/drawing/2014/main" id="{5C5036B2-C897-CB4B-B6DF-CC3E4FC26B27}"/>
            </a:ext>
          </a:extLst>
        </xdr:cNvPr>
        <xdr:cNvSpPr>
          <a:spLocks noChangeAspect="1" noChangeArrowheads="1"/>
        </xdr:cNvSpPr>
      </xdr:nvSpPr>
      <xdr:spPr bwMode="auto">
        <a:xfrm>
          <a:off x="0" y="280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140</xdr:row>
      <xdr:rowOff>0</xdr:rowOff>
    </xdr:from>
    <xdr:to>
      <xdr:col>19</xdr:col>
      <xdr:colOff>304800</xdr:colOff>
      <xdr:row>141</xdr:row>
      <xdr:rowOff>101601</xdr:rowOff>
    </xdr:to>
    <xdr:sp macro="" textlink="">
      <xdr:nvSpPr>
        <xdr:cNvPr id="158" name="AutoShape 136">
          <a:hlinkClick xmlns:r="http://schemas.openxmlformats.org/officeDocument/2006/relationships" r:id="rId146"/>
          <a:extLst>
            <a:ext uri="{FF2B5EF4-FFF2-40B4-BE49-F238E27FC236}">
              <a16:creationId xmlns:a16="http://schemas.microsoft.com/office/drawing/2014/main" id="{43817267-0213-B84D-B45E-D57E515089E4}"/>
            </a:ext>
          </a:extLst>
        </xdr:cNvPr>
        <xdr:cNvSpPr>
          <a:spLocks noChangeAspect="1" noChangeArrowheads="1"/>
        </xdr:cNvSpPr>
      </xdr:nvSpPr>
      <xdr:spPr bwMode="auto">
        <a:xfrm>
          <a:off x="0" y="282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141</xdr:row>
      <xdr:rowOff>0</xdr:rowOff>
    </xdr:from>
    <xdr:to>
      <xdr:col>19</xdr:col>
      <xdr:colOff>304800</xdr:colOff>
      <xdr:row>142</xdr:row>
      <xdr:rowOff>101599</xdr:rowOff>
    </xdr:to>
    <xdr:sp macro="" textlink="">
      <xdr:nvSpPr>
        <xdr:cNvPr id="159" name="AutoShape 137">
          <a:hlinkClick xmlns:r="http://schemas.openxmlformats.org/officeDocument/2006/relationships" r:id="rId147"/>
          <a:extLst>
            <a:ext uri="{FF2B5EF4-FFF2-40B4-BE49-F238E27FC236}">
              <a16:creationId xmlns:a16="http://schemas.microsoft.com/office/drawing/2014/main" id="{9CF2967F-D50C-F54B-8611-2495A6725431}"/>
            </a:ext>
          </a:extLst>
        </xdr:cNvPr>
        <xdr:cNvSpPr>
          <a:spLocks noChangeAspect="1" noChangeArrowheads="1"/>
        </xdr:cNvSpPr>
      </xdr:nvSpPr>
      <xdr:spPr bwMode="auto">
        <a:xfrm>
          <a:off x="0" y="284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142</xdr:row>
      <xdr:rowOff>0</xdr:rowOff>
    </xdr:from>
    <xdr:to>
      <xdr:col>19</xdr:col>
      <xdr:colOff>304800</xdr:colOff>
      <xdr:row>143</xdr:row>
      <xdr:rowOff>101600</xdr:rowOff>
    </xdr:to>
    <xdr:sp macro="" textlink="">
      <xdr:nvSpPr>
        <xdr:cNvPr id="160" name="AutoShape 138">
          <a:hlinkClick xmlns:r="http://schemas.openxmlformats.org/officeDocument/2006/relationships" r:id="rId148"/>
          <a:extLst>
            <a:ext uri="{FF2B5EF4-FFF2-40B4-BE49-F238E27FC236}">
              <a16:creationId xmlns:a16="http://schemas.microsoft.com/office/drawing/2014/main" id="{A3DE13DE-DC02-974D-ABF9-1B4CBB9E57AA}"/>
            </a:ext>
          </a:extLst>
        </xdr:cNvPr>
        <xdr:cNvSpPr>
          <a:spLocks noChangeAspect="1" noChangeArrowheads="1"/>
        </xdr:cNvSpPr>
      </xdr:nvSpPr>
      <xdr:spPr bwMode="auto">
        <a:xfrm>
          <a:off x="0" y="286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143</xdr:row>
      <xdr:rowOff>0</xdr:rowOff>
    </xdr:from>
    <xdr:to>
      <xdr:col>19</xdr:col>
      <xdr:colOff>304800</xdr:colOff>
      <xdr:row>144</xdr:row>
      <xdr:rowOff>101599</xdr:rowOff>
    </xdr:to>
    <xdr:sp macro="" textlink="">
      <xdr:nvSpPr>
        <xdr:cNvPr id="161" name="AutoShape 139">
          <a:hlinkClick xmlns:r="http://schemas.openxmlformats.org/officeDocument/2006/relationships" r:id="rId149"/>
          <a:extLst>
            <a:ext uri="{FF2B5EF4-FFF2-40B4-BE49-F238E27FC236}">
              <a16:creationId xmlns:a16="http://schemas.microsoft.com/office/drawing/2014/main" id="{A231FAF1-CE13-074B-A819-EB75293928AF}"/>
            </a:ext>
          </a:extLst>
        </xdr:cNvPr>
        <xdr:cNvSpPr>
          <a:spLocks noChangeAspect="1" noChangeArrowheads="1"/>
        </xdr:cNvSpPr>
      </xdr:nvSpPr>
      <xdr:spPr bwMode="auto">
        <a:xfrm>
          <a:off x="0" y="288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144</xdr:row>
      <xdr:rowOff>0</xdr:rowOff>
    </xdr:from>
    <xdr:to>
      <xdr:col>19</xdr:col>
      <xdr:colOff>304800</xdr:colOff>
      <xdr:row>145</xdr:row>
      <xdr:rowOff>101602</xdr:rowOff>
    </xdr:to>
    <xdr:sp macro="" textlink="">
      <xdr:nvSpPr>
        <xdr:cNvPr id="162" name="AutoShape 140">
          <a:hlinkClick xmlns:r="http://schemas.openxmlformats.org/officeDocument/2006/relationships" r:id="rId150"/>
          <a:extLst>
            <a:ext uri="{FF2B5EF4-FFF2-40B4-BE49-F238E27FC236}">
              <a16:creationId xmlns:a16="http://schemas.microsoft.com/office/drawing/2014/main" id="{7783D8DF-D1BA-8D48-8536-8917DDBB5DF3}"/>
            </a:ext>
          </a:extLst>
        </xdr:cNvPr>
        <xdr:cNvSpPr>
          <a:spLocks noChangeAspect="1" noChangeArrowheads="1"/>
        </xdr:cNvSpPr>
      </xdr:nvSpPr>
      <xdr:spPr bwMode="auto">
        <a:xfrm>
          <a:off x="0" y="290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145</xdr:row>
      <xdr:rowOff>0</xdr:rowOff>
    </xdr:from>
    <xdr:to>
      <xdr:col>19</xdr:col>
      <xdr:colOff>304800</xdr:colOff>
      <xdr:row>146</xdr:row>
      <xdr:rowOff>101599</xdr:rowOff>
    </xdr:to>
    <xdr:sp macro="" textlink="">
      <xdr:nvSpPr>
        <xdr:cNvPr id="163" name="AutoShape 141">
          <a:hlinkClick xmlns:r="http://schemas.openxmlformats.org/officeDocument/2006/relationships" r:id="rId151"/>
          <a:extLst>
            <a:ext uri="{FF2B5EF4-FFF2-40B4-BE49-F238E27FC236}">
              <a16:creationId xmlns:a16="http://schemas.microsoft.com/office/drawing/2014/main" id="{D97AADAD-C4D6-4F4A-9CA4-D9878E12CA5D}"/>
            </a:ext>
          </a:extLst>
        </xdr:cNvPr>
        <xdr:cNvSpPr>
          <a:spLocks noChangeAspect="1" noChangeArrowheads="1"/>
        </xdr:cNvSpPr>
      </xdr:nvSpPr>
      <xdr:spPr bwMode="auto">
        <a:xfrm>
          <a:off x="0" y="292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146</xdr:row>
      <xdr:rowOff>0</xdr:rowOff>
    </xdr:from>
    <xdr:to>
      <xdr:col>19</xdr:col>
      <xdr:colOff>304800</xdr:colOff>
      <xdr:row>147</xdr:row>
      <xdr:rowOff>101601</xdr:rowOff>
    </xdr:to>
    <xdr:sp macro="" textlink="">
      <xdr:nvSpPr>
        <xdr:cNvPr id="164" name="AutoShape 142">
          <a:hlinkClick xmlns:r="http://schemas.openxmlformats.org/officeDocument/2006/relationships" r:id="rId152"/>
          <a:extLst>
            <a:ext uri="{FF2B5EF4-FFF2-40B4-BE49-F238E27FC236}">
              <a16:creationId xmlns:a16="http://schemas.microsoft.com/office/drawing/2014/main" id="{FD704590-5ED5-5A46-90C3-A3D7885F9A1D}"/>
            </a:ext>
          </a:extLst>
        </xdr:cNvPr>
        <xdr:cNvSpPr>
          <a:spLocks noChangeAspect="1" noChangeArrowheads="1"/>
        </xdr:cNvSpPr>
      </xdr:nvSpPr>
      <xdr:spPr bwMode="auto">
        <a:xfrm>
          <a:off x="0" y="29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147</xdr:row>
      <xdr:rowOff>0</xdr:rowOff>
    </xdr:from>
    <xdr:to>
      <xdr:col>19</xdr:col>
      <xdr:colOff>304800</xdr:colOff>
      <xdr:row>148</xdr:row>
      <xdr:rowOff>101598</xdr:rowOff>
    </xdr:to>
    <xdr:sp macro="" textlink="">
      <xdr:nvSpPr>
        <xdr:cNvPr id="165" name="AutoShape 143">
          <a:hlinkClick xmlns:r="http://schemas.openxmlformats.org/officeDocument/2006/relationships" r:id="rId153"/>
          <a:extLst>
            <a:ext uri="{FF2B5EF4-FFF2-40B4-BE49-F238E27FC236}">
              <a16:creationId xmlns:a16="http://schemas.microsoft.com/office/drawing/2014/main" id="{F6D35489-2212-0D49-BA5C-FAC2C041DC85}"/>
            </a:ext>
          </a:extLst>
        </xdr:cNvPr>
        <xdr:cNvSpPr>
          <a:spLocks noChangeAspect="1" noChangeArrowheads="1"/>
        </xdr:cNvSpPr>
      </xdr:nvSpPr>
      <xdr:spPr bwMode="auto">
        <a:xfrm>
          <a:off x="0" y="296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148</xdr:row>
      <xdr:rowOff>0</xdr:rowOff>
    </xdr:from>
    <xdr:to>
      <xdr:col>19</xdr:col>
      <xdr:colOff>304800</xdr:colOff>
      <xdr:row>149</xdr:row>
      <xdr:rowOff>101600</xdr:rowOff>
    </xdr:to>
    <xdr:sp macro="" textlink="">
      <xdr:nvSpPr>
        <xdr:cNvPr id="166" name="AutoShape 144">
          <a:hlinkClick xmlns:r="http://schemas.openxmlformats.org/officeDocument/2006/relationships" r:id="rId154"/>
          <a:extLst>
            <a:ext uri="{FF2B5EF4-FFF2-40B4-BE49-F238E27FC236}">
              <a16:creationId xmlns:a16="http://schemas.microsoft.com/office/drawing/2014/main" id="{AEF92CED-7B75-B640-84EF-A0ED96DA9017}"/>
            </a:ext>
          </a:extLst>
        </xdr:cNvPr>
        <xdr:cNvSpPr>
          <a:spLocks noChangeAspect="1" noChangeArrowheads="1"/>
        </xdr:cNvSpPr>
      </xdr:nvSpPr>
      <xdr:spPr bwMode="auto">
        <a:xfrm>
          <a:off x="0" y="298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150</xdr:row>
      <xdr:rowOff>0</xdr:rowOff>
    </xdr:from>
    <xdr:to>
      <xdr:col>19</xdr:col>
      <xdr:colOff>304800</xdr:colOff>
      <xdr:row>151</xdr:row>
      <xdr:rowOff>101599</xdr:rowOff>
    </xdr:to>
    <xdr:sp macro="" textlink="">
      <xdr:nvSpPr>
        <xdr:cNvPr id="167" name="AutoShape 145">
          <a:hlinkClick xmlns:r="http://schemas.openxmlformats.org/officeDocument/2006/relationships" r:id="rId155"/>
          <a:extLst>
            <a:ext uri="{FF2B5EF4-FFF2-40B4-BE49-F238E27FC236}">
              <a16:creationId xmlns:a16="http://schemas.microsoft.com/office/drawing/2014/main" id="{A3294C32-79F7-AA49-8E47-AEE1885EED81}"/>
            </a:ext>
          </a:extLst>
        </xdr:cNvPr>
        <xdr:cNvSpPr>
          <a:spLocks noChangeAspect="1" noChangeArrowheads="1"/>
        </xdr:cNvSpPr>
      </xdr:nvSpPr>
      <xdr:spPr bwMode="auto">
        <a:xfrm>
          <a:off x="0" y="302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151</xdr:row>
      <xdr:rowOff>0</xdr:rowOff>
    </xdr:from>
    <xdr:to>
      <xdr:col>19</xdr:col>
      <xdr:colOff>304800</xdr:colOff>
      <xdr:row>152</xdr:row>
      <xdr:rowOff>101601</xdr:rowOff>
    </xdr:to>
    <xdr:sp macro="" textlink="">
      <xdr:nvSpPr>
        <xdr:cNvPr id="168" name="AutoShape 146">
          <a:hlinkClick xmlns:r="http://schemas.openxmlformats.org/officeDocument/2006/relationships" r:id="rId156"/>
          <a:extLst>
            <a:ext uri="{FF2B5EF4-FFF2-40B4-BE49-F238E27FC236}">
              <a16:creationId xmlns:a16="http://schemas.microsoft.com/office/drawing/2014/main" id="{C723167D-851E-9E49-9F84-D383636E79AD}"/>
            </a:ext>
          </a:extLst>
        </xdr:cNvPr>
        <xdr:cNvSpPr>
          <a:spLocks noChangeAspect="1" noChangeArrowheads="1"/>
        </xdr:cNvSpPr>
      </xdr:nvSpPr>
      <xdr:spPr bwMode="auto">
        <a:xfrm>
          <a:off x="0" y="304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152</xdr:row>
      <xdr:rowOff>0</xdr:rowOff>
    </xdr:from>
    <xdr:to>
      <xdr:col>19</xdr:col>
      <xdr:colOff>304800</xdr:colOff>
      <xdr:row>153</xdr:row>
      <xdr:rowOff>101599</xdr:rowOff>
    </xdr:to>
    <xdr:sp macro="" textlink="">
      <xdr:nvSpPr>
        <xdr:cNvPr id="169" name="AutoShape 147">
          <a:hlinkClick xmlns:r="http://schemas.openxmlformats.org/officeDocument/2006/relationships" r:id="rId157"/>
          <a:extLst>
            <a:ext uri="{FF2B5EF4-FFF2-40B4-BE49-F238E27FC236}">
              <a16:creationId xmlns:a16="http://schemas.microsoft.com/office/drawing/2014/main" id="{DF56FA98-6D21-D441-A00A-9E80628D67D7}"/>
            </a:ext>
          </a:extLst>
        </xdr:cNvPr>
        <xdr:cNvSpPr>
          <a:spLocks noChangeAspect="1" noChangeArrowheads="1"/>
        </xdr:cNvSpPr>
      </xdr:nvSpPr>
      <xdr:spPr bwMode="auto">
        <a:xfrm>
          <a:off x="0" y="306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153</xdr:row>
      <xdr:rowOff>0</xdr:rowOff>
    </xdr:from>
    <xdr:to>
      <xdr:col>19</xdr:col>
      <xdr:colOff>304800</xdr:colOff>
      <xdr:row>154</xdr:row>
      <xdr:rowOff>101600</xdr:rowOff>
    </xdr:to>
    <xdr:sp macro="" textlink="">
      <xdr:nvSpPr>
        <xdr:cNvPr id="170" name="AutoShape 148">
          <a:hlinkClick xmlns:r="http://schemas.openxmlformats.org/officeDocument/2006/relationships" r:id="rId158"/>
          <a:extLst>
            <a:ext uri="{FF2B5EF4-FFF2-40B4-BE49-F238E27FC236}">
              <a16:creationId xmlns:a16="http://schemas.microsoft.com/office/drawing/2014/main" id="{714775EE-BBC2-C34C-A81B-43BC63EFA492}"/>
            </a:ext>
          </a:extLst>
        </xdr:cNvPr>
        <xdr:cNvSpPr>
          <a:spLocks noChangeAspect="1" noChangeArrowheads="1"/>
        </xdr:cNvSpPr>
      </xdr:nvSpPr>
      <xdr:spPr bwMode="auto">
        <a:xfrm>
          <a:off x="0" y="308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154</xdr:row>
      <xdr:rowOff>0</xdr:rowOff>
    </xdr:from>
    <xdr:to>
      <xdr:col>19</xdr:col>
      <xdr:colOff>304800</xdr:colOff>
      <xdr:row>155</xdr:row>
      <xdr:rowOff>101600</xdr:rowOff>
    </xdr:to>
    <xdr:sp macro="" textlink="">
      <xdr:nvSpPr>
        <xdr:cNvPr id="171" name="AutoShape 149">
          <a:hlinkClick xmlns:r="http://schemas.openxmlformats.org/officeDocument/2006/relationships" r:id="rId159"/>
          <a:extLst>
            <a:ext uri="{FF2B5EF4-FFF2-40B4-BE49-F238E27FC236}">
              <a16:creationId xmlns:a16="http://schemas.microsoft.com/office/drawing/2014/main" id="{2E41B87D-7E2C-2A4A-9109-45FA7AED04C1}"/>
            </a:ext>
          </a:extLst>
        </xdr:cNvPr>
        <xdr:cNvSpPr>
          <a:spLocks noChangeAspect="1" noChangeArrowheads="1"/>
        </xdr:cNvSpPr>
      </xdr:nvSpPr>
      <xdr:spPr bwMode="auto">
        <a:xfrm>
          <a:off x="0" y="311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155</xdr:row>
      <xdr:rowOff>0</xdr:rowOff>
    </xdr:from>
    <xdr:to>
      <xdr:col>19</xdr:col>
      <xdr:colOff>304800</xdr:colOff>
      <xdr:row>156</xdr:row>
      <xdr:rowOff>101601</xdr:rowOff>
    </xdr:to>
    <xdr:sp macro="" textlink="">
      <xdr:nvSpPr>
        <xdr:cNvPr id="172" name="AutoShape 150">
          <a:hlinkClick xmlns:r="http://schemas.openxmlformats.org/officeDocument/2006/relationships" r:id="rId160"/>
          <a:extLst>
            <a:ext uri="{FF2B5EF4-FFF2-40B4-BE49-F238E27FC236}">
              <a16:creationId xmlns:a16="http://schemas.microsoft.com/office/drawing/2014/main" id="{E41500D9-C45B-504E-9C03-784F6CE4F382}"/>
            </a:ext>
          </a:extLst>
        </xdr:cNvPr>
        <xdr:cNvSpPr>
          <a:spLocks noChangeAspect="1" noChangeArrowheads="1"/>
        </xdr:cNvSpPr>
      </xdr:nvSpPr>
      <xdr:spPr bwMode="auto">
        <a:xfrm>
          <a:off x="0" y="31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156</xdr:row>
      <xdr:rowOff>0</xdr:rowOff>
    </xdr:from>
    <xdr:to>
      <xdr:col>19</xdr:col>
      <xdr:colOff>304800</xdr:colOff>
      <xdr:row>157</xdr:row>
      <xdr:rowOff>101598</xdr:rowOff>
    </xdr:to>
    <xdr:sp macro="" textlink="">
      <xdr:nvSpPr>
        <xdr:cNvPr id="173" name="AutoShape 151">
          <a:hlinkClick xmlns:r="http://schemas.openxmlformats.org/officeDocument/2006/relationships" r:id="rId161"/>
          <a:extLst>
            <a:ext uri="{FF2B5EF4-FFF2-40B4-BE49-F238E27FC236}">
              <a16:creationId xmlns:a16="http://schemas.microsoft.com/office/drawing/2014/main" id="{8C2DE4BF-C989-5E44-8B94-ECB92B2A2653}"/>
            </a:ext>
          </a:extLst>
        </xdr:cNvPr>
        <xdr:cNvSpPr>
          <a:spLocks noChangeAspect="1" noChangeArrowheads="1"/>
        </xdr:cNvSpPr>
      </xdr:nvSpPr>
      <xdr:spPr bwMode="auto">
        <a:xfrm>
          <a:off x="0" y="315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157</xdr:row>
      <xdr:rowOff>0</xdr:rowOff>
    </xdr:from>
    <xdr:to>
      <xdr:col>19</xdr:col>
      <xdr:colOff>304800</xdr:colOff>
      <xdr:row>158</xdr:row>
      <xdr:rowOff>101601</xdr:rowOff>
    </xdr:to>
    <xdr:sp macro="" textlink="">
      <xdr:nvSpPr>
        <xdr:cNvPr id="174" name="AutoShape 152">
          <a:hlinkClick xmlns:r="http://schemas.openxmlformats.org/officeDocument/2006/relationships" r:id="rId162"/>
          <a:extLst>
            <a:ext uri="{FF2B5EF4-FFF2-40B4-BE49-F238E27FC236}">
              <a16:creationId xmlns:a16="http://schemas.microsoft.com/office/drawing/2014/main" id="{9FC4D875-0C70-3849-B249-D2113742D099}"/>
            </a:ext>
          </a:extLst>
        </xdr:cNvPr>
        <xdr:cNvSpPr>
          <a:spLocks noChangeAspect="1" noChangeArrowheads="1"/>
        </xdr:cNvSpPr>
      </xdr:nvSpPr>
      <xdr:spPr bwMode="auto">
        <a:xfrm>
          <a:off x="0" y="317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158</xdr:row>
      <xdr:rowOff>0</xdr:rowOff>
    </xdr:from>
    <xdr:to>
      <xdr:col>19</xdr:col>
      <xdr:colOff>304800</xdr:colOff>
      <xdr:row>159</xdr:row>
      <xdr:rowOff>101600</xdr:rowOff>
    </xdr:to>
    <xdr:sp macro="" textlink="">
      <xdr:nvSpPr>
        <xdr:cNvPr id="175" name="AutoShape 153">
          <a:hlinkClick xmlns:r="http://schemas.openxmlformats.org/officeDocument/2006/relationships" r:id="rId163"/>
          <a:extLst>
            <a:ext uri="{FF2B5EF4-FFF2-40B4-BE49-F238E27FC236}">
              <a16:creationId xmlns:a16="http://schemas.microsoft.com/office/drawing/2014/main" id="{F1D5B6E9-6BD3-114D-92F0-3821C2D143BE}"/>
            </a:ext>
          </a:extLst>
        </xdr:cNvPr>
        <xdr:cNvSpPr>
          <a:spLocks noChangeAspect="1" noChangeArrowheads="1"/>
        </xdr:cNvSpPr>
      </xdr:nvSpPr>
      <xdr:spPr bwMode="auto">
        <a:xfrm>
          <a:off x="0" y="319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159</xdr:row>
      <xdr:rowOff>0</xdr:rowOff>
    </xdr:from>
    <xdr:to>
      <xdr:col>19</xdr:col>
      <xdr:colOff>304800</xdr:colOff>
      <xdr:row>160</xdr:row>
      <xdr:rowOff>101601</xdr:rowOff>
    </xdr:to>
    <xdr:sp macro="" textlink="">
      <xdr:nvSpPr>
        <xdr:cNvPr id="176" name="AutoShape 154">
          <a:hlinkClick xmlns:r="http://schemas.openxmlformats.org/officeDocument/2006/relationships" r:id="rId164"/>
          <a:extLst>
            <a:ext uri="{FF2B5EF4-FFF2-40B4-BE49-F238E27FC236}">
              <a16:creationId xmlns:a16="http://schemas.microsoft.com/office/drawing/2014/main" id="{9317F4AE-D154-9241-A16D-DF5AC55D0BED}"/>
            </a:ext>
          </a:extLst>
        </xdr:cNvPr>
        <xdr:cNvSpPr>
          <a:spLocks noChangeAspect="1" noChangeArrowheads="1"/>
        </xdr:cNvSpPr>
      </xdr:nvSpPr>
      <xdr:spPr bwMode="auto">
        <a:xfrm>
          <a:off x="0" y="321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161</xdr:row>
      <xdr:rowOff>0</xdr:rowOff>
    </xdr:from>
    <xdr:to>
      <xdr:col>19</xdr:col>
      <xdr:colOff>304800</xdr:colOff>
      <xdr:row>162</xdr:row>
      <xdr:rowOff>101600</xdr:rowOff>
    </xdr:to>
    <xdr:sp macro="" textlink="">
      <xdr:nvSpPr>
        <xdr:cNvPr id="177" name="AutoShape 155">
          <a:hlinkClick xmlns:r="http://schemas.openxmlformats.org/officeDocument/2006/relationships" r:id="rId165"/>
          <a:extLst>
            <a:ext uri="{FF2B5EF4-FFF2-40B4-BE49-F238E27FC236}">
              <a16:creationId xmlns:a16="http://schemas.microsoft.com/office/drawing/2014/main" id="{2DF375E4-2D2C-044E-A1BC-1E04F49621FA}"/>
            </a:ext>
          </a:extLst>
        </xdr:cNvPr>
        <xdr:cNvSpPr>
          <a:spLocks noChangeAspect="1" noChangeArrowheads="1"/>
        </xdr:cNvSpPr>
      </xdr:nvSpPr>
      <xdr:spPr bwMode="auto">
        <a:xfrm>
          <a:off x="0" y="325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162</xdr:row>
      <xdr:rowOff>0</xdr:rowOff>
    </xdr:from>
    <xdr:to>
      <xdr:col>19</xdr:col>
      <xdr:colOff>304800</xdr:colOff>
      <xdr:row>163</xdr:row>
      <xdr:rowOff>101600</xdr:rowOff>
    </xdr:to>
    <xdr:sp macro="" textlink="">
      <xdr:nvSpPr>
        <xdr:cNvPr id="178" name="AutoShape 156">
          <a:hlinkClick xmlns:r="http://schemas.openxmlformats.org/officeDocument/2006/relationships" r:id="rId166"/>
          <a:extLst>
            <a:ext uri="{FF2B5EF4-FFF2-40B4-BE49-F238E27FC236}">
              <a16:creationId xmlns:a16="http://schemas.microsoft.com/office/drawing/2014/main" id="{C64306CD-53FD-E94C-878F-9E5D4030817D}"/>
            </a:ext>
          </a:extLst>
        </xdr:cNvPr>
        <xdr:cNvSpPr>
          <a:spLocks noChangeAspect="1" noChangeArrowheads="1"/>
        </xdr:cNvSpPr>
      </xdr:nvSpPr>
      <xdr:spPr bwMode="auto">
        <a:xfrm>
          <a:off x="0" y="327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163</xdr:row>
      <xdr:rowOff>0</xdr:rowOff>
    </xdr:from>
    <xdr:to>
      <xdr:col>19</xdr:col>
      <xdr:colOff>304800</xdr:colOff>
      <xdr:row>164</xdr:row>
      <xdr:rowOff>101601</xdr:rowOff>
    </xdr:to>
    <xdr:sp macro="" textlink="">
      <xdr:nvSpPr>
        <xdr:cNvPr id="179" name="AutoShape 157">
          <a:hlinkClick xmlns:r="http://schemas.openxmlformats.org/officeDocument/2006/relationships" r:id="rId167"/>
          <a:extLst>
            <a:ext uri="{FF2B5EF4-FFF2-40B4-BE49-F238E27FC236}">
              <a16:creationId xmlns:a16="http://schemas.microsoft.com/office/drawing/2014/main" id="{951C437F-F0D1-6942-B701-127F0E6148C7}"/>
            </a:ext>
          </a:extLst>
        </xdr:cNvPr>
        <xdr:cNvSpPr>
          <a:spLocks noChangeAspect="1" noChangeArrowheads="1"/>
        </xdr:cNvSpPr>
      </xdr:nvSpPr>
      <xdr:spPr bwMode="auto">
        <a:xfrm>
          <a:off x="0" y="329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164</xdr:row>
      <xdr:rowOff>0</xdr:rowOff>
    </xdr:from>
    <xdr:to>
      <xdr:col>19</xdr:col>
      <xdr:colOff>304800</xdr:colOff>
      <xdr:row>165</xdr:row>
      <xdr:rowOff>101600</xdr:rowOff>
    </xdr:to>
    <xdr:sp macro="" textlink="">
      <xdr:nvSpPr>
        <xdr:cNvPr id="180" name="AutoShape 158">
          <a:hlinkClick xmlns:r="http://schemas.openxmlformats.org/officeDocument/2006/relationships" r:id="rId168"/>
          <a:extLst>
            <a:ext uri="{FF2B5EF4-FFF2-40B4-BE49-F238E27FC236}">
              <a16:creationId xmlns:a16="http://schemas.microsoft.com/office/drawing/2014/main" id="{E010A550-392E-AE44-BDC3-E05C584535EC}"/>
            </a:ext>
          </a:extLst>
        </xdr:cNvPr>
        <xdr:cNvSpPr>
          <a:spLocks noChangeAspect="1" noChangeArrowheads="1"/>
        </xdr:cNvSpPr>
      </xdr:nvSpPr>
      <xdr:spPr bwMode="auto">
        <a:xfrm>
          <a:off x="0" y="331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165</xdr:row>
      <xdr:rowOff>0</xdr:rowOff>
    </xdr:from>
    <xdr:to>
      <xdr:col>19</xdr:col>
      <xdr:colOff>304800</xdr:colOff>
      <xdr:row>166</xdr:row>
      <xdr:rowOff>101599</xdr:rowOff>
    </xdr:to>
    <xdr:sp macro="" textlink="">
      <xdr:nvSpPr>
        <xdr:cNvPr id="181" name="AutoShape 159">
          <a:hlinkClick xmlns:r="http://schemas.openxmlformats.org/officeDocument/2006/relationships" r:id="rId169"/>
          <a:extLst>
            <a:ext uri="{FF2B5EF4-FFF2-40B4-BE49-F238E27FC236}">
              <a16:creationId xmlns:a16="http://schemas.microsoft.com/office/drawing/2014/main" id="{DC2847FB-5619-5A43-8137-2FE3F84129E2}"/>
            </a:ext>
          </a:extLst>
        </xdr:cNvPr>
        <xdr:cNvSpPr>
          <a:spLocks noChangeAspect="1" noChangeArrowheads="1"/>
        </xdr:cNvSpPr>
      </xdr:nvSpPr>
      <xdr:spPr bwMode="auto">
        <a:xfrm>
          <a:off x="0" y="333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166</xdr:row>
      <xdr:rowOff>0</xdr:rowOff>
    </xdr:from>
    <xdr:to>
      <xdr:col>19</xdr:col>
      <xdr:colOff>304800</xdr:colOff>
      <xdr:row>167</xdr:row>
      <xdr:rowOff>101600</xdr:rowOff>
    </xdr:to>
    <xdr:sp macro="" textlink="">
      <xdr:nvSpPr>
        <xdr:cNvPr id="182" name="AutoShape 160">
          <a:hlinkClick xmlns:r="http://schemas.openxmlformats.org/officeDocument/2006/relationships" r:id="rId170"/>
          <a:extLst>
            <a:ext uri="{FF2B5EF4-FFF2-40B4-BE49-F238E27FC236}">
              <a16:creationId xmlns:a16="http://schemas.microsoft.com/office/drawing/2014/main" id="{24416A19-6E8B-EC4C-A333-702D475579E6}"/>
            </a:ext>
          </a:extLst>
        </xdr:cNvPr>
        <xdr:cNvSpPr>
          <a:spLocks noChangeAspect="1" noChangeArrowheads="1"/>
        </xdr:cNvSpPr>
      </xdr:nvSpPr>
      <xdr:spPr bwMode="auto">
        <a:xfrm>
          <a:off x="0" y="335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167</xdr:row>
      <xdr:rowOff>0</xdr:rowOff>
    </xdr:from>
    <xdr:to>
      <xdr:col>19</xdr:col>
      <xdr:colOff>304800</xdr:colOff>
      <xdr:row>168</xdr:row>
      <xdr:rowOff>101598</xdr:rowOff>
    </xdr:to>
    <xdr:sp macro="" textlink="">
      <xdr:nvSpPr>
        <xdr:cNvPr id="183" name="AutoShape 161">
          <a:hlinkClick xmlns:r="http://schemas.openxmlformats.org/officeDocument/2006/relationships" r:id="rId171"/>
          <a:extLst>
            <a:ext uri="{FF2B5EF4-FFF2-40B4-BE49-F238E27FC236}">
              <a16:creationId xmlns:a16="http://schemas.microsoft.com/office/drawing/2014/main" id="{DF2594AA-8016-444C-BB06-9D76082197FA}"/>
            </a:ext>
          </a:extLst>
        </xdr:cNvPr>
        <xdr:cNvSpPr>
          <a:spLocks noChangeAspect="1" noChangeArrowheads="1"/>
        </xdr:cNvSpPr>
      </xdr:nvSpPr>
      <xdr:spPr bwMode="auto">
        <a:xfrm>
          <a:off x="0" y="337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168</xdr:row>
      <xdr:rowOff>0</xdr:rowOff>
    </xdr:from>
    <xdr:to>
      <xdr:col>19</xdr:col>
      <xdr:colOff>304800</xdr:colOff>
      <xdr:row>169</xdr:row>
      <xdr:rowOff>101603</xdr:rowOff>
    </xdr:to>
    <xdr:sp macro="" textlink="">
      <xdr:nvSpPr>
        <xdr:cNvPr id="184" name="AutoShape 162">
          <a:hlinkClick xmlns:r="http://schemas.openxmlformats.org/officeDocument/2006/relationships" r:id="rId172"/>
          <a:extLst>
            <a:ext uri="{FF2B5EF4-FFF2-40B4-BE49-F238E27FC236}">
              <a16:creationId xmlns:a16="http://schemas.microsoft.com/office/drawing/2014/main" id="{4AA9B69E-6810-B747-BB0E-87FF42D2F4D3}"/>
            </a:ext>
          </a:extLst>
        </xdr:cNvPr>
        <xdr:cNvSpPr>
          <a:spLocks noChangeAspect="1" noChangeArrowheads="1"/>
        </xdr:cNvSpPr>
      </xdr:nvSpPr>
      <xdr:spPr bwMode="auto">
        <a:xfrm>
          <a:off x="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169</xdr:row>
      <xdr:rowOff>0</xdr:rowOff>
    </xdr:from>
    <xdr:to>
      <xdr:col>19</xdr:col>
      <xdr:colOff>304800</xdr:colOff>
      <xdr:row>170</xdr:row>
      <xdr:rowOff>101599</xdr:rowOff>
    </xdr:to>
    <xdr:sp macro="" textlink="">
      <xdr:nvSpPr>
        <xdr:cNvPr id="185" name="AutoShape 163">
          <a:hlinkClick xmlns:r="http://schemas.openxmlformats.org/officeDocument/2006/relationships" r:id="rId173"/>
          <a:extLst>
            <a:ext uri="{FF2B5EF4-FFF2-40B4-BE49-F238E27FC236}">
              <a16:creationId xmlns:a16="http://schemas.microsoft.com/office/drawing/2014/main" id="{02F81978-F650-F541-8918-F9FAC8FCC586}"/>
            </a:ext>
          </a:extLst>
        </xdr:cNvPr>
        <xdr:cNvSpPr>
          <a:spLocks noChangeAspect="1" noChangeArrowheads="1"/>
        </xdr:cNvSpPr>
      </xdr:nvSpPr>
      <xdr:spPr bwMode="auto">
        <a:xfrm>
          <a:off x="0" y="341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170</xdr:row>
      <xdr:rowOff>0</xdr:rowOff>
    </xdr:from>
    <xdr:to>
      <xdr:col>19</xdr:col>
      <xdr:colOff>304800</xdr:colOff>
      <xdr:row>171</xdr:row>
      <xdr:rowOff>101600</xdr:rowOff>
    </xdr:to>
    <xdr:sp macro="" textlink="">
      <xdr:nvSpPr>
        <xdr:cNvPr id="186" name="AutoShape 164">
          <a:hlinkClick xmlns:r="http://schemas.openxmlformats.org/officeDocument/2006/relationships" r:id="rId174"/>
          <a:extLst>
            <a:ext uri="{FF2B5EF4-FFF2-40B4-BE49-F238E27FC236}">
              <a16:creationId xmlns:a16="http://schemas.microsoft.com/office/drawing/2014/main" id="{E8141AEA-933E-3745-894D-B8E1FC9A58E5}"/>
            </a:ext>
          </a:extLst>
        </xdr:cNvPr>
        <xdr:cNvSpPr>
          <a:spLocks noChangeAspect="1" noChangeArrowheads="1"/>
        </xdr:cNvSpPr>
      </xdr:nvSpPr>
      <xdr:spPr bwMode="auto">
        <a:xfrm>
          <a:off x="0" y="343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171</xdr:row>
      <xdr:rowOff>0</xdr:rowOff>
    </xdr:from>
    <xdr:to>
      <xdr:col>19</xdr:col>
      <xdr:colOff>304800</xdr:colOff>
      <xdr:row>172</xdr:row>
      <xdr:rowOff>101599</xdr:rowOff>
    </xdr:to>
    <xdr:sp macro="" textlink="">
      <xdr:nvSpPr>
        <xdr:cNvPr id="187" name="AutoShape 165">
          <a:hlinkClick xmlns:r="http://schemas.openxmlformats.org/officeDocument/2006/relationships" r:id="rId175"/>
          <a:extLst>
            <a:ext uri="{FF2B5EF4-FFF2-40B4-BE49-F238E27FC236}">
              <a16:creationId xmlns:a16="http://schemas.microsoft.com/office/drawing/2014/main" id="{17B94D79-EBA9-A349-A77F-289F8CA0F417}"/>
            </a:ext>
          </a:extLst>
        </xdr:cNvPr>
        <xdr:cNvSpPr>
          <a:spLocks noChangeAspect="1" noChangeArrowheads="1"/>
        </xdr:cNvSpPr>
      </xdr:nvSpPr>
      <xdr:spPr bwMode="auto">
        <a:xfrm>
          <a:off x="0" y="345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172</xdr:row>
      <xdr:rowOff>0</xdr:rowOff>
    </xdr:from>
    <xdr:to>
      <xdr:col>19</xdr:col>
      <xdr:colOff>304800</xdr:colOff>
      <xdr:row>173</xdr:row>
      <xdr:rowOff>101602</xdr:rowOff>
    </xdr:to>
    <xdr:sp macro="" textlink="">
      <xdr:nvSpPr>
        <xdr:cNvPr id="188" name="AutoShape 166">
          <a:hlinkClick xmlns:r="http://schemas.openxmlformats.org/officeDocument/2006/relationships" r:id="rId176"/>
          <a:extLst>
            <a:ext uri="{FF2B5EF4-FFF2-40B4-BE49-F238E27FC236}">
              <a16:creationId xmlns:a16="http://schemas.microsoft.com/office/drawing/2014/main" id="{4E3C133B-709E-0248-A4FF-0FE179E460FD}"/>
            </a:ext>
          </a:extLst>
        </xdr:cNvPr>
        <xdr:cNvSpPr>
          <a:spLocks noChangeAspect="1" noChangeArrowheads="1"/>
        </xdr:cNvSpPr>
      </xdr:nvSpPr>
      <xdr:spPr bwMode="auto">
        <a:xfrm>
          <a:off x="0" y="347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173</xdr:row>
      <xdr:rowOff>0</xdr:rowOff>
    </xdr:from>
    <xdr:to>
      <xdr:col>19</xdr:col>
      <xdr:colOff>304800</xdr:colOff>
      <xdr:row>174</xdr:row>
      <xdr:rowOff>101599</xdr:rowOff>
    </xdr:to>
    <xdr:sp macro="" textlink="">
      <xdr:nvSpPr>
        <xdr:cNvPr id="189" name="AutoShape 167">
          <a:hlinkClick xmlns:r="http://schemas.openxmlformats.org/officeDocument/2006/relationships" r:id="rId177"/>
          <a:extLst>
            <a:ext uri="{FF2B5EF4-FFF2-40B4-BE49-F238E27FC236}">
              <a16:creationId xmlns:a16="http://schemas.microsoft.com/office/drawing/2014/main" id="{FC732258-1D2D-954B-BDDD-1A09AAF014CC}"/>
            </a:ext>
          </a:extLst>
        </xdr:cNvPr>
        <xdr:cNvSpPr>
          <a:spLocks noChangeAspect="1" noChangeArrowheads="1"/>
        </xdr:cNvSpPr>
      </xdr:nvSpPr>
      <xdr:spPr bwMode="auto">
        <a:xfrm>
          <a:off x="0" y="349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174</xdr:row>
      <xdr:rowOff>0</xdr:rowOff>
    </xdr:from>
    <xdr:to>
      <xdr:col>19</xdr:col>
      <xdr:colOff>304800</xdr:colOff>
      <xdr:row>175</xdr:row>
      <xdr:rowOff>101601</xdr:rowOff>
    </xdr:to>
    <xdr:sp macro="" textlink="">
      <xdr:nvSpPr>
        <xdr:cNvPr id="190" name="AutoShape 168">
          <a:hlinkClick xmlns:r="http://schemas.openxmlformats.org/officeDocument/2006/relationships" r:id="rId178"/>
          <a:extLst>
            <a:ext uri="{FF2B5EF4-FFF2-40B4-BE49-F238E27FC236}">
              <a16:creationId xmlns:a16="http://schemas.microsoft.com/office/drawing/2014/main" id="{9CBFDA25-82DE-B34B-BDC8-A83FA2C2FBE8}"/>
            </a:ext>
          </a:extLst>
        </xdr:cNvPr>
        <xdr:cNvSpPr>
          <a:spLocks noChangeAspect="1" noChangeArrowheads="1"/>
        </xdr:cNvSpPr>
      </xdr:nvSpPr>
      <xdr:spPr bwMode="auto">
        <a:xfrm>
          <a:off x="0" y="351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175</xdr:row>
      <xdr:rowOff>0</xdr:rowOff>
    </xdr:from>
    <xdr:to>
      <xdr:col>19</xdr:col>
      <xdr:colOff>304800</xdr:colOff>
      <xdr:row>176</xdr:row>
      <xdr:rowOff>101598</xdr:rowOff>
    </xdr:to>
    <xdr:sp macro="" textlink="">
      <xdr:nvSpPr>
        <xdr:cNvPr id="191" name="AutoShape 169">
          <a:hlinkClick xmlns:r="http://schemas.openxmlformats.org/officeDocument/2006/relationships" r:id="rId179"/>
          <a:extLst>
            <a:ext uri="{FF2B5EF4-FFF2-40B4-BE49-F238E27FC236}">
              <a16:creationId xmlns:a16="http://schemas.microsoft.com/office/drawing/2014/main" id="{AB6EBD97-2F7F-A047-A526-3D676BC7413B}"/>
            </a:ext>
          </a:extLst>
        </xdr:cNvPr>
        <xdr:cNvSpPr>
          <a:spLocks noChangeAspect="1" noChangeArrowheads="1"/>
        </xdr:cNvSpPr>
      </xdr:nvSpPr>
      <xdr:spPr bwMode="auto">
        <a:xfrm>
          <a:off x="0" y="353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176</xdr:row>
      <xdr:rowOff>0</xdr:rowOff>
    </xdr:from>
    <xdr:to>
      <xdr:col>19</xdr:col>
      <xdr:colOff>304800</xdr:colOff>
      <xdr:row>177</xdr:row>
      <xdr:rowOff>101601</xdr:rowOff>
    </xdr:to>
    <xdr:sp macro="" textlink="">
      <xdr:nvSpPr>
        <xdr:cNvPr id="192" name="AutoShape 170">
          <a:hlinkClick xmlns:r="http://schemas.openxmlformats.org/officeDocument/2006/relationships" r:id="rId180"/>
          <a:extLst>
            <a:ext uri="{FF2B5EF4-FFF2-40B4-BE49-F238E27FC236}">
              <a16:creationId xmlns:a16="http://schemas.microsoft.com/office/drawing/2014/main" id="{26F89559-0E16-DB44-AA45-DBCCE75F770D}"/>
            </a:ext>
          </a:extLst>
        </xdr:cNvPr>
        <xdr:cNvSpPr>
          <a:spLocks noChangeAspect="1" noChangeArrowheads="1"/>
        </xdr:cNvSpPr>
      </xdr:nvSpPr>
      <xdr:spPr bwMode="auto">
        <a:xfrm>
          <a:off x="0" y="35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177</xdr:row>
      <xdr:rowOff>0</xdr:rowOff>
    </xdr:from>
    <xdr:to>
      <xdr:col>19</xdr:col>
      <xdr:colOff>304800</xdr:colOff>
      <xdr:row>178</xdr:row>
      <xdr:rowOff>101601</xdr:rowOff>
    </xdr:to>
    <xdr:sp macro="" textlink="">
      <xdr:nvSpPr>
        <xdr:cNvPr id="193" name="AutoShape 171">
          <a:hlinkClick xmlns:r="http://schemas.openxmlformats.org/officeDocument/2006/relationships" r:id="rId181"/>
          <a:extLst>
            <a:ext uri="{FF2B5EF4-FFF2-40B4-BE49-F238E27FC236}">
              <a16:creationId xmlns:a16="http://schemas.microsoft.com/office/drawing/2014/main" id="{81A56E39-D080-7241-81BB-19304A779ACC}"/>
            </a:ext>
          </a:extLst>
        </xdr:cNvPr>
        <xdr:cNvSpPr>
          <a:spLocks noChangeAspect="1" noChangeArrowheads="1"/>
        </xdr:cNvSpPr>
      </xdr:nvSpPr>
      <xdr:spPr bwMode="auto">
        <a:xfrm>
          <a:off x="0" y="3577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178</xdr:row>
      <xdr:rowOff>0</xdr:rowOff>
    </xdr:from>
    <xdr:to>
      <xdr:col>19</xdr:col>
      <xdr:colOff>304800</xdr:colOff>
      <xdr:row>179</xdr:row>
      <xdr:rowOff>101600</xdr:rowOff>
    </xdr:to>
    <xdr:sp macro="" textlink="">
      <xdr:nvSpPr>
        <xdr:cNvPr id="194" name="AutoShape 172">
          <a:hlinkClick xmlns:r="http://schemas.openxmlformats.org/officeDocument/2006/relationships" r:id="rId182"/>
          <a:extLst>
            <a:ext uri="{FF2B5EF4-FFF2-40B4-BE49-F238E27FC236}">
              <a16:creationId xmlns:a16="http://schemas.microsoft.com/office/drawing/2014/main" id="{6DE99672-FACB-5B4D-8B05-DD5FBF16DA5E}"/>
            </a:ext>
          </a:extLst>
        </xdr:cNvPr>
        <xdr:cNvSpPr>
          <a:spLocks noChangeAspect="1" noChangeArrowheads="1"/>
        </xdr:cNvSpPr>
      </xdr:nvSpPr>
      <xdr:spPr bwMode="auto">
        <a:xfrm>
          <a:off x="0" y="359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179</xdr:row>
      <xdr:rowOff>0</xdr:rowOff>
    </xdr:from>
    <xdr:to>
      <xdr:col>19</xdr:col>
      <xdr:colOff>304800</xdr:colOff>
      <xdr:row>180</xdr:row>
      <xdr:rowOff>101600</xdr:rowOff>
    </xdr:to>
    <xdr:sp macro="" textlink="">
      <xdr:nvSpPr>
        <xdr:cNvPr id="195" name="AutoShape 173">
          <a:hlinkClick xmlns:r="http://schemas.openxmlformats.org/officeDocument/2006/relationships" r:id="rId183"/>
          <a:extLst>
            <a:ext uri="{FF2B5EF4-FFF2-40B4-BE49-F238E27FC236}">
              <a16:creationId xmlns:a16="http://schemas.microsoft.com/office/drawing/2014/main" id="{C8BF894B-C95C-C848-8C9F-73C400B1BC39}"/>
            </a:ext>
          </a:extLst>
        </xdr:cNvPr>
        <xdr:cNvSpPr>
          <a:spLocks noChangeAspect="1" noChangeArrowheads="1"/>
        </xdr:cNvSpPr>
      </xdr:nvSpPr>
      <xdr:spPr bwMode="auto">
        <a:xfrm>
          <a:off x="0" y="361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180</xdr:row>
      <xdr:rowOff>0</xdr:rowOff>
    </xdr:from>
    <xdr:to>
      <xdr:col>19</xdr:col>
      <xdr:colOff>304800</xdr:colOff>
      <xdr:row>181</xdr:row>
      <xdr:rowOff>101599</xdr:rowOff>
    </xdr:to>
    <xdr:sp macro="" textlink="">
      <xdr:nvSpPr>
        <xdr:cNvPr id="196" name="AutoShape 174">
          <a:hlinkClick xmlns:r="http://schemas.openxmlformats.org/officeDocument/2006/relationships" r:id="rId184"/>
          <a:extLst>
            <a:ext uri="{FF2B5EF4-FFF2-40B4-BE49-F238E27FC236}">
              <a16:creationId xmlns:a16="http://schemas.microsoft.com/office/drawing/2014/main" id="{A1986B89-0665-6D43-B194-534E5A785768}"/>
            </a:ext>
          </a:extLst>
        </xdr:cNvPr>
        <xdr:cNvSpPr>
          <a:spLocks noChangeAspect="1" noChangeArrowheads="1"/>
        </xdr:cNvSpPr>
      </xdr:nvSpPr>
      <xdr:spPr bwMode="auto">
        <a:xfrm>
          <a:off x="0" y="363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181</xdr:row>
      <xdr:rowOff>0</xdr:rowOff>
    </xdr:from>
    <xdr:to>
      <xdr:col>19</xdr:col>
      <xdr:colOff>304800</xdr:colOff>
      <xdr:row>182</xdr:row>
      <xdr:rowOff>101600</xdr:rowOff>
    </xdr:to>
    <xdr:sp macro="" textlink="">
      <xdr:nvSpPr>
        <xdr:cNvPr id="197" name="AutoShape 175">
          <a:hlinkClick xmlns:r="http://schemas.openxmlformats.org/officeDocument/2006/relationships" r:id="rId185"/>
          <a:extLst>
            <a:ext uri="{FF2B5EF4-FFF2-40B4-BE49-F238E27FC236}">
              <a16:creationId xmlns:a16="http://schemas.microsoft.com/office/drawing/2014/main" id="{0FE5D03C-D5A3-2F44-B8A2-86BAD171FEA4}"/>
            </a:ext>
          </a:extLst>
        </xdr:cNvPr>
        <xdr:cNvSpPr>
          <a:spLocks noChangeAspect="1" noChangeArrowheads="1"/>
        </xdr:cNvSpPr>
      </xdr:nvSpPr>
      <xdr:spPr bwMode="auto">
        <a:xfrm>
          <a:off x="0" y="3658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182</xdr:row>
      <xdr:rowOff>0</xdr:rowOff>
    </xdr:from>
    <xdr:to>
      <xdr:col>19</xdr:col>
      <xdr:colOff>304800</xdr:colOff>
      <xdr:row>183</xdr:row>
      <xdr:rowOff>101599</xdr:rowOff>
    </xdr:to>
    <xdr:sp macro="" textlink="">
      <xdr:nvSpPr>
        <xdr:cNvPr id="198" name="AutoShape 176">
          <a:hlinkClick xmlns:r="http://schemas.openxmlformats.org/officeDocument/2006/relationships" r:id="rId186"/>
          <a:extLst>
            <a:ext uri="{FF2B5EF4-FFF2-40B4-BE49-F238E27FC236}">
              <a16:creationId xmlns:a16="http://schemas.microsoft.com/office/drawing/2014/main" id="{E768387B-7A6B-D248-AAED-21ECA89BCC29}"/>
            </a:ext>
          </a:extLst>
        </xdr:cNvPr>
        <xdr:cNvSpPr>
          <a:spLocks noChangeAspect="1" noChangeArrowheads="1"/>
        </xdr:cNvSpPr>
      </xdr:nvSpPr>
      <xdr:spPr bwMode="auto">
        <a:xfrm>
          <a:off x="0" y="367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183</xdr:row>
      <xdr:rowOff>0</xdr:rowOff>
    </xdr:from>
    <xdr:to>
      <xdr:col>19</xdr:col>
      <xdr:colOff>304800</xdr:colOff>
      <xdr:row>184</xdr:row>
      <xdr:rowOff>101602</xdr:rowOff>
    </xdr:to>
    <xdr:sp macro="" textlink="">
      <xdr:nvSpPr>
        <xdr:cNvPr id="199" name="AutoShape 177">
          <a:hlinkClick xmlns:r="http://schemas.openxmlformats.org/officeDocument/2006/relationships" r:id="rId187"/>
          <a:extLst>
            <a:ext uri="{FF2B5EF4-FFF2-40B4-BE49-F238E27FC236}">
              <a16:creationId xmlns:a16="http://schemas.microsoft.com/office/drawing/2014/main" id="{98F93049-30B1-8D48-93C8-BE26FE2F37D7}"/>
            </a:ext>
          </a:extLst>
        </xdr:cNvPr>
        <xdr:cNvSpPr>
          <a:spLocks noChangeAspect="1" noChangeArrowheads="1"/>
        </xdr:cNvSpPr>
      </xdr:nvSpPr>
      <xdr:spPr bwMode="auto">
        <a:xfrm>
          <a:off x="0"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184</xdr:row>
      <xdr:rowOff>0</xdr:rowOff>
    </xdr:from>
    <xdr:to>
      <xdr:col>19</xdr:col>
      <xdr:colOff>304800</xdr:colOff>
      <xdr:row>185</xdr:row>
      <xdr:rowOff>101597</xdr:rowOff>
    </xdr:to>
    <xdr:sp macro="" textlink="">
      <xdr:nvSpPr>
        <xdr:cNvPr id="200" name="AutoShape 178">
          <a:hlinkClick xmlns:r="http://schemas.openxmlformats.org/officeDocument/2006/relationships" r:id="rId188"/>
          <a:extLst>
            <a:ext uri="{FF2B5EF4-FFF2-40B4-BE49-F238E27FC236}">
              <a16:creationId xmlns:a16="http://schemas.microsoft.com/office/drawing/2014/main" id="{994669A0-3179-AE4B-90DE-8FC4E5019FC7}"/>
            </a:ext>
          </a:extLst>
        </xdr:cNvPr>
        <xdr:cNvSpPr>
          <a:spLocks noChangeAspect="1" noChangeArrowheads="1"/>
        </xdr:cNvSpPr>
      </xdr:nvSpPr>
      <xdr:spPr bwMode="auto">
        <a:xfrm>
          <a:off x="0" y="371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185</xdr:row>
      <xdr:rowOff>0</xdr:rowOff>
    </xdr:from>
    <xdr:to>
      <xdr:col>19</xdr:col>
      <xdr:colOff>304800</xdr:colOff>
      <xdr:row>186</xdr:row>
      <xdr:rowOff>101602</xdr:rowOff>
    </xdr:to>
    <xdr:sp macro="" textlink="">
      <xdr:nvSpPr>
        <xdr:cNvPr id="201" name="AutoShape 179">
          <a:hlinkClick xmlns:r="http://schemas.openxmlformats.org/officeDocument/2006/relationships" r:id="rId189"/>
          <a:extLst>
            <a:ext uri="{FF2B5EF4-FFF2-40B4-BE49-F238E27FC236}">
              <a16:creationId xmlns:a16="http://schemas.microsoft.com/office/drawing/2014/main" id="{EE4C92CF-6935-5F4A-8AB9-255528B9CC1C}"/>
            </a:ext>
          </a:extLst>
        </xdr:cNvPr>
        <xdr:cNvSpPr>
          <a:spLocks noChangeAspect="1" noChangeArrowheads="1"/>
        </xdr:cNvSpPr>
      </xdr:nvSpPr>
      <xdr:spPr bwMode="auto">
        <a:xfrm>
          <a:off x="0" y="374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186</xdr:row>
      <xdr:rowOff>0</xdr:rowOff>
    </xdr:from>
    <xdr:to>
      <xdr:col>19</xdr:col>
      <xdr:colOff>304800</xdr:colOff>
      <xdr:row>187</xdr:row>
      <xdr:rowOff>101600</xdr:rowOff>
    </xdr:to>
    <xdr:sp macro="" textlink="">
      <xdr:nvSpPr>
        <xdr:cNvPr id="202" name="AutoShape 180">
          <a:hlinkClick xmlns:r="http://schemas.openxmlformats.org/officeDocument/2006/relationships" r:id="rId190"/>
          <a:extLst>
            <a:ext uri="{FF2B5EF4-FFF2-40B4-BE49-F238E27FC236}">
              <a16:creationId xmlns:a16="http://schemas.microsoft.com/office/drawing/2014/main" id="{60F76055-9A89-4847-A288-EFE44DE09062}"/>
            </a:ext>
          </a:extLst>
        </xdr:cNvPr>
        <xdr:cNvSpPr>
          <a:spLocks noChangeAspect="1" noChangeArrowheads="1"/>
        </xdr:cNvSpPr>
      </xdr:nvSpPr>
      <xdr:spPr bwMode="auto">
        <a:xfrm>
          <a:off x="0" y="376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187</xdr:row>
      <xdr:rowOff>0</xdr:rowOff>
    </xdr:from>
    <xdr:to>
      <xdr:col>19</xdr:col>
      <xdr:colOff>304800</xdr:colOff>
      <xdr:row>188</xdr:row>
      <xdr:rowOff>101601</xdr:rowOff>
    </xdr:to>
    <xdr:sp macro="" textlink="">
      <xdr:nvSpPr>
        <xdr:cNvPr id="203" name="AutoShape 181">
          <a:hlinkClick xmlns:r="http://schemas.openxmlformats.org/officeDocument/2006/relationships" r:id="rId191"/>
          <a:extLst>
            <a:ext uri="{FF2B5EF4-FFF2-40B4-BE49-F238E27FC236}">
              <a16:creationId xmlns:a16="http://schemas.microsoft.com/office/drawing/2014/main" id="{AF7B7366-F9A9-6E47-ADDB-740165B9DA70}"/>
            </a:ext>
          </a:extLst>
        </xdr:cNvPr>
        <xdr:cNvSpPr>
          <a:spLocks noChangeAspect="1" noChangeArrowheads="1"/>
        </xdr:cNvSpPr>
      </xdr:nvSpPr>
      <xdr:spPr bwMode="auto">
        <a:xfrm>
          <a:off x="0" y="378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189</xdr:row>
      <xdr:rowOff>0</xdr:rowOff>
    </xdr:from>
    <xdr:to>
      <xdr:col>19</xdr:col>
      <xdr:colOff>304800</xdr:colOff>
      <xdr:row>190</xdr:row>
      <xdr:rowOff>101600</xdr:rowOff>
    </xdr:to>
    <xdr:sp macro="" textlink="">
      <xdr:nvSpPr>
        <xdr:cNvPr id="204" name="AutoShape 182">
          <a:hlinkClick xmlns:r="http://schemas.openxmlformats.org/officeDocument/2006/relationships" r:id="rId192"/>
          <a:extLst>
            <a:ext uri="{FF2B5EF4-FFF2-40B4-BE49-F238E27FC236}">
              <a16:creationId xmlns:a16="http://schemas.microsoft.com/office/drawing/2014/main" id="{ED535D67-2434-554B-8581-2E3491215A32}"/>
            </a:ext>
          </a:extLst>
        </xdr:cNvPr>
        <xdr:cNvSpPr>
          <a:spLocks noChangeAspect="1" noChangeArrowheads="1"/>
        </xdr:cNvSpPr>
      </xdr:nvSpPr>
      <xdr:spPr bwMode="auto">
        <a:xfrm>
          <a:off x="0" y="382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190</xdr:row>
      <xdr:rowOff>0</xdr:rowOff>
    </xdr:from>
    <xdr:to>
      <xdr:col>19</xdr:col>
      <xdr:colOff>304800</xdr:colOff>
      <xdr:row>191</xdr:row>
      <xdr:rowOff>101600</xdr:rowOff>
    </xdr:to>
    <xdr:sp macro="" textlink="">
      <xdr:nvSpPr>
        <xdr:cNvPr id="205" name="AutoShape 183">
          <a:hlinkClick xmlns:r="http://schemas.openxmlformats.org/officeDocument/2006/relationships" r:id="rId193"/>
          <a:extLst>
            <a:ext uri="{FF2B5EF4-FFF2-40B4-BE49-F238E27FC236}">
              <a16:creationId xmlns:a16="http://schemas.microsoft.com/office/drawing/2014/main" id="{6516ADE3-407D-0A40-A174-02C599FB61AD}"/>
            </a:ext>
          </a:extLst>
        </xdr:cNvPr>
        <xdr:cNvSpPr>
          <a:spLocks noChangeAspect="1" noChangeArrowheads="1"/>
        </xdr:cNvSpPr>
      </xdr:nvSpPr>
      <xdr:spPr bwMode="auto">
        <a:xfrm>
          <a:off x="0" y="384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191</xdr:row>
      <xdr:rowOff>0</xdr:rowOff>
    </xdr:from>
    <xdr:to>
      <xdr:col>19</xdr:col>
      <xdr:colOff>304800</xdr:colOff>
      <xdr:row>192</xdr:row>
      <xdr:rowOff>101601</xdr:rowOff>
    </xdr:to>
    <xdr:sp macro="" textlink="">
      <xdr:nvSpPr>
        <xdr:cNvPr id="206" name="AutoShape 184">
          <a:hlinkClick xmlns:r="http://schemas.openxmlformats.org/officeDocument/2006/relationships" r:id="rId194"/>
          <a:extLst>
            <a:ext uri="{FF2B5EF4-FFF2-40B4-BE49-F238E27FC236}">
              <a16:creationId xmlns:a16="http://schemas.microsoft.com/office/drawing/2014/main" id="{62DD883B-2486-774D-B3A7-880199443B72}"/>
            </a:ext>
          </a:extLst>
        </xdr:cNvPr>
        <xdr:cNvSpPr>
          <a:spLocks noChangeAspect="1" noChangeArrowheads="1"/>
        </xdr:cNvSpPr>
      </xdr:nvSpPr>
      <xdr:spPr bwMode="auto">
        <a:xfrm>
          <a:off x="0" y="386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192</xdr:row>
      <xdr:rowOff>0</xdr:rowOff>
    </xdr:from>
    <xdr:to>
      <xdr:col>19</xdr:col>
      <xdr:colOff>304800</xdr:colOff>
      <xdr:row>193</xdr:row>
      <xdr:rowOff>101600</xdr:rowOff>
    </xdr:to>
    <xdr:sp macro="" textlink="">
      <xdr:nvSpPr>
        <xdr:cNvPr id="207" name="AutoShape 185">
          <a:hlinkClick xmlns:r="http://schemas.openxmlformats.org/officeDocument/2006/relationships" r:id="rId195"/>
          <a:extLst>
            <a:ext uri="{FF2B5EF4-FFF2-40B4-BE49-F238E27FC236}">
              <a16:creationId xmlns:a16="http://schemas.microsoft.com/office/drawing/2014/main" id="{7B0842C3-0C1E-3B4E-AA61-C34755E4D7C7}"/>
            </a:ext>
          </a:extLst>
        </xdr:cNvPr>
        <xdr:cNvSpPr>
          <a:spLocks noChangeAspect="1" noChangeArrowheads="1"/>
        </xdr:cNvSpPr>
      </xdr:nvSpPr>
      <xdr:spPr bwMode="auto">
        <a:xfrm>
          <a:off x="0" y="388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193</xdr:row>
      <xdr:rowOff>0</xdr:rowOff>
    </xdr:from>
    <xdr:to>
      <xdr:col>19</xdr:col>
      <xdr:colOff>304800</xdr:colOff>
      <xdr:row>194</xdr:row>
      <xdr:rowOff>101600</xdr:rowOff>
    </xdr:to>
    <xdr:sp macro="" textlink="">
      <xdr:nvSpPr>
        <xdr:cNvPr id="208" name="AutoShape 186">
          <a:hlinkClick xmlns:r="http://schemas.openxmlformats.org/officeDocument/2006/relationships" r:id="rId196"/>
          <a:extLst>
            <a:ext uri="{FF2B5EF4-FFF2-40B4-BE49-F238E27FC236}">
              <a16:creationId xmlns:a16="http://schemas.microsoft.com/office/drawing/2014/main" id="{A9301F49-08F8-194D-BE32-F1152026765D}"/>
            </a:ext>
          </a:extLst>
        </xdr:cNvPr>
        <xdr:cNvSpPr>
          <a:spLocks noChangeAspect="1" noChangeArrowheads="1"/>
        </xdr:cNvSpPr>
      </xdr:nvSpPr>
      <xdr:spPr bwMode="auto">
        <a:xfrm>
          <a:off x="0" y="390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194</xdr:row>
      <xdr:rowOff>0</xdr:rowOff>
    </xdr:from>
    <xdr:to>
      <xdr:col>19</xdr:col>
      <xdr:colOff>304800</xdr:colOff>
      <xdr:row>195</xdr:row>
      <xdr:rowOff>101599</xdr:rowOff>
    </xdr:to>
    <xdr:sp macro="" textlink="">
      <xdr:nvSpPr>
        <xdr:cNvPr id="209" name="AutoShape 187">
          <a:hlinkClick xmlns:r="http://schemas.openxmlformats.org/officeDocument/2006/relationships" r:id="rId197"/>
          <a:extLst>
            <a:ext uri="{FF2B5EF4-FFF2-40B4-BE49-F238E27FC236}">
              <a16:creationId xmlns:a16="http://schemas.microsoft.com/office/drawing/2014/main" id="{5FE8FB3D-5E30-6042-B5CD-6C07B57FE1D6}"/>
            </a:ext>
          </a:extLst>
        </xdr:cNvPr>
        <xdr:cNvSpPr>
          <a:spLocks noChangeAspect="1" noChangeArrowheads="1"/>
        </xdr:cNvSpPr>
      </xdr:nvSpPr>
      <xdr:spPr bwMode="auto">
        <a:xfrm>
          <a:off x="0" y="392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19</xdr:col>
      <xdr:colOff>0</xdr:colOff>
      <xdr:row>102</xdr:row>
      <xdr:rowOff>0</xdr:rowOff>
    </xdr:from>
    <xdr:ext cx="304800" cy="304800"/>
    <xdr:sp macro="" textlink="">
      <xdr:nvSpPr>
        <xdr:cNvPr id="212" name="AutoShape 99">
          <a:hlinkClick xmlns:r="http://schemas.openxmlformats.org/officeDocument/2006/relationships" r:id="rId109"/>
          <a:extLst>
            <a:ext uri="{FF2B5EF4-FFF2-40B4-BE49-F238E27FC236}">
              <a16:creationId xmlns:a16="http://schemas.microsoft.com/office/drawing/2014/main" id="{9AF0198F-0795-5C47-B0E4-7C4FA49E3CC6}"/>
            </a:ext>
          </a:extLst>
        </xdr:cNvPr>
        <xdr:cNvSpPr>
          <a:spLocks noChangeAspect="1" noChangeArrowheads="1"/>
        </xdr:cNvSpPr>
      </xdr:nvSpPr>
      <xdr:spPr bwMode="auto">
        <a:xfrm>
          <a:off x="19197674" y="20881163"/>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103</xdr:row>
      <xdr:rowOff>0</xdr:rowOff>
    </xdr:from>
    <xdr:ext cx="304800" cy="308344"/>
    <xdr:sp macro="" textlink="">
      <xdr:nvSpPr>
        <xdr:cNvPr id="213" name="AutoShape 100">
          <a:hlinkClick xmlns:r="http://schemas.openxmlformats.org/officeDocument/2006/relationships" r:id="rId110"/>
          <a:extLst>
            <a:ext uri="{FF2B5EF4-FFF2-40B4-BE49-F238E27FC236}">
              <a16:creationId xmlns:a16="http://schemas.microsoft.com/office/drawing/2014/main" id="{1FDED8DB-C8CD-754A-8795-474ADF964786}"/>
            </a:ext>
          </a:extLst>
        </xdr:cNvPr>
        <xdr:cNvSpPr>
          <a:spLocks noChangeAspect="1" noChangeArrowheads="1"/>
        </xdr:cNvSpPr>
      </xdr:nvSpPr>
      <xdr:spPr bwMode="auto">
        <a:xfrm>
          <a:off x="19197674" y="2130941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104</xdr:row>
      <xdr:rowOff>0</xdr:rowOff>
    </xdr:from>
    <xdr:ext cx="304800" cy="308344"/>
    <xdr:sp macro="" textlink="">
      <xdr:nvSpPr>
        <xdr:cNvPr id="214" name="AutoShape 101">
          <a:hlinkClick xmlns:r="http://schemas.openxmlformats.org/officeDocument/2006/relationships" r:id="rId111"/>
          <a:extLst>
            <a:ext uri="{FF2B5EF4-FFF2-40B4-BE49-F238E27FC236}">
              <a16:creationId xmlns:a16="http://schemas.microsoft.com/office/drawing/2014/main" id="{A2CDEABD-0703-9E4B-9DF7-6833A28D33D8}"/>
            </a:ext>
          </a:extLst>
        </xdr:cNvPr>
        <xdr:cNvSpPr>
          <a:spLocks noChangeAspect="1" noChangeArrowheads="1"/>
        </xdr:cNvSpPr>
      </xdr:nvSpPr>
      <xdr:spPr bwMode="auto">
        <a:xfrm>
          <a:off x="19197674" y="2151616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105</xdr:row>
      <xdr:rowOff>0</xdr:rowOff>
    </xdr:from>
    <xdr:ext cx="304800" cy="308344"/>
    <xdr:sp macro="" textlink="">
      <xdr:nvSpPr>
        <xdr:cNvPr id="215" name="AutoShape 102">
          <a:hlinkClick xmlns:r="http://schemas.openxmlformats.org/officeDocument/2006/relationships" r:id="rId112"/>
          <a:extLst>
            <a:ext uri="{FF2B5EF4-FFF2-40B4-BE49-F238E27FC236}">
              <a16:creationId xmlns:a16="http://schemas.microsoft.com/office/drawing/2014/main" id="{B9F0AC17-4F2C-D04F-BA34-D91B5DCFAADA}"/>
            </a:ext>
          </a:extLst>
        </xdr:cNvPr>
        <xdr:cNvSpPr>
          <a:spLocks noChangeAspect="1" noChangeArrowheads="1"/>
        </xdr:cNvSpPr>
      </xdr:nvSpPr>
      <xdr:spPr bwMode="auto">
        <a:xfrm>
          <a:off x="19197674" y="2172290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106</xdr:row>
      <xdr:rowOff>0</xdr:rowOff>
    </xdr:from>
    <xdr:ext cx="304800" cy="308344"/>
    <xdr:sp macro="" textlink="">
      <xdr:nvSpPr>
        <xdr:cNvPr id="216" name="AutoShape 103">
          <a:hlinkClick xmlns:r="http://schemas.openxmlformats.org/officeDocument/2006/relationships" r:id="rId113"/>
          <a:extLst>
            <a:ext uri="{FF2B5EF4-FFF2-40B4-BE49-F238E27FC236}">
              <a16:creationId xmlns:a16="http://schemas.microsoft.com/office/drawing/2014/main" id="{41868DF2-02AC-5148-913C-8A38C130DADE}"/>
            </a:ext>
          </a:extLst>
        </xdr:cNvPr>
        <xdr:cNvSpPr>
          <a:spLocks noChangeAspect="1" noChangeArrowheads="1"/>
        </xdr:cNvSpPr>
      </xdr:nvSpPr>
      <xdr:spPr bwMode="auto">
        <a:xfrm>
          <a:off x="19197674" y="2192965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107</xdr:row>
      <xdr:rowOff>0</xdr:rowOff>
    </xdr:from>
    <xdr:ext cx="304800" cy="308345"/>
    <xdr:sp macro="" textlink="">
      <xdr:nvSpPr>
        <xdr:cNvPr id="217" name="AutoShape 104">
          <a:hlinkClick xmlns:r="http://schemas.openxmlformats.org/officeDocument/2006/relationships" r:id="rId114"/>
          <a:extLst>
            <a:ext uri="{FF2B5EF4-FFF2-40B4-BE49-F238E27FC236}">
              <a16:creationId xmlns:a16="http://schemas.microsoft.com/office/drawing/2014/main" id="{F96892D2-A105-0649-BFC1-F8227A92899F}"/>
            </a:ext>
          </a:extLst>
        </xdr:cNvPr>
        <xdr:cNvSpPr>
          <a:spLocks noChangeAspect="1" noChangeArrowheads="1"/>
        </xdr:cNvSpPr>
      </xdr:nvSpPr>
      <xdr:spPr bwMode="auto">
        <a:xfrm>
          <a:off x="19197674" y="22136395"/>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108</xdr:row>
      <xdr:rowOff>0</xdr:rowOff>
    </xdr:from>
    <xdr:ext cx="304800" cy="308344"/>
    <xdr:sp macro="" textlink="">
      <xdr:nvSpPr>
        <xdr:cNvPr id="218" name="AutoShape 105">
          <a:hlinkClick xmlns:r="http://schemas.openxmlformats.org/officeDocument/2006/relationships" r:id="rId115"/>
          <a:extLst>
            <a:ext uri="{FF2B5EF4-FFF2-40B4-BE49-F238E27FC236}">
              <a16:creationId xmlns:a16="http://schemas.microsoft.com/office/drawing/2014/main" id="{6F93606F-03A3-6F4E-AEED-131ACA571DB2}"/>
            </a:ext>
          </a:extLst>
        </xdr:cNvPr>
        <xdr:cNvSpPr>
          <a:spLocks noChangeAspect="1" noChangeArrowheads="1"/>
        </xdr:cNvSpPr>
      </xdr:nvSpPr>
      <xdr:spPr bwMode="auto">
        <a:xfrm>
          <a:off x="19197674" y="2234314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109</xdr:row>
      <xdr:rowOff>0</xdr:rowOff>
    </xdr:from>
    <xdr:ext cx="304800" cy="308344"/>
    <xdr:sp macro="" textlink="">
      <xdr:nvSpPr>
        <xdr:cNvPr id="219" name="AutoShape 106">
          <a:hlinkClick xmlns:r="http://schemas.openxmlformats.org/officeDocument/2006/relationships" r:id="rId116"/>
          <a:extLst>
            <a:ext uri="{FF2B5EF4-FFF2-40B4-BE49-F238E27FC236}">
              <a16:creationId xmlns:a16="http://schemas.microsoft.com/office/drawing/2014/main" id="{CFDFBC7A-C765-B545-8C4B-345D95E05A4B}"/>
            </a:ext>
          </a:extLst>
        </xdr:cNvPr>
        <xdr:cNvSpPr>
          <a:spLocks noChangeAspect="1" noChangeArrowheads="1"/>
        </xdr:cNvSpPr>
      </xdr:nvSpPr>
      <xdr:spPr bwMode="auto">
        <a:xfrm>
          <a:off x="19197674" y="22549884"/>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110</xdr:row>
      <xdr:rowOff>0</xdr:rowOff>
    </xdr:from>
    <xdr:ext cx="304800" cy="308344"/>
    <xdr:sp macro="" textlink="">
      <xdr:nvSpPr>
        <xdr:cNvPr id="220" name="AutoShape 107">
          <a:hlinkClick xmlns:r="http://schemas.openxmlformats.org/officeDocument/2006/relationships" r:id="rId117"/>
          <a:extLst>
            <a:ext uri="{FF2B5EF4-FFF2-40B4-BE49-F238E27FC236}">
              <a16:creationId xmlns:a16="http://schemas.microsoft.com/office/drawing/2014/main" id="{64E3BE80-F9C5-EE46-90FE-E173ED120A75}"/>
            </a:ext>
          </a:extLst>
        </xdr:cNvPr>
        <xdr:cNvSpPr>
          <a:spLocks noChangeAspect="1" noChangeArrowheads="1"/>
        </xdr:cNvSpPr>
      </xdr:nvSpPr>
      <xdr:spPr bwMode="auto">
        <a:xfrm>
          <a:off x="19197674" y="22756628"/>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111</xdr:row>
      <xdr:rowOff>0</xdr:rowOff>
    </xdr:from>
    <xdr:ext cx="304800" cy="308344"/>
    <xdr:sp macro="" textlink="">
      <xdr:nvSpPr>
        <xdr:cNvPr id="221" name="AutoShape 108">
          <a:hlinkClick xmlns:r="http://schemas.openxmlformats.org/officeDocument/2006/relationships" r:id="rId118"/>
          <a:extLst>
            <a:ext uri="{FF2B5EF4-FFF2-40B4-BE49-F238E27FC236}">
              <a16:creationId xmlns:a16="http://schemas.microsoft.com/office/drawing/2014/main" id="{3BD46C77-976D-CD4A-AAA2-5636EB0F02BC}"/>
            </a:ext>
          </a:extLst>
        </xdr:cNvPr>
        <xdr:cNvSpPr>
          <a:spLocks noChangeAspect="1" noChangeArrowheads="1"/>
        </xdr:cNvSpPr>
      </xdr:nvSpPr>
      <xdr:spPr bwMode="auto">
        <a:xfrm>
          <a:off x="19197674" y="22963372"/>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112</xdr:row>
      <xdr:rowOff>0</xdr:rowOff>
    </xdr:from>
    <xdr:ext cx="304800" cy="308344"/>
    <xdr:sp macro="" textlink="">
      <xdr:nvSpPr>
        <xdr:cNvPr id="222" name="AutoShape 109">
          <a:hlinkClick xmlns:r="http://schemas.openxmlformats.org/officeDocument/2006/relationships" r:id="rId119"/>
          <a:extLst>
            <a:ext uri="{FF2B5EF4-FFF2-40B4-BE49-F238E27FC236}">
              <a16:creationId xmlns:a16="http://schemas.microsoft.com/office/drawing/2014/main" id="{F3EA0525-0D1A-394B-8645-B431F482DC8C}"/>
            </a:ext>
          </a:extLst>
        </xdr:cNvPr>
        <xdr:cNvSpPr>
          <a:spLocks noChangeAspect="1" noChangeArrowheads="1"/>
        </xdr:cNvSpPr>
      </xdr:nvSpPr>
      <xdr:spPr bwMode="auto">
        <a:xfrm>
          <a:off x="19197674" y="2317011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113</xdr:row>
      <xdr:rowOff>0</xdr:rowOff>
    </xdr:from>
    <xdr:ext cx="304800" cy="308345"/>
    <xdr:sp macro="" textlink="">
      <xdr:nvSpPr>
        <xdr:cNvPr id="223" name="AutoShape 110">
          <a:hlinkClick xmlns:r="http://schemas.openxmlformats.org/officeDocument/2006/relationships" r:id="rId120"/>
          <a:extLst>
            <a:ext uri="{FF2B5EF4-FFF2-40B4-BE49-F238E27FC236}">
              <a16:creationId xmlns:a16="http://schemas.microsoft.com/office/drawing/2014/main" id="{E6551599-381A-EF41-AE57-E34D916B0038}"/>
            </a:ext>
          </a:extLst>
        </xdr:cNvPr>
        <xdr:cNvSpPr>
          <a:spLocks noChangeAspect="1" noChangeArrowheads="1"/>
        </xdr:cNvSpPr>
      </xdr:nvSpPr>
      <xdr:spPr bwMode="auto">
        <a:xfrm>
          <a:off x="19197674" y="23376860"/>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114</xdr:row>
      <xdr:rowOff>0</xdr:rowOff>
    </xdr:from>
    <xdr:ext cx="304800" cy="308344"/>
    <xdr:sp macro="" textlink="">
      <xdr:nvSpPr>
        <xdr:cNvPr id="224" name="AutoShape 111">
          <a:hlinkClick xmlns:r="http://schemas.openxmlformats.org/officeDocument/2006/relationships" r:id="rId121"/>
          <a:extLst>
            <a:ext uri="{FF2B5EF4-FFF2-40B4-BE49-F238E27FC236}">
              <a16:creationId xmlns:a16="http://schemas.microsoft.com/office/drawing/2014/main" id="{16773928-1F7B-3E4B-B7E8-CB0DBA086798}"/>
            </a:ext>
          </a:extLst>
        </xdr:cNvPr>
        <xdr:cNvSpPr>
          <a:spLocks noChangeAspect="1" noChangeArrowheads="1"/>
        </xdr:cNvSpPr>
      </xdr:nvSpPr>
      <xdr:spPr bwMode="auto">
        <a:xfrm>
          <a:off x="19197674" y="23583605"/>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115</xdr:row>
      <xdr:rowOff>0</xdr:rowOff>
    </xdr:from>
    <xdr:ext cx="304800" cy="308344"/>
    <xdr:sp macro="" textlink="">
      <xdr:nvSpPr>
        <xdr:cNvPr id="225" name="AutoShape 112">
          <a:hlinkClick xmlns:r="http://schemas.openxmlformats.org/officeDocument/2006/relationships" r:id="rId122"/>
          <a:extLst>
            <a:ext uri="{FF2B5EF4-FFF2-40B4-BE49-F238E27FC236}">
              <a16:creationId xmlns:a16="http://schemas.microsoft.com/office/drawing/2014/main" id="{ACD2CDF9-FA75-7C45-A5E4-E8D11E34593D}"/>
            </a:ext>
          </a:extLst>
        </xdr:cNvPr>
        <xdr:cNvSpPr>
          <a:spLocks noChangeAspect="1" noChangeArrowheads="1"/>
        </xdr:cNvSpPr>
      </xdr:nvSpPr>
      <xdr:spPr bwMode="auto">
        <a:xfrm>
          <a:off x="19197674" y="2379034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116</xdr:row>
      <xdr:rowOff>0</xdr:rowOff>
    </xdr:from>
    <xdr:ext cx="304800" cy="308344"/>
    <xdr:sp macro="" textlink="">
      <xdr:nvSpPr>
        <xdr:cNvPr id="226" name="AutoShape 113">
          <a:hlinkClick xmlns:r="http://schemas.openxmlformats.org/officeDocument/2006/relationships" r:id="rId123"/>
          <a:extLst>
            <a:ext uri="{FF2B5EF4-FFF2-40B4-BE49-F238E27FC236}">
              <a16:creationId xmlns:a16="http://schemas.microsoft.com/office/drawing/2014/main" id="{57E48735-DC1B-1941-A393-4C9F498BE6DF}"/>
            </a:ext>
          </a:extLst>
        </xdr:cNvPr>
        <xdr:cNvSpPr>
          <a:spLocks noChangeAspect="1" noChangeArrowheads="1"/>
        </xdr:cNvSpPr>
      </xdr:nvSpPr>
      <xdr:spPr bwMode="auto">
        <a:xfrm>
          <a:off x="19197674" y="2399709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117</xdr:row>
      <xdr:rowOff>0</xdr:rowOff>
    </xdr:from>
    <xdr:ext cx="304800" cy="308344"/>
    <xdr:sp macro="" textlink="">
      <xdr:nvSpPr>
        <xdr:cNvPr id="227" name="AutoShape 114">
          <a:hlinkClick xmlns:r="http://schemas.openxmlformats.org/officeDocument/2006/relationships" r:id="rId124"/>
          <a:extLst>
            <a:ext uri="{FF2B5EF4-FFF2-40B4-BE49-F238E27FC236}">
              <a16:creationId xmlns:a16="http://schemas.microsoft.com/office/drawing/2014/main" id="{76D93465-7263-B14F-BC05-978E2A7F19F2}"/>
            </a:ext>
          </a:extLst>
        </xdr:cNvPr>
        <xdr:cNvSpPr>
          <a:spLocks noChangeAspect="1" noChangeArrowheads="1"/>
        </xdr:cNvSpPr>
      </xdr:nvSpPr>
      <xdr:spPr bwMode="auto">
        <a:xfrm>
          <a:off x="19197674" y="2420383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118</xdr:row>
      <xdr:rowOff>0</xdr:rowOff>
    </xdr:from>
    <xdr:ext cx="304800" cy="308345"/>
    <xdr:sp macro="" textlink="">
      <xdr:nvSpPr>
        <xdr:cNvPr id="228" name="AutoShape 115">
          <a:hlinkClick xmlns:r="http://schemas.openxmlformats.org/officeDocument/2006/relationships" r:id="rId125"/>
          <a:extLst>
            <a:ext uri="{FF2B5EF4-FFF2-40B4-BE49-F238E27FC236}">
              <a16:creationId xmlns:a16="http://schemas.microsoft.com/office/drawing/2014/main" id="{F7A3B059-0AF4-6241-99C3-86F399633F2A}"/>
            </a:ext>
          </a:extLst>
        </xdr:cNvPr>
        <xdr:cNvSpPr>
          <a:spLocks noChangeAspect="1" noChangeArrowheads="1"/>
        </xdr:cNvSpPr>
      </xdr:nvSpPr>
      <xdr:spPr bwMode="auto">
        <a:xfrm>
          <a:off x="19197674" y="24410581"/>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119</xdr:row>
      <xdr:rowOff>0</xdr:rowOff>
    </xdr:from>
    <xdr:ext cx="304800" cy="308344"/>
    <xdr:sp macro="" textlink="">
      <xdr:nvSpPr>
        <xdr:cNvPr id="229" name="AutoShape 116">
          <a:hlinkClick xmlns:r="http://schemas.openxmlformats.org/officeDocument/2006/relationships" r:id="rId126"/>
          <a:extLst>
            <a:ext uri="{FF2B5EF4-FFF2-40B4-BE49-F238E27FC236}">
              <a16:creationId xmlns:a16="http://schemas.microsoft.com/office/drawing/2014/main" id="{5183AFC4-59DF-5845-A98A-26BE909CD29F}"/>
            </a:ext>
          </a:extLst>
        </xdr:cNvPr>
        <xdr:cNvSpPr>
          <a:spLocks noChangeAspect="1" noChangeArrowheads="1"/>
        </xdr:cNvSpPr>
      </xdr:nvSpPr>
      <xdr:spPr bwMode="auto">
        <a:xfrm>
          <a:off x="19197674" y="2461732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120</xdr:row>
      <xdr:rowOff>0</xdr:rowOff>
    </xdr:from>
    <xdr:ext cx="304800" cy="308344"/>
    <xdr:sp macro="" textlink="">
      <xdr:nvSpPr>
        <xdr:cNvPr id="230" name="AutoShape 117">
          <a:hlinkClick xmlns:r="http://schemas.openxmlformats.org/officeDocument/2006/relationships" r:id="rId127"/>
          <a:extLst>
            <a:ext uri="{FF2B5EF4-FFF2-40B4-BE49-F238E27FC236}">
              <a16:creationId xmlns:a16="http://schemas.microsoft.com/office/drawing/2014/main" id="{15E3521C-A69C-C041-A902-23F316505ADC}"/>
            </a:ext>
          </a:extLst>
        </xdr:cNvPr>
        <xdr:cNvSpPr>
          <a:spLocks noChangeAspect="1" noChangeArrowheads="1"/>
        </xdr:cNvSpPr>
      </xdr:nvSpPr>
      <xdr:spPr bwMode="auto">
        <a:xfrm>
          <a:off x="19197674" y="2482407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121</xdr:row>
      <xdr:rowOff>0</xdr:rowOff>
    </xdr:from>
    <xdr:ext cx="304800" cy="308344"/>
    <xdr:sp macro="" textlink="">
      <xdr:nvSpPr>
        <xdr:cNvPr id="231" name="AutoShape 118">
          <a:hlinkClick xmlns:r="http://schemas.openxmlformats.org/officeDocument/2006/relationships" r:id="rId128"/>
          <a:extLst>
            <a:ext uri="{FF2B5EF4-FFF2-40B4-BE49-F238E27FC236}">
              <a16:creationId xmlns:a16="http://schemas.microsoft.com/office/drawing/2014/main" id="{21F901FA-FBC1-F342-B89E-44000C985EFC}"/>
            </a:ext>
          </a:extLst>
        </xdr:cNvPr>
        <xdr:cNvSpPr>
          <a:spLocks noChangeAspect="1" noChangeArrowheads="1"/>
        </xdr:cNvSpPr>
      </xdr:nvSpPr>
      <xdr:spPr bwMode="auto">
        <a:xfrm>
          <a:off x="19197674" y="25030814"/>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122</xdr:row>
      <xdr:rowOff>0</xdr:rowOff>
    </xdr:from>
    <xdr:ext cx="304800" cy="308344"/>
    <xdr:sp macro="" textlink="">
      <xdr:nvSpPr>
        <xdr:cNvPr id="232" name="AutoShape 119">
          <a:hlinkClick xmlns:r="http://schemas.openxmlformats.org/officeDocument/2006/relationships" r:id="rId129"/>
          <a:extLst>
            <a:ext uri="{FF2B5EF4-FFF2-40B4-BE49-F238E27FC236}">
              <a16:creationId xmlns:a16="http://schemas.microsoft.com/office/drawing/2014/main" id="{3DC79238-7A7E-9544-BFE6-210F455E12F7}"/>
            </a:ext>
          </a:extLst>
        </xdr:cNvPr>
        <xdr:cNvSpPr>
          <a:spLocks noChangeAspect="1" noChangeArrowheads="1"/>
        </xdr:cNvSpPr>
      </xdr:nvSpPr>
      <xdr:spPr bwMode="auto">
        <a:xfrm>
          <a:off x="19197674" y="25237558"/>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123</xdr:row>
      <xdr:rowOff>0</xdr:rowOff>
    </xdr:from>
    <xdr:ext cx="304800" cy="308345"/>
    <xdr:sp macro="" textlink="">
      <xdr:nvSpPr>
        <xdr:cNvPr id="233" name="AutoShape 120">
          <a:hlinkClick xmlns:r="http://schemas.openxmlformats.org/officeDocument/2006/relationships" r:id="rId130"/>
          <a:extLst>
            <a:ext uri="{FF2B5EF4-FFF2-40B4-BE49-F238E27FC236}">
              <a16:creationId xmlns:a16="http://schemas.microsoft.com/office/drawing/2014/main" id="{29BECD97-93F6-8249-93F5-55E6AF699652}"/>
            </a:ext>
          </a:extLst>
        </xdr:cNvPr>
        <xdr:cNvSpPr>
          <a:spLocks noChangeAspect="1" noChangeArrowheads="1"/>
        </xdr:cNvSpPr>
      </xdr:nvSpPr>
      <xdr:spPr bwMode="auto">
        <a:xfrm>
          <a:off x="19197674" y="25444302"/>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124</xdr:row>
      <xdr:rowOff>0</xdr:rowOff>
    </xdr:from>
    <xdr:ext cx="304800" cy="308344"/>
    <xdr:sp macro="" textlink="">
      <xdr:nvSpPr>
        <xdr:cNvPr id="234" name="AutoShape 121">
          <a:hlinkClick xmlns:r="http://schemas.openxmlformats.org/officeDocument/2006/relationships" r:id="rId131"/>
          <a:extLst>
            <a:ext uri="{FF2B5EF4-FFF2-40B4-BE49-F238E27FC236}">
              <a16:creationId xmlns:a16="http://schemas.microsoft.com/office/drawing/2014/main" id="{B2D1B1A9-7BA6-EB4B-82F9-3E0BA7E7C0E1}"/>
            </a:ext>
          </a:extLst>
        </xdr:cNvPr>
        <xdr:cNvSpPr>
          <a:spLocks noChangeAspect="1" noChangeArrowheads="1"/>
        </xdr:cNvSpPr>
      </xdr:nvSpPr>
      <xdr:spPr bwMode="auto">
        <a:xfrm>
          <a:off x="19197674" y="2565104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125</xdr:row>
      <xdr:rowOff>0</xdr:rowOff>
    </xdr:from>
    <xdr:ext cx="304800" cy="308344"/>
    <xdr:sp macro="" textlink="">
      <xdr:nvSpPr>
        <xdr:cNvPr id="235" name="AutoShape 122">
          <a:hlinkClick xmlns:r="http://schemas.openxmlformats.org/officeDocument/2006/relationships" r:id="rId132"/>
          <a:extLst>
            <a:ext uri="{FF2B5EF4-FFF2-40B4-BE49-F238E27FC236}">
              <a16:creationId xmlns:a16="http://schemas.microsoft.com/office/drawing/2014/main" id="{C582B580-F9AE-4D49-9311-D30836449EF9}"/>
            </a:ext>
          </a:extLst>
        </xdr:cNvPr>
        <xdr:cNvSpPr>
          <a:spLocks noChangeAspect="1" noChangeArrowheads="1"/>
        </xdr:cNvSpPr>
      </xdr:nvSpPr>
      <xdr:spPr bwMode="auto">
        <a:xfrm>
          <a:off x="19197674" y="2585779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126</xdr:row>
      <xdr:rowOff>0</xdr:rowOff>
    </xdr:from>
    <xdr:ext cx="304800" cy="308344"/>
    <xdr:sp macro="" textlink="">
      <xdr:nvSpPr>
        <xdr:cNvPr id="236" name="AutoShape 123">
          <a:hlinkClick xmlns:r="http://schemas.openxmlformats.org/officeDocument/2006/relationships" r:id="rId133"/>
          <a:extLst>
            <a:ext uri="{FF2B5EF4-FFF2-40B4-BE49-F238E27FC236}">
              <a16:creationId xmlns:a16="http://schemas.microsoft.com/office/drawing/2014/main" id="{C331261F-8BA9-904D-BC15-FF45AB7B7CE3}"/>
            </a:ext>
          </a:extLst>
        </xdr:cNvPr>
        <xdr:cNvSpPr>
          <a:spLocks noChangeAspect="1" noChangeArrowheads="1"/>
        </xdr:cNvSpPr>
      </xdr:nvSpPr>
      <xdr:spPr bwMode="auto">
        <a:xfrm>
          <a:off x="19197674" y="26064535"/>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127</xdr:row>
      <xdr:rowOff>0</xdr:rowOff>
    </xdr:from>
    <xdr:ext cx="304800" cy="308344"/>
    <xdr:sp macro="" textlink="">
      <xdr:nvSpPr>
        <xdr:cNvPr id="237" name="AutoShape 124">
          <a:hlinkClick xmlns:r="http://schemas.openxmlformats.org/officeDocument/2006/relationships" r:id="rId134"/>
          <a:extLst>
            <a:ext uri="{FF2B5EF4-FFF2-40B4-BE49-F238E27FC236}">
              <a16:creationId xmlns:a16="http://schemas.microsoft.com/office/drawing/2014/main" id="{AD5DDFFE-8063-F14D-9D76-16C1460ADC62}"/>
            </a:ext>
          </a:extLst>
        </xdr:cNvPr>
        <xdr:cNvSpPr>
          <a:spLocks noChangeAspect="1" noChangeArrowheads="1"/>
        </xdr:cNvSpPr>
      </xdr:nvSpPr>
      <xdr:spPr bwMode="auto">
        <a:xfrm>
          <a:off x="19197674" y="2627127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128</xdr:row>
      <xdr:rowOff>0</xdr:rowOff>
    </xdr:from>
    <xdr:ext cx="304800" cy="308344"/>
    <xdr:sp macro="" textlink="">
      <xdr:nvSpPr>
        <xdr:cNvPr id="238" name="AutoShape 125">
          <a:hlinkClick xmlns:r="http://schemas.openxmlformats.org/officeDocument/2006/relationships" r:id="rId135"/>
          <a:extLst>
            <a:ext uri="{FF2B5EF4-FFF2-40B4-BE49-F238E27FC236}">
              <a16:creationId xmlns:a16="http://schemas.microsoft.com/office/drawing/2014/main" id="{9BE735EA-4F38-5F48-9E41-064654A92E78}"/>
            </a:ext>
          </a:extLst>
        </xdr:cNvPr>
        <xdr:cNvSpPr>
          <a:spLocks noChangeAspect="1" noChangeArrowheads="1"/>
        </xdr:cNvSpPr>
      </xdr:nvSpPr>
      <xdr:spPr bwMode="auto">
        <a:xfrm>
          <a:off x="19197674" y="2647802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129</xdr:row>
      <xdr:rowOff>0</xdr:rowOff>
    </xdr:from>
    <xdr:ext cx="304800" cy="308345"/>
    <xdr:sp macro="" textlink="">
      <xdr:nvSpPr>
        <xdr:cNvPr id="239" name="AutoShape 126">
          <a:hlinkClick xmlns:r="http://schemas.openxmlformats.org/officeDocument/2006/relationships" r:id="rId136"/>
          <a:extLst>
            <a:ext uri="{FF2B5EF4-FFF2-40B4-BE49-F238E27FC236}">
              <a16:creationId xmlns:a16="http://schemas.microsoft.com/office/drawing/2014/main" id="{2D3EFCAC-3536-B54F-B6C5-A7F8D42418FB}"/>
            </a:ext>
          </a:extLst>
        </xdr:cNvPr>
        <xdr:cNvSpPr>
          <a:spLocks noChangeAspect="1" noChangeArrowheads="1"/>
        </xdr:cNvSpPr>
      </xdr:nvSpPr>
      <xdr:spPr bwMode="auto">
        <a:xfrm>
          <a:off x="19197674" y="26684767"/>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130</xdr:row>
      <xdr:rowOff>0</xdr:rowOff>
    </xdr:from>
    <xdr:ext cx="304800" cy="308344"/>
    <xdr:sp macro="" textlink="">
      <xdr:nvSpPr>
        <xdr:cNvPr id="240" name="AutoShape 127">
          <a:hlinkClick xmlns:r="http://schemas.openxmlformats.org/officeDocument/2006/relationships" r:id="rId137"/>
          <a:extLst>
            <a:ext uri="{FF2B5EF4-FFF2-40B4-BE49-F238E27FC236}">
              <a16:creationId xmlns:a16="http://schemas.microsoft.com/office/drawing/2014/main" id="{E484385D-A401-9647-923A-640B67B6F2ED}"/>
            </a:ext>
          </a:extLst>
        </xdr:cNvPr>
        <xdr:cNvSpPr>
          <a:spLocks noChangeAspect="1" noChangeArrowheads="1"/>
        </xdr:cNvSpPr>
      </xdr:nvSpPr>
      <xdr:spPr bwMode="auto">
        <a:xfrm>
          <a:off x="19197674" y="26891512"/>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131</xdr:row>
      <xdr:rowOff>0</xdr:rowOff>
    </xdr:from>
    <xdr:ext cx="304800" cy="308344"/>
    <xdr:sp macro="" textlink="">
      <xdr:nvSpPr>
        <xdr:cNvPr id="241" name="AutoShape 128">
          <a:hlinkClick xmlns:r="http://schemas.openxmlformats.org/officeDocument/2006/relationships" r:id="rId138"/>
          <a:extLst>
            <a:ext uri="{FF2B5EF4-FFF2-40B4-BE49-F238E27FC236}">
              <a16:creationId xmlns:a16="http://schemas.microsoft.com/office/drawing/2014/main" id="{A03EB751-DFFB-F240-8BEB-7F3F45F2F116}"/>
            </a:ext>
          </a:extLst>
        </xdr:cNvPr>
        <xdr:cNvSpPr>
          <a:spLocks noChangeAspect="1" noChangeArrowheads="1"/>
        </xdr:cNvSpPr>
      </xdr:nvSpPr>
      <xdr:spPr bwMode="auto">
        <a:xfrm>
          <a:off x="19197674" y="2709825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132</xdr:row>
      <xdr:rowOff>0</xdr:rowOff>
    </xdr:from>
    <xdr:ext cx="304800" cy="308344"/>
    <xdr:sp macro="" textlink="">
      <xdr:nvSpPr>
        <xdr:cNvPr id="242" name="AutoShape 129">
          <a:hlinkClick xmlns:r="http://schemas.openxmlformats.org/officeDocument/2006/relationships" r:id="rId139"/>
          <a:extLst>
            <a:ext uri="{FF2B5EF4-FFF2-40B4-BE49-F238E27FC236}">
              <a16:creationId xmlns:a16="http://schemas.microsoft.com/office/drawing/2014/main" id="{0857AC01-2BE8-B347-9BC6-D77D214DACF8}"/>
            </a:ext>
          </a:extLst>
        </xdr:cNvPr>
        <xdr:cNvSpPr>
          <a:spLocks noChangeAspect="1" noChangeArrowheads="1"/>
        </xdr:cNvSpPr>
      </xdr:nvSpPr>
      <xdr:spPr bwMode="auto">
        <a:xfrm>
          <a:off x="19197674" y="2730500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133</xdr:row>
      <xdr:rowOff>0</xdr:rowOff>
    </xdr:from>
    <xdr:ext cx="304800" cy="308344"/>
    <xdr:sp macro="" textlink="">
      <xdr:nvSpPr>
        <xdr:cNvPr id="243" name="AutoShape 130">
          <a:hlinkClick xmlns:r="http://schemas.openxmlformats.org/officeDocument/2006/relationships" r:id="rId140"/>
          <a:extLst>
            <a:ext uri="{FF2B5EF4-FFF2-40B4-BE49-F238E27FC236}">
              <a16:creationId xmlns:a16="http://schemas.microsoft.com/office/drawing/2014/main" id="{458426E2-A13B-DA48-BCED-737807357503}"/>
            </a:ext>
          </a:extLst>
        </xdr:cNvPr>
        <xdr:cNvSpPr>
          <a:spLocks noChangeAspect="1" noChangeArrowheads="1"/>
        </xdr:cNvSpPr>
      </xdr:nvSpPr>
      <xdr:spPr bwMode="auto">
        <a:xfrm>
          <a:off x="19197674" y="27511744"/>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134</xdr:row>
      <xdr:rowOff>0</xdr:rowOff>
    </xdr:from>
    <xdr:ext cx="304800" cy="308345"/>
    <xdr:sp macro="" textlink="">
      <xdr:nvSpPr>
        <xdr:cNvPr id="244" name="AutoShape 131">
          <a:hlinkClick xmlns:r="http://schemas.openxmlformats.org/officeDocument/2006/relationships" r:id="rId141"/>
          <a:extLst>
            <a:ext uri="{FF2B5EF4-FFF2-40B4-BE49-F238E27FC236}">
              <a16:creationId xmlns:a16="http://schemas.microsoft.com/office/drawing/2014/main" id="{39961221-A71A-124F-97E9-1DB57DDD7D5D}"/>
            </a:ext>
          </a:extLst>
        </xdr:cNvPr>
        <xdr:cNvSpPr>
          <a:spLocks noChangeAspect="1" noChangeArrowheads="1"/>
        </xdr:cNvSpPr>
      </xdr:nvSpPr>
      <xdr:spPr bwMode="auto">
        <a:xfrm>
          <a:off x="19197674" y="27718488"/>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135</xdr:row>
      <xdr:rowOff>0</xdr:rowOff>
    </xdr:from>
    <xdr:ext cx="304800" cy="308344"/>
    <xdr:sp macro="" textlink="">
      <xdr:nvSpPr>
        <xdr:cNvPr id="245" name="AutoShape 132">
          <a:hlinkClick xmlns:r="http://schemas.openxmlformats.org/officeDocument/2006/relationships" r:id="rId142"/>
          <a:extLst>
            <a:ext uri="{FF2B5EF4-FFF2-40B4-BE49-F238E27FC236}">
              <a16:creationId xmlns:a16="http://schemas.microsoft.com/office/drawing/2014/main" id="{9D522EEE-DF52-D84A-93F2-220F606D46FD}"/>
            </a:ext>
          </a:extLst>
        </xdr:cNvPr>
        <xdr:cNvSpPr>
          <a:spLocks noChangeAspect="1" noChangeArrowheads="1"/>
        </xdr:cNvSpPr>
      </xdr:nvSpPr>
      <xdr:spPr bwMode="auto">
        <a:xfrm>
          <a:off x="19197674" y="2792523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136</xdr:row>
      <xdr:rowOff>0</xdr:rowOff>
    </xdr:from>
    <xdr:ext cx="304800" cy="308344"/>
    <xdr:sp macro="" textlink="">
      <xdr:nvSpPr>
        <xdr:cNvPr id="246" name="AutoShape 133">
          <a:hlinkClick xmlns:r="http://schemas.openxmlformats.org/officeDocument/2006/relationships" r:id="rId143"/>
          <a:extLst>
            <a:ext uri="{FF2B5EF4-FFF2-40B4-BE49-F238E27FC236}">
              <a16:creationId xmlns:a16="http://schemas.microsoft.com/office/drawing/2014/main" id="{06108C97-5730-E240-BDAF-5F8CA5FE303B}"/>
            </a:ext>
          </a:extLst>
        </xdr:cNvPr>
        <xdr:cNvSpPr>
          <a:spLocks noChangeAspect="1" noChangeArrowheads="1"/>
        </xdr:cNvSpPr>
      </xdr:nvSpPr>
      <xdr:spPr bwMode="auto">
        <a:xfrm>
          <a:off x="19197674" y="2813197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137</xdr:row>
      <xdr:rowOff>0</xdr:rowOff>
    </xdr:from>
    <xdr:ext cx="304800" cy="308344"/>
    <xdr:sp macro="" textlink="">
      <xdr:nvSpPr>
        <xdr:cNvPr id="247" name="AutoShape 134">
          <a:hlinkClick xmlns:r="http://schemas.openxmlformats.org/officeDocument/2006/relationships" r:id="rId144"/>
          <a:extLst>
            <a:ext uri="{FF2B5EF4-FFF2-40B4-BE49-F238E27FC236}">
              <a16:creationId xmlns:a16="http://schemas.microsoft.com/office/drawing/2014/main" id="{2A5B13DB-9669-5E43-83C3-B479DA06923E}"/>
            </a:ext>
          </a:extLst>
        </xdr:cNvPr>
        <xdr:cNvSpPr>
          <a:spLocks noChangeAspect="1" noChangeArrowheads="1"/>
        </xdr:cNvSpPr>
      </xdr:nvSpPr>
      <xdr:spPr bwMode="auto">
        <a:xfrm>
          <a:off x="19197674" y="2833872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138</xdr:row>
      <xdr:rowOff>0</xdr:rowOff>
    </xdr:from>
    <xdr:ext cx="304800" cy="308344"/>
    <xdr:sp macro="" textlink="">
      <xdr:nvSpPr>
        <xdr:cNvPr id="248" name="AutoShape 135">
          <a:hlinkClick xmlns:r="http://schemas.openxmlformats.org/officeDocument/2006/relationships" r:id="rId145"/>
          <a:extLst>
            <a:ext uri="{FF2B5EF4-FFF2-40B4-BE49-F238E27FC236}">
              <a16:creationId xmlns:a16="http://schemas.microsoft.com/office/drawing/2014/main" id="{7735CB99-A267-6B49-8516-AF4C5A907AF8}"/>
            </a:ext>
          </a:extLst>
        </xdr:cNvPr>
        <xdr:cNvSpPr>
          <a:spLocks noChangeAspect="1" noChangeArrowheads="1"/>
        </xdr:cNvSpPr>
      </xdr:nvSpPr>
      <xdr:spPr bwMode="auto">
        <a:xfrm>
          <a:off x="19197674" y="28545465"/>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139</xdr:row>
      <xdr:rowOff>0</xdr:rowOff>
    </xdr:from>
    <xdr:ext cx="304800" cy="308344"/>
    <xdr:sp macro="" textlink="">
      <xdr:nvSpPr>
        <xdr:cNvPr id="249" name="AutoShape 136">
          <a:hlinkClick xmlns:r="http://schemas.openxmlformats.org/officeDocument/2006/relationships" r:id="rId146"/>
          <a:extLst>
            <a:ext uri="{FF2B5EF4-FFF2-40B4-BE49-F238E27FC236}">
              <a16:creationId xmlns:a16="http://schemas.microsoft.com/office/drawing/2014/main" id="{11AC5D3D-CAF7-324A-8804-EDBE623A0788}"/>
            </a:ext>
          </a:extLst>
        </xdr:cNvPr>
        <xdr:cNvSpPr>
          <a:spLocks noChangeAspect="1" noChangeArrowheads="1"/>
        </xdr:cNvSpPr>
      </xdr:nvSpPr>
      <xdr:spPr bwMode="auto">
        <a:xfrm>
          <a:off x="19197674" y="2875220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140</xdr:row>
      <xdr:rowOff>0</xdr:rowOff>
    </xdr:from>
    <xdr:ext cx="304800" cy="308345"/>
    <xdr:sp macro="" textlink="">
      <xdr:nvSpPr>
        <xdr:cNvPr id="250" name="AutoShape 137">
          <a:hlinkClick xmlns:r="http://schemas.openxmlformats.org/officeDocument/2006/relationships" r:id="rId147"/>
          <a:extLst>
            <a:ext uri="{FF2B5EF4-FFF2-40B4-BE49-F238E27FC236}">
              <a16:creationId xmlns:a16="http://schemas.microsoft.com/office/drawing/2014/main" id="{132AD7A3-FD32-434E-8DBC-1711C79658E4}"/>
            </a:ext>
          </a:extLst>
        </xdr:cNvPr>
        <xdr:cNvSpPr>
          <a:spLocks noChangeAspect="1" noChangeArrowheads="1"/>
        </xdr:cNvSpPr>
      </xdr:nvSpPr>
      <xdr:spPr bwMode="auto">
        <a:xfrm>
          <a:off x="19197674" y="28958953"/>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141</xdr:row>
      <xdr:rowOff>0</xdr:rowOff>
    </xdr:from>
    <xdr:ext cx="304800" cy="308344"/>
    <xdr:sp macro="" textlink="">
      <xdr:nvSpPr>
        <xdr:cNvPr id="251" name="AutoShape 138">
          <a:hlinkClick xmlns:r="http://schemas.openxmlformats.org/officeDocument/2006/relationships" r:id="rId148"/>
          <a:extLst>
            <a:ext uri="{FF2B5EF4-FFF2-40B4-BE49-F238E27FC236}">
              <a16:creationId xmlns:a16="http://schemas.microsoft.com/office/drawing/2014/main" id="{F1ECE22F-B77D-C747-B74F-56C3513903B8}"/>
            </a:ext>
          </a:extLst>
        </xdr:cNvPr>
        <xdr:cNvSpPr>
          <a:spLocks noChangeAspect="1" noChangeArrowheads="1"/>
        </xdr:cNvSpPr>
      </xdr:nvSpPr>
      <xdr:spPr bwMode="auto">
        <a:xfrm>
          <a:off x="19197674" y="29165698"/>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142</xdr:row>
      <xdr:rowOff>0</xdr:rowOff>
    </xdr:from>
    <xdr:ext cx="304800" cy="308344"/>
    <xdr:sp macro="" textlink="">
      <xdr:nvSpPr>
        <xdr:cNvPr id="252" name="AutoShape 139">
          <a:hlinkClick xmlns:r="http://schemas.openxmlformats.org/officeDocument/2006/relationships" r:id="rId149"/>
          <a:extLst>
            <a:ext uri="{FF2B5EF4-FFF2-40B4-BE49-F238E27FC236}">
              <a16:creationId xmlns:a16="http://schemas.microsoft.com/office/drawing/2014/main" id="{9E28094C-881F-C443-AE8F-6D3E8EB706ED}"/>
            </a:ext>
          </a:extLst>
        </xdr:cNvPr>
        <xdr:cNvSpPr>
          <a:spLocks noChangeAspect="1" noChangeArrowheads="1"/>
        </xdr:cNvSpPr>
      </xdr:nvSpPr>
      <xdr:spPr bwMode="auto">
        <a:xfrm>
          <a:off x="19197674" y="29372442"/>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143</xdr:row>
      <xdr:rowOff>0</xdr:rowOff>
    </xdr:from>
    <xdr:ext cx="304800" cy="308344"/>
    <xdr:sp macro="" textlink="">
      <xdr:nvSpPr>
        <xdr:cNvPr id="253" name="AutoShape 140">
          <a:hlinkClick xmlns:r="http://schemas.openxmlformats.org/officeDocument/2006/relationships" r:id="rId150"/>
          <a:extLst>
            <a:ext uri="{FF2B5EF4-FFF2-40B4-BE49-F238E27FC236}">
              <a16:creationId xmlns:a16="http://schemas.microsoft.com/office/drawing/2014/main" id="{E0D1C0E2-E2E4-E04B-B729-6DEACB5DD6B9}"/>
            </a:ext>
          </a:extLst>
        </xdr:cNvPr>
        <xdr:cNvSpPr>
          <a:spLocks noChangeAspect="1" noChangeArrowheads="1"/>
        </xdr:cNvSpPr>
      </xdr:nvSpPr>
      <xdr:spPr bwMode="auto">
        <a:xfrm>
          <a:off x="19197674" y="2957918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144</xdr:row>
      <xdr:rowOff>0</xdr:rowOff>
    </xdr:from>
    <xdr:ext cx="304800" cy="308344"/>
    <xdr:sp macro="" textlink="">
      <xdr:nvSpPr>
        <xdr:cNvPr id="254" name="AutoShape 141">
          <a:hlinkClick xmlns:r="http://schemas.openxmlformats.org/officeDocument/2006/relationships" r:id="rId151"/>
          <a:extLst>
            <a:ext uri="{FF2B5EF4-FFF2-40B4-BE49-F238E27FC236}">
              <a16:creationId xmlns:a16="http://schemas.microsoft.com/office/drawing/2014/main" id="{27A4F1C8-C200-A641-9FEF-43F2E78D427D}"/>
            </a:ext>
          </a:extLst>
        </xdr:cNvPr>
        <xdr:cNvSpPr>
          <a:spLocks noChangeAspect="1" noChangeArrowheads="1"/>
        </xdr:cNvSpPr>
      </xdr:nvSpPr>
      <xdr:spPr bwMode="auto">
        <a:xfrm>
          <a:off x="19197674" y="2978593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145</xdr:row>
      <xdr:rowOff>0</xdr:rowOff>
    </xdr:from>
    <xdr:ext cx="304800" cy="308345"/>
    <xdr:sp macro="" textlink="">
      <xdr:nvSpPr>
        <xdr:cNvPr id="255" name="AutoShape 142">
          <a:hlinkClick xmlns:r="http://schemas.openxmlformats.org/officeDocument/2006/relationships" r:id="rId152"/>
          <a:extLst>
            <a:ext uri="{FF2B5EF4-FFF2-40B4-BE49-F238E27FC236}">
              <a16:creationId xmlns:a16="http://schemas.microsoft.com/office/drawing/2014/main" id="{0D910993-A3CD-744C-B07F-31AAFA40342E}"/>
            </a:ext>
          </a:extLst>
        </xdr:cNvPr>
        <xdr:cNvSpPr>
          <a:spLocks noChangeAspect="1" noChangeArrowheads="1"/>
        </xdr:cNvSpPr>
      </xdr:nvSpPr>
      <xdr:spPr bwMode="auto">
        <a:xfrm>
          <a:off x="19197674" y="29992674"/>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146</xdr:row>
      <xdr:rowOff>0</xdr:rowOff>
    </xdr:from>
    <xdr:ext cx="304800" cy="308344"/>
    <xdr:sp macro="" textlink="">
      <xdr:nvSpPr>
        <xdr:cNvPr id="256" name="AutoShape 143">
          <a:hlinkClick xmlns:r="http://schemas.openxmlformats.org/officeDocument/2006/relationships" r:id="rId153"/>
          <a:extLst>
            <a:ext uri="{FF2B5EF4-FFF2-40B4-BE49-F238E27FC236}">
              <a16:creationId xmlns:a16="http://schemas.microsoft.com/office/drawing/2014/main" id="{15C04569-F676-3245-B9CB-5B5FA3EAC244}"/>
            </a:ext>
          </a:extLst>
        </xdr:cNvPr>
        <xdr:cNvSpPr>
          <a:spLocks noChangeAspect="1" noChangeArrowheads="1"/>
        </xdr:cNvSpPr>
      </xdr:nvSpPr>
      <xdr:spPr bwMode="auto">
        <a:xfrm>
          <a:off x="19197674" y="3019941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147</xdr:row>
      <xdr:rowOff>0</xdr:rowOff>
    </xdr:from>
    <xdr:ext cx="304800" cy="308344"/>
    <xdr:sp macro="" textlink="">
      <xdr:nvSpPr>
        <xdr:cNvPr id="257" name="AutoShape 144">
          <a:hlinkClick xmlns:r="http://schemas.openxmlformats.org/officeDocument/2006/relationships" r:id="rId154"/>
          <a:extLst>
            <a:ext uri="{FF2B5EF4-FFF2-40B4-BE49-F238E27FC236}">
              <a16:creationId xmlns:a16="http://schemas.microsoft.com/office/drawing/2014/main" id="{BD6AE8FB-4507-3A4B-96EB-DE79EF743C87}"/>
            </a:ext>
          </a:extLst>
        </xdr:cNvPr>
        <xdr:cNvSpPr>
          <a:spLocks noChangeAspect="1" noChangeArrowheads="1"/>
        </xdr:cNvSpPr>
      </xdr:nvSpPr>
      <xdr:spPr bwMode="auto">
        <a:xfrm>
          <a:off x="19197674" y="3040616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149</xdr:row>
      <xdr:rowOff>0</xdr:rowOff>
    </xdr:from>
    <xdr:ext cx="304800" cy="308344"/>
    <xdr:sp macro="" textlink="">
      <xdr:nvSpPr>
        <xdr:cNvPr id="258" name="AutoShape 145">
          <a:hlinkClick xmlns:r="http://schemas.openxmlformats.org/officeDocument/2006/relationships" r:id="rId155"/>
          <a:extLst>
            <a:ext uri="{FF2B5EF4-FFF2-40B4-BE49-F238E27FC236}">
              <a16:creationId xmlns:a16="http://schemas.microsoft.com/office/drawing/2014/main" id="{B6707318-3F9D-1943-AB8F-CC71131CD7FB}"/>
            </a:ext>
          </a:extLst>
        </xdr:cNvPr>
        <xdr:cNvSpPr>
          <a:spLocks noChangeAspect="1" noChangeArrowheads="1"/>
        </xdr:cNvSpPr>
      </xdr:nvSpPr>
      <xdr:spPr bwMode="auto">
        <a:xfrm>
          <a:off x="19197674" y="3081965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150</xdr:row>
      <xdr:rowOff>0</xdr:rowOff>
    </xdr:from>
    <xdr:ext cx="304800" cy="308345"/>
    <xdr:sp macro="" textlink="">
      <xdr:nvSpPr>
        <xdr:cNvPr id="259" name="AutoShape 146">
          <a:hlinkClick xmlns:r="http://schemas.openxmlformats.org/officeDocument/2006/relationships" r:id="rId156"/>
          <a:extLst>
            <a:ext uri="{FF2B5EF4-FFF2-40B4-BE49-F238E27FC236}">
              <a16:creationId xmlns:a16="http://schemas.microsoft.com/office/drawing/2014/main" id="{7F52266E-199F-0B45-8CF7-3AC3430B3D07}"/>
            </a:ext>
          </a:extLst>
        </xdr:cNvPr>
        <xdr:cNvSpPr>
          <a:spLocks noChangeAspect="1" noChangeArrowheads="1"/>
        </xdr:cNvSpPr>
      </xdr:nvSpPr>
      <xdr:spPr bwMode="auto">
        <a:xfrm>
          <a:off x="19197674" y="31026395"/>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151</xdr:row>
      <xdr:rowOff>0</xdr:rowOff>
    </xdr:from>
    <xdr:ext cx="304800" cy="308344"/>
    <xdr:sp macro="" textlink="">
      <xdr:nvSpPr>
        <xdr:cNvPr id="260" name="AutoShape 147">
          <a:hlinkClick xmlns:r="http://schemas.openxmlformats.org/officeDocument/2006/relationships" r:id="rId157"/>
          <a:extLst>
            <a:ext uri="{FF2B5EF4-FFF2-40B4-BE49-F238E27FC236}">
              <a16:creationId xmlns:a16="http://schemas.microsoft.com/office/drawing/2014/main" id="{55FDB764-66B0-3F4A-A4AB-B977688B2EAF}"/>
            </a:ext>
          </a:extLst>
        </xdr:cNvPr>
        <xdr:cNvSpPr>
          <a:spLocks noChangeAspect="1" noChangeArrowheads="1"/>
        </xdr:cNvSpPr>
      </xdr:nvSpPr>
      <xdr:spPr bwMode="auto">
        <a:xfrm>
          <a:off x="19197674" y="3123314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152</xdr:row>
      <xdr:rowOff>0</xdr:rowOff>
    </xdr:from>
    <xdr:ext cx="304800" cy="308344"/>
    <xdr:sp macro="" textlink="">
      <xdr:nvSpPr>
        <xdr:cNvPr id="261" name="AutoShape 148">
          <a:hlinkClick xmlns:r="http://schemas.openxmlformats.org/officeDocument/2006/relationships" r:id="rId158"/>
          <a:extLst>
            <a:ext uri="{FF2B5EF4-FFF2-40B4-BE49-F238E27FC236}">
              <a16:creationId xmlns:a16="http://schemas.microsoft.com/office/drawing/2014/main" id="{29CE1164-DD52-1245-8A14-68B5427CE224}"/>
            </a:ext>
          </a:extLst>
        </xdr:cNvPr>
        <xdr:cNvSpPr>
          <a:spLocks noChangeAspect="1" noChangeArrowheads="1"/>
        </xdr:cNvSpPr>
      </xdr:nvSpPr>
      <xdr:spPr bwMode="auto">
        <a:xfrm>
          <a:off x="19197674" y="31439884"/>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153</xdr:row>
      <xdr:rowOff>0</xdr:rowOff>
    </xdr:from>
    <xdr:ext cx="304800" cy="308344"/>
    <xdr:sp macro="" textlink="">
      <xdr:nvSpPr>
        <xdr:cNvPr id="262" name="AutoShape 149">
          <a:hlinkClick xmlns:r="http://schemas.openxmlformats.org/officeDocument/2006/relationships" r:id="rId159"/>
          <a:extLst>
            <a:ext uri="{FF2B5EF4-FFF2-40B4-BE49-F238E27FC236}">
              <a16:creationId xmlns:a16="http://schemas.microsoft.com/office/drawing/2014/main" id="{329D67E0-1D9D-574E-9D1A-540EB5107C4A}"/>
            </a:ext>
          </a:extLst>
        </xdr:cNvPr>
        <xdr:cNvSpPr>
          <a:spLocks noChangeAspect="1" noChangeArrowheads="1"/>
        </xdr:cNvSpPr>
      </xdr:nvSpPr>
      <xdr:spPr bwMode="auto">
        <a:xfrm>
          <a:off x="19197674" y="31646628"/>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154</xdr:row>
      <xdr:rowOff>0</xdr:rowOff>
    </xdr:from>
    <xdr:ext cx="304800" cy="308344"/>
    <xdr:sp macro="" textlink="">
      <xdr:nvSpPr>
        <xdr:cNvPr id="263" name="AutoShape 150">
          <a:hlinkClick xmlns:r="http://schemas.openxmlformats.org/officeDocument/2006/relationships" r:id="rId160"/>
          <a:extLst>
            <a:ext uri="{FF2B5EF4-FFF2-40B4-BE49-F238E27FC236}">
              <a16:creationId xmlns:a16="http://schemas.microsoft.com/office/drawing/2014/main" id="{F45904CF-7087-F94B-86D0-244261B3CD3A}"/>
            </a:ext>
          </a:extLst>
        </xdr:cNvPr>
        <xdr:cNvSpPr>
          <a:spLocks noChangeAspect="1" noChangeArrowheads="1"/>
        </xdr:cNvSpPr>
      </xdr:nvSpPr>
      <xdr:spPr bwMode="auto">
        <a:xfrm>
          <a:off x="19197674" y="31853372"/>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155</xdr:row>
      <xdr:rowOff>0</xdr:rowOff>
    </xdr:from>
    <xdr:ext cx="304800" cy="308344"/>
    <xdr:sp macro="" textlink="">
      <xdr:nvSpPr>
        <xdr:cNvPr id="264" name="AutoShape 151">
          <a:hlinkClick xmlns:r="http://schemas.openxmlformats.org/officeDocument/2006/relationships" r:id="rId161"/>
          <a:extLst>
            <a:ext uri="{FF2B5EF4-FFF2-40B4-BE49-F238E27FC236}">
              <a16:creationId xmlns:a16="http://schemas.microsoft.com/office/drawing/2014/main" id="{1ADD518B-358F-C742-AF49-9BD50ABE9884}"/>
            </a:ext>
          </a:extLst>
        </xdr:cNvPr>
        <xdr:cNvSpPr>
          <a:spLocks noChangeAspect="1" noChangeArrowheads="1"/>
        </xdr:cNvSpPr>
      </xdr:nvSpPr>
      <xdr:spPr bwMode="auto">
        <a:xfrm>
          <a:off x="19197674" y="3206011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156</xdr:row>
      <xdr:rowOff>0</xdr:rowOff>
    </xdr:from>
    <xdr:ext cx="304800" cy="308345"/>
    <xdr:sp macro="" textlink="">
      <xdr:nvSpPr>
        <xdr:cNvPr id="265" name="AutoShape 152">
          <a:hlinkClick xmlns:r="http://schemas.openxmlformats.org/officeDocument/2006/relationships" r:id="rId162"/>
          <a:extLst>
            <a:ext uri="{FF2B5EF4-FFF2-40B4-BE49-F238E27FC236}">
              <a16:creationId xmlns:a16="http://schemas.microsoft.com/office/drawing/2014/main" id="{432EFAAD-9875-2F44-8333-307899379DE4}"/>
            </a:ext>
          </a:extLst>
        </xdr:cNvPr>
        <xdr:cNvSpPr>
          <a:spLocks noChangeAspect="1" noChangeArrowheads="1"/>
        </xdr:cNvSpPr>
      </xdr:nvSpPr>
      <xdr:spPr bwMode="auto">
        <a:xfrm>
          <a:off x="19197674" y="32266860"/>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157</xdr:row>
      <xdr:rowOff>0</xdr:rowOff>
    </xdr:from>
    <xdr:ext cx="304800" cy="308344"/>
    <xdr:sp macro="" textlink="">
      <xdr:nvSpPr>
        <xdr:cNvPr id="266" name="AutoShape 153">
          <a:hlinkClick xmlns:r="http://schemas.openxmlformats.org/officeDocument/2006/relationships" r:id="rId163"/>
          <a:extLst>
            <a:ext uri="{FF2B5EF4-FFF2-40B4-BE49-F238E27FC236}">
              <a16:creationId xmlns:a16="http://schemas.microsoft.com/office/drawing/2014/main" id="{230ACC4F-C845-E84A-9E5C-9597899DABAD}"/>
            </a:ext>
          </a:extLst>
        </xdr:cNvPr>
        <xdr:cNvSpPr>
          <a:spLocks noChangeAspect="1" noChangeArrowheads="1"/>
        </xdr:cNvSpPr>
      </xdr:nvSpPr>
      <xdr:spPr bwMode="auto">
        <a:xfrm>
          <a:off x="19197674" y="32473605"/>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158</xdr:row>
      <xdr:rowOff>0</xdr:rowOff>
    </xdr:from>
    <xdr:ext cx="304800" cy="308344"/>
    <xdr:sp macro="" textlink="">
      <xdr:nvSpPr>
        <xdr:cNvPr id="267" name="AutoShape 154">
          <a:hlinkClick xmlns:r="http://schemas.openxmlformats.org/officeDocument/2006/relationships" r:id="rId164"/>
          <a:extLst>
            <a:ext uri="{FF2B5EF4-FFF2-40B4-BE49-F238E27FC236}">
              <a16:creationId xmlns:a16="http://schemas.microsoft.com/office/drawing/2014/main" id="{1A30AF9C-EAA8-994F-BBFC-8CF330EA7698}"/>
            </a:ext>
          </a:extLst>
        </xdr:cNvPr>
        <xdr:cNvSpPr>
          <a:spLocks noChangeAspect="1" noChangeArrowheads="1"/>
        </xdr:cNvSpPr>
      </xdr:nvSpPr>
      <xdr:spPr bwMode="auto">
        <a:xfrm>
          <a:off x="19197674" y="3268034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160</xdr:row>
      <xdr:rowOff>0</xdr:rowOff>
    </xdr:from>
    <xdr:ext cx="304800" cy="308344"/>
    <xdr:sp macro="" textlink="">
      <xdr:nvSpPr>
        <xdr:cNvPr id="268" name="AutoShape 155">
          <a:hlinkClick xmlns:r="http://schemas.openxmlformats.org/officeDocument/2006/relationships" r:id="rId165"/>
          <a:extLst>
            <a:ext uri="{FF2B5EF4-FFF2-40B4-BE49-F238E27FC236}">
              <a16:creationId xmlns:a16="http://schemas.microsoft.com/office/drawing/2014/main" id="{9B66B0EE-AAC9-0F42-82DC-2A8AABD29338}"/>
            </a:ext>
          </a:extLst>
        </xdr:cNvPr>
        <xdr:cNvSpPr>
          <a:spLocks noChangeAspect="1" noChangeArrowheads="1"/>
        </xdr:cNvSpPr>
      </xdr:nvSpPr>
      <xdr:spPr bwMode="auto">
        <a:xfrm>
          <a:off x="19197674" y="3309383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161</xdr:row>
      <xdr:rowOff>0</xdr:rowOff>
    </xdr:from>
    <xdr:ext cx="304800" cy="308345"/>
    <xdr:sp macro="" textlink="">
      <xdr:nvSpPr>
        <xdr:cNvPr id="269" name="AutoShape 156">
          <a:hlinkClick xmlns:r="http://schemas.openxmlformats.org/officeDocument/2006/relationships" r:id="rId166"/>
          <a:extLst>
            <a:ext uri="{FF2B5EF4-FFF2-40B4-BE49-F238E27FC236}">
              <a16:creationId xmlns:a16="http://schemas.microsoft.com/office/drawing/2014/main" id="{9C852F29-BEAD-DD4B-A46B-61947692636A}"/>
            </a:ext>
          </a:extLst>
        </xdr:cNvPr>
        <xdr:cNvSpPr>
          <a:spLocks noChangeAspect="1" noChangeArrowheads="1"/>
        </xdr:cNvSpPr>
      </xdr:nvSpPr>
      <xdr:spPr bwMode="auto">
        <a:xfrm>
          <a:off x="19197674" y="33300581"/>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162</xdr:row>
      <xdr:rowOff>0</xdr:rowOff>
    </xdr:from>
    <xdr:ext cx="304800" cy="308344"/>
    <xdr:sp macro="" textlink="">
      <xdr:nvSpPr>
        <xdr:cNvPr id="270" name="AutoShape 157">
          <a:hlinkClick xmlns:r="http://schemas.openxmlformats.org/officeDocument/2006/relationships" r:id="rId167"/>
          <a:extLst>
            <a:ext uri="{FF2B5EF4-FFF2-40B4-BE49-F238E27FC236}">
              <a16:creationId xmlns:a16="http://schemas.microsoft.com/office/drawing/2014/main" id="{788FBAE8-5743-2749-B9CD-C99F2458666B}"/>
            </a:ext>
          </a:extLst>
        </xdr:cNvPr>
        <xdr:cNvSpPr>
          <a:spLocks noChangeAspect="1" noChangeArrowheads="1"/>
        </xdr:cNvSpPr>
      </xdr:nvSpPr>
      <xdr:spPr bwMode="auto">
        <a:xfrm>
          <a:off x="19197674" y="3350732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163</xdr:row>
      <xdr:rowOff>0</xdr:rowOff>
    </xdr:from>
    <xdr:ext cx="304800" cy="308344"/>
    <xdr:sp macro="" textlink="">
      <xdr:nvSpPr>
        <xdr:cNvPr id="271" name="AutoShape 158">
          <a:hlinkClick xmlns:r="http://schemas.openxmlformats.org/officeDocument/2006/relationships" r:id="rId168"/>
          <a:extLst>
            <a:ext uri="{FF2B5EF4-FFF2-40B4-BE49-F238E27FC236}">
              <a16:creationId xmlns:a16="http://schemas.microsoft.com/office/drawing/2014/main" id="{43C3A42D-3CA7-604D-82ED-FB12158908C8}"/>
            </a:ext>
          </a:extLst>
        </xdr:cNvPr>
        <xdr:cNvSpPr>
          <a:spLocks noChangeAspect="1" noChangeArrowheads="1"/>
        </xdr:cNvSpPr>
      </xdr:nvSpPr>
      <xdr:spPr bwMode="auto">
        <a:xfrm>
          <a:off x="19197674" y="3371407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164</xdr:row>
      <xdr:rowOff>0</xdr:rowOff>
    </xdr:from>
    <xdr:ext cx="304800" cy="308344"/>
    <xdr:sp macro="" textlink="">
      <xdr:nvSpPr>
        <xdr:cNvPr id="272" name="AutoShape 159">
          <a:hlinkClick xmlns:r="http://schemas.openxmlformats.org/officeDocument/2006/relationships" r:id="rId169"/>
          <a:extLst>
            <a:ext uri="{FF2B5EF4-FFF2-40B4-BE49-F238E27FC236}">
              <a16:creationId xmlns:a16="http://schemas.microsoft.com/office/drawing/2014/main" id="{59FC94A8-452E-2849-A481-12D1C18A6F63}"/>
            </a:ext>
          </a:extLst>
        </xdr:cNvPr>
        <xdr:cNvSpPr>
          <a:spLocks noChangeAspect="1" noChangeArrowheads="1"/>
        </xdr:cNvSpPr>
      </xdr:nvSpPr>
      <xdr:spPr bwMode="auto">
        <a:xfrm>
          <a:off x="19197674" y="33920814"/>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165</xdr:row>
      <xdr:rowOff>0</xdr:rowOff>
    </xdr:from>
    <xdr:ext cx="304800" cy="308344"/>
    <xdr:sp macro="" textlink="">
      <xdr:nvSpPr>
        <xdr:cNvPr id="273" name="AutoShape 160">
          <a:hlinkClick xmlns:r="http://schemas.openxmlformats.org/officeDocument/2006/relationships" r:id="rId170"/>
          <a:extLst>
            <a:ext uri="{FF2B5EF4-FFF2-40B4-BE49-F238E27FC236}">
              <a16:creationId xmlns:a16="http://schemas.microsoft.com/office/drawing/2014/main" id="{9AA80F05-F61C-904E-8C5C-A5ECBE01C647}"/>
            </a:ext>
          </a:extLst>
        </xdr:cNvPr>
        <xdr:cNvSpPr>
          <a:spLocks noChangeAspect="1" noChangeArrowheads="1"/>
        </xdr:cNvSpPr>
      </xdr:nvSpPr>
      <xdr:spPr bwMode="auto">
        <a:xfrm>
          <a:off x="19197674" y="34127558"/>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166</xdr:row>
      <xdr:rowOff>0</xdr:rowOff>
    </xdr:from>
    <xdr:ext cx="304800" cy="308345"/>
    <xdr:sp macro="" textlink="">
      <xdr:nvSpPr>
        <xdr:cNvPr id="274" name="AutoShape 161">
          <a:hlinkClick xmlns:r="http://schemas.openxmlformats.org/officeDocument/2006/relationships" r:id="rId171"/>
          <a:extLst>
            <a:ext uri="{FF2B5EF4-FFF2-40B4-BE49-F238E27FC236}">
              <a16:creationId xmlns:a16="http://schemas.microsoft.com/office/drawing/2014/main" id="{A8B4AC0F-DEAA-1448-84BE-54CD0375544A}"/>
            </a:ext>
          </a:extLst>
        </xdr:cNvPr>
        <xdr:cNvSpPr>
          <a:spLocks noChangeAspect="1" noChangeArrowheads="1"/>
        </xdr:cNvSpPr>
      </xdr:nvSpPr>
      <xdr:spPr bwMode="auto">
        <a:xfrm>
          <a:off x="19197674" y="34334302"/>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167</xdr:row>
      <xdr:rowOff>0</xdr:rowOff>
    </xdr:from>
    <xdr:ext cx="304800" cy="308344"/>
    <xdr:sp macro="" textlink="">
      <xdr:nvSpPr>
        <xdr:cNvPr id="275" name="AutoShape 162">
          <a:hlinkClick xmlns:r="http://schemas.openxmlformats.org/officeDocument/2006/relationships" r:id="rId172"/>
          <a:extLst>
            <a:ext uri="{FF2B5EF4-FFF2-40B4-BE49-F238E27FC236}">
              <a16:creationId xmlns:a16="http://schemas.microsoft.com/office/drawing/2014/main" id="{533EE89B-1261-7545-BFBE-4FEF5B83CDA6}"/>
            </a:ext>
          </a:extLst>
        </xdr:cNvPr>
        <xdr:cNvSpPr>
          <a:spLocks noChangeAspect="1" noChangeArrowheads="1"/>
        </xdr:cNvSpPr>
      </xdr:nvSpPr>
      <xdr:spPr bwMode="auto">
        <a:xfrm>
          <a:off x="19197674" y="3454104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168</xdr:row>
      <xdr:rowOff>0</xdr:rowOff>
    </xdr:from>
    <xdr:ext cx="304800" cy="308344"/>
    <xdr:sp macro="" textlink="">
      <xdr:nvSpPr>
        <xdr:cNvPr id="276" name="AutoShape 163">
          <a:hlinkClick xmlns:r="http://schemas.openxmlformats.org/officeDocument/2006/relationships" r:id="rId173"/>
          <a:extLst>
            <a:ext uri="{FF2B5EF4-FFF2-40B4-BE49-F238E27FC236}">
              <a16:creationId xmlns:a16="http://schemas.microsoft.com/office/drawing/2014/main" id="{469E9E6D-B2F8-F943-9351-105DBEFC061A}"/>
            </a:ext>
          </a:extLst>
        </xdr:cNvPr>
        <xdr:cNvSpPr>
          <a:spLocks noChangeAspect="1" noChangeArrowheads="1"/>
        </xdr:cNvSpPr>
      </xdr:nvSpPr>
      <xdr:spPr bwMode="auto">
        <a:xfrm>
          <a:off x="19197674" y="3474779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169</xdr:row>
      <xdr:rowOff>0</xdr:rowOff>
    </xdr:from>
    <xdr:ext cx="304800" cy="308344"/>
    <xdr:sp macro="" textlink="">
      <xdr:nvSpPr>
        <xdr:cNvPr id="277" name="AutoShape 164">
          <a:hlinkClick xmlns:r="http://schemas.openxmlformats.org/officeDocument/2006/relationships" r:id="rId174"/>
          <a:extLst>
            <a:ext uri="{FF2B5EF4-FFF2-40B4-BE49-F238E27FC236}">
              <a16:creationId xmlns:a16="http://schemas.microsoft.com/office/drawing/2014/main" id="{39EA69DB-545E-024E-AC0D-15F34D3B3F54}"/>
            </a:ext>
          </a:extLst>
        </xdr:cNvPr>
        <xdr:cNvSpPr>
          <a:spLocks noChangeAspect="1" noChangeArrowheads="1"/>
        </xdr:cNvSpPr>
      </xdr:nvSpPr>
      <xdr:spPr bwMode="auto">
        <a:xfrm>
          <a:off x="19197674" y="34954535"/>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170</xdr:row>
      <xdr:rowOff>0</xdr:rowOff>
    </xdr:from>
    <xdr:ext cx="304800" cy="308344"/>
    <xdr:sp macro="" textlink="">
      <xdr:nvSpPr>
        <xdr:cNvPr id="278" name="AutoShape 165">
          <a:hlinkClick xmlns:r="http://schemas.openxmlformats.org/officeDocument/2006/relationships" r:id="rId175"/>
          <a:extLst>
            <a:ext uri="{FF2B5EF4-FFF2-40B4-BE49-F238E27FC236}">
              <a16:creationId xmlns:a16="http://schemas.microsoft.com/office/drawing/2014/main" id="{F33335F8-72C4-D345-A87F-4E109D652144}"/>
            </a:ext>
          </a:extLst>
        </xdr:cNvPr>
        <xdr:cNvSpPr>
          <a:spLocks noChangeAspect="1" noChangeArrowheads="1"/>
        </xdr:cNvSpPr>
      </xdr:nvSpPr>
      <xdr:spPr bwMode="auto">
        <a:xfrm>
          <a:off x="19197674" y="3516127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171</xdr:row>
      <xdr:rowOff>0</xdr:rowOff>
    </xdr:from>
    <xdr:ext cx="304800" cy="308344"/>
    <xdr:sp macro="" textlink="">
      <xdr:nvSpPr>
        <xdr:cNvPr id="279" name="AutoShape 166">
          <a:hlinkClick xmlns:r="http://schemas.openxmlformats.org/officeDocument/2006/relationships" r:id="rId176"/>
          <a:extLst>
            <a:ext uri="{FF2B5EF4-FFF2-40B4-BE49-F238E27FC236}">
              <a16:creationId xmlns:a16="http://schemas.microsoft.com/office/drawing/2014/main" id="{129AF85A-0B49-2C47-B61E-D9A8520914A5}"/>
            </a:ext>
          </a:extLst>
        </xdr:cNvPr>
        <xdr:cNvSpPr>
          <a:spLocks noChangeAspect="1" noChangeArrowheads="1"/>
        </xdr:cNvSpPr>
      </xdr:nvSpPr>
      <xdr:spPr bwMode="auto">
        <a:xfrm>
          <a:off x="19197674" y="3536802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172</xdr:row>
      <xdr:rowOff>0</xdr:rowOff>
    </xdr:from>
    <xdr:ext cx="304800" cy="308345"/>
    <xdr:sp macro="" textlink="">
      <xdr:nvSpPr>
        <xdr:cNvPr id="280" name="AutoShape 167">
          <a:hlinkClick xmlns:r="http://schemas.openxmlformats.org/officeDocument/2006/relationships" r:id="rId177"/>
          <a:extLst>
            <a:ext uri="{FF2B5EF4-FFF2-40B4-BE49-F238E27FC236}">
              <a16:creationId xmlns:a16="http://schemas.microsoft.com/office/drawing/2014/main" id="{47EA642B-15C7-2C4B-996B-D400980CAE15}"/>
            </a:ext>
          </a:extLst>
        </xdr:cNvPr>
        <xdr:cNvSpPr>
          <a:spLocks noChangeAspect="1" noChangeArrowheads="1"/>
        </xdr:cNvSpPr>
      </xdr:nvSpPr>
      <xdr:spPr bwMode="auto">
        <a:xfrm>
          <a:off x="19197674" y="35574767"/>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173</xdr:row>
      <xdr:rowOff>0</xdr:rowOff>
    </xdr:from>
    <xdr:ext cx="304800" cy="308344"/>
    <xdr:sp macro="" textlink="">
      <xdr:nvSpPr>
        <xdr:cNvPr id="281" name="AutoShape 168">
          <a:hlinkClick xmlns:r="http://schemas.openxmlformats.org/officeDocument/2006/relationships" r:id="rId178"/>
          <a:extLst>
            <a:ext uri="{FF2B5EF4-FFF2-40B4-BE49-F238E27FC236}">
              <a16:creationId xmlns:a16="http://schemas.microsoft.com/office/drawing/2014/main" id="{80F93A38-A02F-2F4B-AC38-E93366555E7E}"/>
            </a:ext>
          </a:extLst>
        </xdr:cNvPr>
        <xdr:cNvSpPr>
          <a:spLocks noChangeAspect="1" noChangeArrowheads="1"/>
        </xdr:cNvSpPr>
      </xdr:nvSpPr>
      <xdr:spPr bwMode="auto">
        <a:xfrm>
          <a:off x="19197674" y="35781512"/>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174</xdr:row>
      <xdr:rowOff>0</xdr:rowOff>
    </xdr:from>
    <xdr:ext cx="304800" cy="308344"/>
    <xdr:sp macro="" textlink="">
      <xdr:nvSpPr>
        <xdr:cNvPr id="282" name="AutoShape 169">
          <a:hlinkClick xmlns:r="http://schemas.openxmlformats.org/officeDocument/2006/relationships" r:id="rId179"/>
          <a:extLst>
            <a:ext uri="{FF2B5EF4-FFF2-40B4-BE49-F238E27FC236}">
              <a16:creationId xmlns:a16="http://schemas.microsoft.com/office/drawing/2014/main" id="{79E22BA6-61D9-3542-9F0F-62F465A66369}"/>
            </a:ext>
          </a:extLst>
        </xdr:cNvPr>
        <xdr:cNvSpPr>
          <a:spLocks noChangeAspect="1" noChangeArrowheads="1"/>
        </xdr:cNvSpPr>
      </xdr:nvSpPr>
      <xdr:spPr bwMode="auto">
        <a:xfrm>
          <a:off x="19197674" y="3598825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175</xdr:row>
      <xdr:rowOff>0</xdr:rowOff>
    </xdr:from>
    <xdr:ext cx="304800" cy="308344"/>
    <xdr:sp macro="" textlink="">
      <xdr:nvSpPr>
        <xdr:cNvPr id="283" name="AutoShape 170">
          <a:hlinkClick xmlns:r="http://schemas.openxmlformats.org/officeDocument/2006/relationships" r:id="rId180"/>
          <a:extLst>
            <a:ext uri="{FF2B5EF4-FFF2-40B4-BE49-F238E27FC236}">
              <a16:creationId xmlns:a16="http://schemas.microsoft.com/office/drawing/2014/main" id="{AF8647D2-6E0D-C74A-B777-F59967DA90F9}"/>
            </a:ext>
          </a:extLst>
        </xdr:cNvPr>
        <xdr:cNvSpPr>
          <a:spLocks noChangeAspect="1" noChangeArrowheads="1"/>
        </xdr:cNvSpPr>
      </xdr:nvSpPr>
      <xdr:spPr bwMode="auto">
        <a:xfrm>
          <a:off x="19197674" y="36195000"/>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176</xdr:row>
      <xdr:rowOff>0</xdr:rowOff>
    </xdr:from>
    <xdr:ext cx="304800" cy="308344"/>
    <xdr:sp macro="" textlink="">
      <xdr:nvSpPr>
        <xdr:cNvPr id="284" name="AutoShape 171">
          <a:hlinkClick xmlns:r="http://schemas.openxmlformats.org/officeDocument/2006/relationships" r:id="rId181"/>
          <a:extLst>
            <a:ext uri="{FF2B5EF4-FFF2-40B4-BE49-F238E27FC236}">
              <a16:creationId xmlns:a16="http://schemas.microsoft.com/office/drawing/2014/main" id="{10981500-4FDF-E141-BC60-EA75FA3C1B95}"/>
            </a:ext>
          </a:extLst>
        </xdr:cNvPr>
        <xdr:cNvSpPr>
          <a:spLocks noChangeAspect="1" noChangeArrowheads="1"/>
        </xdr:cNvSpPr>
      </xdr:nvSpPr>
      <xdr:spPr bwMode="auto">
        <a:xfrm>
          <a:off x="19197674" y="36401744"/>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177</xdr:row>
      <xdr:rowOff>0</xdr:rowOff>
    </xdr:from>
    <xdr:ext cx="304800" cy="308345"/>
    <xdr:sp macro="" textlink="">
      <xdr:nvSpPr>
        <xdr:cNvPr id="285" name="AutoShape 172">
          <a:hlinkClick xmlns:r="http://schemas.openxmlformats.org/officeDocument/2006/relationships" r:id="rId182"/>
          <a:extLst>
            <a:ext uri="{FF2B5EF4-FFF2-40B4-BE49-F238E27FC236}">
              <a16:creationId xmlns:a16="http://schemas.microsoft.com/office/drawing/2014/main" id="{BD958A7B-DABC-104E-A0AF-13C26B0F59BD}"/>
            </a:ext>
          </a:extLst>
        </xdr:cNvPr>
        <xdr:cNvSpPr>
          <a:spLocks noChangeAspect="1" noChangeArrowheads="1"/>
        </xdr:cNvSpPr>
      </xdr:nvSpPr>
      <xdr:spPr bwMode="auto">
        <a:xfrm>
          <a:off x="19197674" y="36608488"/>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178</xdr:row>
      <xdr:rowOff>0</xdr:rowOff>
    </xdr:from>
    <xdr:ext cx="304800" cy="308344"/>
    <xdr:sp macro="" textlink="">
      <xdr:nvSpPr>
        <xdr:cNvPr id="286" name="AutoShape 173">
          <a:hlinkClick xmlns:r="http://schemas.openxmlformats.org/officeDocument/2006/relationships" r:id="rId183"/>
          <a:extLst>
            <a:ext uri="{FF2B5EF4-FFF2-40B4-BE49-F238E27FC236}">
              <a16:creationId xmlns:a16="http://schemas.microsoft.com/office/drawing/2014/main" id="{375B2303-C9EA-F548-815C-FFDBB25E4C2A}"/>
            </a:ext>
          </a:extLst>
        </xdr:cNvPr>
        <xdr:cNvSpPr>
          <a:spLocks noChangeAspect="1" noChangeArrowheads="1"/>
        </xdr:cNvSpPr>
      </xdr:nvSpPr>
      <xdr:spPr bwMode="auto">
        <a:xfrm>
          <a:off x="19197674" y="3681523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179</xdr:row>
      <xdr:rowOff>0</xdr:rowOff>
    </xdr:from>
    <xdr:ext cx="304800" cy="308344"/>
    <xdr:sp macro="" textlink="">
      <xdr:nvSpPr>
        <xdr:cNvPr id="287" name="AutoShape 174">
          <a:hlinkClick xmlns:r="http://schemas.openxmlformats.org/officeDocument/2006/relationships" r:id="rId184"/>
          <a:extLst>
            <a:ext uri="{FF2B5EF4-FFF2-40B4-BE49-F238E27FC236}">
              <a16:creationId xmlns:a16="http://schemas.microsoft.com/office/drawing/2014/main" id="{7EEE1149-8786-5740-8EBF-7E8FDE6D839A}"/>
            </a:ext>
          </a:extLst>
        </xdr:cNvPr>
        <xdr:cNvSpPr>
          <a:spLocks noChangeAspect="1" noChangeArrowheads="1"/>
        </xdr:cNvSpPr>
      </xdr:nvSpPr>
      <xdr:spPr bwMode="auto">
        <a:xfrm>
          <a:off x="19197674" y="3702197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180</xdr:row>
      <xdr:rowOff>0</xdr:rowOff>
    </xdr:from>
    <xdr:ext cx="304800" cy="308344"/>
    <xdr:sp macro="" textlink="">
      <xdr:nvSpPr>
        <xdr:cNvPr id="288" name="AutoShape 175">
          <a:hlinkClick xmlns:r="http://schemas.openxmlformats.org/officeDocument/2006/relationships" r:id="rId185"/>
          <a:extLst>
            <a:ext uri="{FF2B5EF4-FFF2-40B4-BE49-F238E27FC236}">
              <a16:creationId xmlns:a16="http://schemas.microsoft.com/office/drawing/2014/main" id="{7A872D19-3473-3B45-9227-434891157398}"/>
            </a:ext>
          </a:extLst>
        </xdr:cNvPr>
        <xdr:cNvSpPr>
          <a:spLocks noChangeAspect="1" noChangeArrowheads="1"/>
        </xdr:cNvSpPr>
      </xdr:nvSpPr>
      <xdr:spPr bwMode="auto">
        <a:xfrm>
          <a:off x="19197674" y="3722872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181</xdr:row>
      <xdr:rowOff>0</xdr:rowOff>
    </xdr:from>
    <xdr:ext cx="304800" cy="308344"/>
    <xdr:sp macro="" textlink="">
      <xdr:nvSpPr>
        <xdr:cNvPr id="289" name="AutoShape 176">
          <a:hlinkClick xmlns:r="http://schemas.openxmlformats.org/officeDocument/2006/relationships" r:id="rId186"/>
          <a:extLst>
            <a:ext uri="{FF2B5EF4-FFF2-40B4-BE49-F238E27FC236}">
              <a16:creationId xmlns:a16="http://schemas.microsoft.com/office/drawing/2014/main" id="{06832848-B327-A942-B960-EC2C471752FF}"/>
            </a:ext>
          </a:extLst>
        </xdr:cNvPr>
        <xdr:cNvSpPr>
          <a:spLocks noChangeAspect="1" noChangeArrowheads="1"/>
        </xdr:cNvSpPr>
      </xdr:nvSpPr>
      <xdr:spPr bwMode="auto">
        <a:xfrm>
          <a:off x="19197674" y="37435465"/>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182</xdr:row>
      <xdr:rowOff>0</xdr:rowOff>
    </xdr:from>
    <xdr:ext cx="304800" cy="308344"/>
    <xdr:sp macro="" textlink="">
      <xdr:nvSpPr>
        <xdr:cNvPr id="290" name="AutoShape 177">
          <a:hlinkClick xmlns:r="http://schemas.openxmlformats.org/officeDocument/2006/relationships" r:id="rId187"/>
          <a:extLst>
            <a:ext uri="{FF2B5EF4-FFF2-40B4-BE49-F238E27FC236}">
              <a16:creationId xmlns:a16="http://schemas.microsoft.com/office/drawing/2014/main" id="{70B88146-4EAC-F94C-B1D0-CC665405714D}"/>
            </a:ext>
          </a:extLst>
        </xdr:cNvPr>
        <xdr:cNvSpPr>
          <a:spLocks noChangeAspect="1" noChangeArrowheads="1"/>
        </xdr:cNvSpPr>
      </xdr:nvSpPr>
      <xdr:spPr bwMode="auto">
        <a:xfrm>
          <a:off x="19197674" y="3764220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183</xdr:row>
      <xdr:rowOff>0</xdr:rowOff>
    </xdr:from>
    <xdr:ext cx="304800" cy="308345"/>
    <xdr:sp macro="" textlink="">
      <xdr:nvSpPr>
        <xdr:cNvPr id="291" name="AutoShape 178">
          <a:hlinkClick xmlns:r="http://schemas.openxmlformats.org/officeDocument/2006/relationships" r:id="rId188"/>
          <a:extLst>
            <a:ext uri="{FF2B5EF4-FFF2-40B4-BE49-F238E27FC236}">
              <a16:creationId xmlns:a16="http://schemas.microsoft.com/office/drawing/2014/main" id="{5A7DE718-2DA6-3E48-A105-C1CF864B2501}"/>
            </a:ext>
          </a:extLst>
        </xdr:cNvPr>
        <xdr:cNvSpPr>
          <a:spLocks noChangeAspect="1" noChangeArrowheads="1"/>
        </xdr:cNvSpPr>
      </xdr:nvSpPr>
      <xdr:spPr bwMode="auto">
        <a:xfrm>
          <a:off x="19197674" y="37848953"/>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184</xdr:row>
      <xdr:rowOff>0</xdr:rowOff>
    </xdr:from>
    <xdr:ext cx="304800" cy="308344"/>
    <xdr:sp macro="" textlink="">
      <xdr:nvSpPr>
        <xdr:cNvPr id="292" name="AutoShape 179">
          <a:hlinkClick xmlns:r="http://schemas.openxmlformats.org/officeDocument/2006/relationships" r:id="rId189"/>
          <a:extLst>
            <a:ext uri="{FF2B5EF4-FFF2-40B4-BE49-F238E27FC236}">
              <a16:creationId xmlns:a16="http://schemas.microsoft.com/office/drawing/2014/main" id="{B742C1C1-EF70-C84A-98FD-949F32789FF6}"/>
            </a:ext>
          </a:extLst>
        </xdr:cNvPr>
        <xdr:cNvSpPr>
          <a:spLocks noChangeAspect="1" noChangeArrowheads="1"/>
        </xdr:cNvSpPr>
      </xdr:nvSpPr>
      <xdr:spPr bwMode="auto">
        <a:xfrm>
          <a:off x="19197674" y="38055698"/>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185</xdr:row>
      <xdr:rowOff>0</xdr:rowOff>
    </xdr:from>
    <xdr:ext cx="304800" cy="308344"/>
    <xdr:sp macro="" textlink="">
      <xdr:nvSpPr>
        <xdr:cNvPr id="293" name="AutoShape 180">
          <a:hlinkClick xmlns:r="http://schemas.openxmlformats.org/officeDocument/2006/relationships" r:id="rId190"/>
          <a:extLst>
            <a:ext uri="{FF2B5EF4-FFF2-40B4-BE49-F238E27FC236}">
              <a16:creationId xmlns:a16="http://schemas.microsoft.com/office/drawing/2014/main" id="{54DF5F22-7C00-3F44-8077-34AB7690D875}"/>
            </a:ext>
          </a:extLst>
        </xdr:cNvPr>
        <xdr:cNvSpPr>
          <a:spLocks noChangeAspect="1" noChangeArrowheads="1"/>
        </xdr:cNvSpPr>
      </xdr:nvSpPr>
      <xdr:spPr bwMode="auto">
        <a:xfrm>
          <a:off x="19197674" y="38262442"/>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186</xdr:row>
      <xdr:rowOff>0</xdr:rowOff>
    </xdr:from>
    <xdr:ext cx="304800" cy="308344"/>
    <xdr:sp macro="" textlink="">
      <xdr:nvSpPr>
        <xdr:cNvPr id="294" name="AutoShape 181">
          <a:hlinkClick xmlns:r="http://schemas.openxmlformats.org/officeDocument/2006/relationships" r:id="rId191"/>
          <a:extLst>
            <a:ext uri="{FF2B5EF4-FFF2-40B4-BE49-F238E27FC236}">
              <a16:creationId xmlns:a16="http://schemas.microsoft.com/office/drawing/2014/main" id="{EFFCFE5C-216A-A141-96B0-E4A1542C2EE5}"/>
            </a:ext>
          </a:extLst>
        </xdr:cNvPr>
        <xdr:cNvSpPr>
          <a:spLocks noChangeAspect="1" noChangeArrowheads="1"/>
        </xdr:cNvSpPr>
      </xdr:nvSpPr>
      <xdr:spPr bwMode="auto">
        <a:xfrm>
          <a:off x="19197674" y="38469186"/>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188</xdr:row>
      <xdr:rowOff>0</xdr:rowOff>
    </xdr:from>
    <xdr:ext cx="304800" cy="308345"/>
    <xdr:sp macro="" textlink="">
      <xdr:nvSpPr>
        <xdr:cNvPr id="295" name="AutoShape 182">
          <a:hlinkClick xmlns:r="http://schemas.openxmlformats.org/officeDocument/2006/relationships" r:id="rId192"/>
          <a:extLst>
            <a:ext uri="{FF2B5EF4-FFF2-40B4-BE49-F238E27FC236}">
              <a16:creationId xmlns:a16="http://schemas.microsoft.com/office/drawing/2014/main" id="{E165214B-9F7D-2F40-827E-8D98AF80E0F5}"/>
            </a:ext>
          </a:extLst>
        </xdr:cNvPr>
        <xdr:cNvSpPr>
          <a:spLocks noChangeAspect="1" noChangeArrowheads="1"/>
        </xdr:cNvSpPr>
      </xdr:nvSpPr>
      <xdr:spPr bwMode="auto">
        <a:xfrm>
          <a:off x="19197674" y="38882674"/>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189</xdr:row>
      <xdr:rowOff>0</xdr:rowOff>
    </xdr:from>
    <xdr:ext cx="304800" cy="308344"/>
    <xdr:sp macro="" textlink="">
      <xdr:nvSpPr>
        <xdr:cNvPr id="296" name="AutoShape 183">
          <a:hlinkClick xmlns:r="http://schemas.openxmlformats.org/officeDocument/2006/relationships" r:id="rId193"/>
          <a:extLst>
            <a:ext uri="{FF2B5EF4-FFF2-40B4-BE49-F238E27FC236}">
              <a16:creationId xmlns:a16="http://schemas.microsoft.com/office/drawing/2014/main" id="{AC7F6344-4466-9645-864D-36FB608F7436}"/>
            </a:ext>
          </a:extLst>
        </xdr:cNvPr>
        <xdr:cNvSpPr>
          <a:spLocks noChangeAspect="1" noChangeArrowheads="1"/>
        </xdr:cNvSpPr>
      </xdr:nvSpPr>
      <xdr:spPr bwMode="auto">
        <a:xfrm>
          <a:off x="19197674" y="39089419"/>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190</xdr:row>
      <xdr:rowOff>0</xdr:rowOff>
    </xdr:from>
    <xdr:ext cx="304800" cy="308344"/>
    <xdr:sp macro="" textlink="">
      <xdr:nvSpPr>
        <xdr:cNvPr id="297" name="AutoShape 184">
          <a:hlinkClick xmlns:r="http://schemas.openxmlformats.org/officeDocument/2006/relationships" r:id="rId194"/>
          <a:extLst>
            <a:ext uri="{FF2B5EF4-FFF2-40B4-BE49-F238E27FC236}">
              <a16:creationId xmlns:a16="http://schemas.microsoft.com/office/drawing/2014/main" id="{60F3BF2A-93D3-6A4E-9D79-6B67FDBB9EA2}"/>
            </a:ext>
          </a:extLst>
        </xdr:cNvPr>
        <xdr:cNvSpPr>
          <a:spLocks noChangeAspect="1" noChangeArrowheads="1"/>
        </xdr:cNvSpPr>
      </xdr:nvSpPr>
      <xdr:spPr bwMode="auto">
        <a:xfrm>
          <a:off x="19197674" y="39296163"/>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191</xdr:row>
      <xdr:rowOff>0</xdr:rowOff>
    </xdr:from>
    <xdr:ext cx="304800" cy="308344"/>
    <xdr:sp macro="" textlink="">
      <xdr:nvSpPr>
        <xdr:cNvPr id="298" name="AutoShape 185">
          <a:hlinkClick xmlns:r="http://schemas.openxmlformats.org/officeDocument/2006/relationships" r:id="rId195"/>
          <a:extLst>
            <a:ext uri="{FF2B5EF4-FFF2-40B4-BE49-F238E27FC236}">
              <a16:creationId xmlns:a16="http://schemas.microsoft.com/office/drawing/2014/main" id="{5A2ED7C2-C5A3-F84F-A27A-097EF24B746D}"/>
            </a:ext>
          </a:extLst>
        </xdr:cNvPr>
        <xdr:cNvSpPr>
          <a:spLocks noChangeAspect="1" noChangeArrowheads="1"/>
        </xdr:cNvSpPr>
      </xdr:nvSpPr>
      <xdr:spPr bwMode="auto">
        <a:xfrm>
          <a:off x="19197674" y="39502907"/>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192</xdr:row>
      <xdr:rowOff>0</xdr:rowOff>
    </xdr:from>
    <xdr:ext cx="304800" cy="308344"/>
    <xdr:sp macro="" textlink="">
      <xdr:nvSpPr>
        <xdr:cNvPr id="299" name="AutoShape 186">
          <a:hlinkClick xmlns:r="http://schemas.openxmlformats.org/officeDocument/2006/relationships" r:id="rId196"/>
          <a:extLst>
            <a:ext uri="{FF2B5EF4-FFF2-40B4-BE49-F238E27FC236}">
              <a16:creationId xmlns:a16="http://schemas.microsoft.com/office/drawing/2014/main" id="{1E2F0EB0-7428-B741-A4A6-04A435DCB786}"/>
            </a:ext>
          </a:extLst>
        </xdr:cNvPr>
        <xdr:cNvSpPr>
          <a:spLocks noChangeAspect="1" noChangeArrowheads="1"/>
        </xdr:cNvSpPr>
      </xdr:nvSpPr>
      <xdr:spPr bwMode="auto">
        <a:xfrm>
          <a:off x="19197674" y="39709651"/>
          <a:ext cx="304800" cy="30834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193</xdr:row>
      <xdr:rowOff>0</xdr:rowOff>
    </xdr:from>
    <xdr:ext cx="304800" cy="308345"/>
    <xdr:sp macro="" textlink="">
      <xdr:nvSpPr>
        <xdr:cNvPr id="300" name="AutoShape 187">
          <a:hlinkClick xmlns:r="http://schemas.openxmlformats.org/officeDocument/2006/relationships" r:id="rId197"/>
          <a:extLst>
            <a:ext uri="{FF2B5EF4-FFF2-40B4-BE49-F238E27FC236}">
              <a16:creationId xmlns:a16="http://schemas.microsoft.com/office/drawing/2014/main" id="{F73C9427-47CE-1D47-8C3A-26748221C868}"/>
            </a:ext>
          </a:extLst>
        </xdr:cNvPr>
        <xdr:cNvSpPr>
          <a:spLocks noChangeAspect="1" noChangeArrowheads="1"/>
        </xdr:cNvSpPr>
      </xdr:nvSpPr>
      <xdr:spPr bwMode="auto">
        <a:xfrm>
          <a:off x="19197674" y="39916395"/>
          <a:ext cx="304800" cy="3083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22</xdr:col>
      <xdr:colOff>723900</xdr:colOff>
      <xdr:row>1</xdr:row>
      <xdr:rowOff>114300</xdr:rowOff>
    </xdr:from>
    <xdr:to>
      <xdr:col>32</xdr:col>
      <xdr:colOff>241300</xdr:colOff>
      <xdr:row>22</xdr:row>
      <xdr:rowOff>58538</xdr:rowOff>
    </xdr:to>
    <xdr:pic>
      <xdr:nvPicPr>
        <xdr:cNvPr id="304" name="Picture 303">
          <a:extLst>
            <a:ext uri="{FF2B5EF4-FFF2-40B4-BE49-F238E27FC236}">
              <a16:creationId xmlns:a16="http://schemas.microsoft.com/office/drawing/2014/main" id="{51B5DA96-0E3E-1576-8A96-D489E52D80D6}"/>
            </a:ext>
          </a:extLst>
        </xdr:cNvPr>
        <xdr:cNvPicPr>
          <a:picLocks noChangeAspect="1"/>
        </xdr:cNvPicPr>
      </xdr:nvPicPr>
      <xdr:blipFill>
        <a:blip xmlns:r="http://schemas.openxmlformats.org/officeDocument/2006/relationships" r:embed="rId198"/>
        <a:stretch>
          <a:fillRect/>
        </a:stretch>
      </xdr:blipFill>
      <xdr:spPr>
        <a:xfrm>
          <a:off x="25615900" y="317500"/>
          <a:ext cx="7772400" cy="4567038"/>
        </a:xfrm>
        <a:prstGeom prst="rect">
          <a:avLst/>
        </a:prstGeom>
      </xdr:spPr>
    </xdr:pic>
    <xdr:clientData/>
  </xdr:twoCellAnchor>
  <xdr:twoCellAnchor>
    <xdr:from>
      <xdr:col>2</xdr:col>
      <xdr:colOff>133350</xdr:colOff>
      <xdr:row>16</xdr:row>
      <xdr:rowOff>165100</xdr:rowOff>
    </xdr:from>
    <xdr:to>
      <xdr:col>4</xdr:col>
      <xdr:colOff>1244600</xdr:colOff>
      <xdr:row>29</xdr:row>
      <xdr:rowOff>165100</xdr:rowOff>
    </xdr:to>
    <xdr:graphicFrame macro="">
      <xdr:nvGraphicFramePr>
        <xdr:cNvPr id="305" name="Chart 304">
          <a:extLst>
            <a:ext uri="{FF2B5EF4-FFF2-40B4-BE49-F238E27FC236}">
              <a16:creationId xmlns:a16="http://schemas.microsoft.com/office/drawing/2014/main" id="{54253FFF-EA9B-94F5-96EB-59E80FB49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9"/>
        </a:graphicData>
      </a:graphic>
    </xdr:graphicFrame>
    <xdr:clientData/>
  </xdr:twoCellAnchor>
  <xdr:twoCellAnchor>
    <xdr:from>
      <xdr:col>0</xdr:col>
      <xdr:colOff>0</xdr:colOff>
      <xdr:row>133</xdr:row>
      <xdr:rowOff>190500</xdr:rowOff>
    </xdr:from>
    <xdr:to>
      <xdr:col>3</xdr:col>
      <xdr:colOff>1016000</xdr:colOff>
      <xdr:row>151</xdr:row>
      <xdr:rowOff>127000</xdr:rowOff>
    </xdr:to>
    <xdr:graphicFrame macro="">
      <xdr:nvGraphicFramePr>
        <xdr:cNvPr id="306" name="Chart 305">
          <a:extLst>
            <a:ext uri="{FF2B5EF4-FFF2-40B4-BE49-F238E27FC236}">
              <a16:creationId xmlns:a16="http://schemas.microsoft.com/office/drawing/2014/main" id="{E0331631-4D1F-BAF7-3957-85C4EC27A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0"/>
        </a:graphicData>
      </a:graphic>
    </xdr:graphicFrame>
    <xdr:clientData/>
  </xdr:twoCellAnchor>
  <xdr:twoCellAnchor>
    <xdr:from>
      <xdr:col>2</xdr:col>
      <xdr:colOff>95250</xdr:colOff>
      <xdr:row>51</xdr:row>
      <xdr:rowOff>133350</xdr:rowOff>
    </xdr:from>
    <xdr:to>
      <xdr:col>5</xdr:col>
      <xdr:colOff>425450</xdr:colOff>
      <xdr:row>65</xdr:row>
      <xdr:rowOff>31750</xdr:rowOff>
    </xdr:to>
    <xdr:graphicFrame macro="">
      <xdr:nvGraphicFramePr>
        <xdr:cNvPr id="307" name="Chart 306">
          <a:extLst>
            <a:ext uri="{FF2B5EF4-FFF2-40B4-BE49-F238E27FC236}">
              <a16:creationId xmlns:a16="http://schemas.microsoft.com/office/drawing/2014/main" id="{F3DDFE0F-5706-F4D2-3E3C-D0C7850E2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1"/>
        </a:graphicData>
      </a:graphic>
    </xdr:graphicFrame>
    <xdr:clientData/>
  </xdr:twoCellAnchor>
  <xdr:twoCellAnchor>
    <xdr:from>
      <xdr:col>14</xdr:col>
      <xdr:colOff>139700</xdr:colOff>
      <xdr:row>51</xdr:row>
      <xdr:rowOff>127000</xdr:rowOff>
    </xdr:from>
    <xdr:to>
      <xdr:col>18</xdr:col>
      <xdr:colOff>622300</xdr:colOff>
      <xdr:row>64</xdr:row>
      <xdr:rowOff>25400</xdr:rowOff>
    </xdr:to>
    <mc:AlternateContent xmlns:mc="http://schemas.openxmlformats.org/markup-compatibility/2006">
      <mc:Choice xmlns:cx1="http://schemas.microsoft.com/office/drawing/2015/9/8/chartex" Requires="cx1">
        <xdr:graphicFrame macro="">
          <xdr:nvGraphicFramePr>
            <xdr:cNvPr id="309" name="Chart 308">
              <a:extLst>
                <a:ext uri="{FF2B5EF4-FFF2-40B4-BE49-F238E27FC236}">
                  <a16:creationId xmlns:a16="http://schemas.microsoft.com/office/drawing/2014/main" id="{8F71669D-FD1B-A747-BED7-7FC4056EA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2"/>
            </a:graphicData>
          </a:graphic>
        </xdr:graphicFrame>
      </mc:Choice>
      <mc:Fallback>
        <xdr:sp macro="" textlink="">
          <xdr:nvSpPr>
            <xdr:cNvPr id="0" name=""/>
            <xdr:cNvSpPr>
              <a:spLocks noTextEdit="1"/>
            </xdr:cNvSpPr>
          </xdr:nvSpPr>
          <xdr:spPr>
            <a:xfrm>
              <a:off x="15836900" y="11023600"/>
              <a:ext cx="3784600" cy="254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273050</xdr:colOff>
      <xdr:row>72</xdr:row>
      <xdr:rowOff>12700</xdr:rowOff>
    </xdr:from>
    <xdr:to>
      <xdr:col>12</xdr:col>
      <xdr:colOff>717550</xdr:colOff>
      <xdr:row>85</xdr:row>
      <xdr:rowOff>114300</xdr:rowOff>
    </xdr:to>
    <xdr:graphicFrame macro="">
      <xdr:nvGraphicFramePr>
        <xdr:cNvPr id="310" name="Chart 309">
          <a:extLst>
            <a:ext uri="{FF2B5EF4-FFF2-40B4-BE49-F238E27FC236}">
              <a16:creationId xmlns:a16="http://schemas.microsoft.com/office/drawing/2014/main" id="{C9D92B31-A3D2-C501-8C57-39EE1E04C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3"/>
        </a:graphicData>
      </a:graphic>
    </xdr:graphicFrame>
    <xdr:clientData/>
  </xdr:twoCellAnchor>
  <xdr:twoCellAnchor>
    <xdr:from>
      <xdr:col>10</xdr:col>
      <xdr:colOff>359390</xdr:colOff>
      <xdr:row>187</xdr:row>
      <xdr:rowOff>924</xdr:rowOff>
    </xdr:from>
    <xdr:to>
      <xdr:col>18</xdr:col>
      <xdr:colOff>371762</xdr:colOff>
      <xdr:row>203</xdr:row>
      <xdr:rowOff>6932</xdr:rowOff>
    </xdr:to>
    <xdr:graphicFrame macro="">
      <xdr:nvGraphicFramePr>
        <xdr:cNvPr id="314" name="Chart 313">
          <a:extLst>
            <a:ext uri="{FF2B5EF4-FFF2-40B4-BE49-F238E27FC236}">
              <a16:creationId xmlns:a16="http://schemas.microsoft.com/office/drawing/2014/main" id="{1F476D66-C2E3-5CA6-DF21-AD27276BA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4"/>
        </a:graphicData>
      </a:graphic>
    </xdr:graphicFrame>
    <xdr:clientData/>
  </xdr:twoCellAnchor>
  <xdr:twoCellAnchor>
    <xdr:from>
      <xdr:col>0</xdr:col>
      <xdr:colOff>103775</xdr:colOff>
      <xdr:row>193</xdr:row>
      <xdr:rowOff>198685</xdr:rowOff>
    </xdr:from>
    <xdr:to>
      <xdr:col>3</xdr:col>
      <xdr:colOff>190662</xdr:colOff>
      <xdr:row>208</xdr:row>
      <xdr:rowOff>51807</xdr:rowOff>
    </xdr:to>
    <xdr:graphicFrame macro="">
      <xdr:nvGraphicFramePr>
        <xdr:cNvPr id="315" name="Chart 314">
          <a:extLst>
            <a:ext uri="{FF2B5EF4-FFF2-40B4-BE49-F238E27FC236}">
              <a16:creationId xmlns:a16="http://schemas.microsoft.com/office/drawing/2014/main" id="{52F9AB70-D3B2-4BEA-71A2-D5923CD62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5"/>
        </a:graphicData>
      </a:graphic>
    </xdr:graphicFrame>
    <xdr:clientData/>
  </xdr:twoCellAnchor>
  <xdr:twoCellAnchor>
    <xdr:from>
      <xdr:col>1</xdr:col>
      <xdr:colOff>248082</xdr:colOff>
      <xdr:row>198</xdr:row>
      <xdr:rowOff>202388</xdr:rowOff>
    </xdr:from>
    <xdr:to>
      <xdr:col>2</xdr:col>
      <xdr:colOff>546789</xdr:colOff>
      <xdr:row>199</xdr:row>
      <xdr:rowOff>178424</xdr:rowOff>
    </xdr:to>
    <xdr:sp macro="" textlink="">
      <xdr:nvSpPr>
        <xdr:cNvPr id="316" name="Right Brace 315">
          <a:extLst>
            <a:ext uri="{FF2B5EF4-FFF2-40B4-BE49-F238E27FC236}">
              <a16:creationId xmlns:a16="http://schemas.microsoft.com/office/drawing/2014/main" id="{B7AE3515-FFD7-1516-57EA-B2CB83CF2023}"/>
            </a:ext>
          </a:extLst>
        </xdr:cNvPr>
        <xdr:cNvSpPr/>
      </xdr:nvSpPr>
      <xdr:spPr>
        <a:xfrm rot="16200000">
          <a:off x="3024123" y="34517818"/>
          <a:ext cx="181477" cy="1774148"/>
        </a:xfrm>
        <a:prstGeom prst="rightBrace">
          <a:avLst>
            <a:gd name="adj1" fmla="val 8333"/>
            <a:gd name="adj2" fmla="val 50448"/>
          </a:avLst>
        </a:prstGeom>
        <a:ln w="12700">
          <a:solidFill>
            <a:srgbClr val="00C0B7"/>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240093</xdr:colOff>
      <xdr:row>197</xdr:row>
      <xdr:rowOff>106537</xdr:rowOff>
    </xdr:from>
    <xdr:to>
      <xdr:col>2</xdr:col>
      <xdr:colOff>666834</xdr:colOff>
      <xdr:row>198</xdr:row>
      <xdr:rowOff>146475</xdr:rowOff>
    </xdr:to>
    <xdr:sp macro="" textlink="">
      <xdr:nvSpPr>
        <xdr:cNvPr id="317" name="TextBox 316">
          <a:extLst>
            <a:ext uri="{FF2B5EF4-FFF2-40B4-BE49-F238E27FC236}">
              <a16:creationId xmlns:a16="http://schemas.microsoft.com/office/drawing/2014/main" id="{3BDFC79E-8C76-9F28-6AA1-1552BB703BA9}"/>
            </a:ext>
          </a:extLst>
        </xdr:cNvPr>
        <xdr:cNvSpPr txBox="1"/>
      </xdr:nvSpPr>
      <xdr:spPr>
        <a:xfrm>
          <a:off x="2219799" y="35012861"/>
          <a:ext cx="1902182" cy="2453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Times New Roman" panose="02020603050405020304" pitchFamily="18" charset="0"/>
              <a:cs typeface="Times New Roman" panose="02020603050405020304" pitchFamily="18" charset="0"/>
            </a:rPr>
            <a:t>Upside: 135%</a:t>
          </a:r>
        </a:p>
      </xdr:txBody>
    </xdr:sp>
    <xdr:clientData/>
  </xdr:twoCellAnchor>
  <xdr:twoCellAnchor>
    <xdr:from>
      <xdr:col>1</xdr:col>
      <xdr:colOff>164515</xdr:colOff>
      <xdr:row>109</xdr:row>
      <xdr:rowOff>186984</xdr:rowOff>
    </xdr:from>
    <xdr:to>
      <xdr:col>6</xdr:col>
      <xdr:colOff>193729</xdr:colOff>
      <xdr:row>129</xdr:row>
      <xdr:rowOff>0</xdr:rowOff>
    </xdr:to>
    <xdr:graphicFrame macro="">
      <xdr:nvGraphicFramePr>
        <xdr:cNvPr id="325" name="Chart 324">
          <a:extLst>
            <a:ext uri="{FF2B5EF4-FFF2-40B4-BE49-F238E27FC236}">
              <a16:creationId xmlns:a16="http://schemas.microsoft.com/office/drawing/2014/main" id="{1A7E1EF5-27C4-D454-618E-D783912D5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6"/>
        </a:graphicData>
      </a:graphic>
    </xdr:graphicFrame>
    <xdr:clientData/>
  </xdr:twoCellAnchor>
  <xdr:twoCellAnchor>
    <xdr:from>
      <xdr:col>3</xdr:col>
      <xdr:colOff>1326030</xdr:colOff>
      <xdr:row>194</xdr:row>
      <xdr:rowOff>0</xdr:rowOff>
    </xdr:from>
    <xdr:to>
      <xdr:col>9</xdr:col>
      <xdr:colOff>522941</xdr:colOff>
      <xdr:row>208</xdr:row>
      <xdr:rowOff>168089</xdr:rowOff>
    </xdr:to>
    <xdr:graphicFrame macro="">
      <xdr:nvGraphicFramePr>
        <xdr:cNvPr id="326" name="Chart 325">
          <a:extLst>
            <a:ext uri="{FF2B5EF4-FFF2-40B4-BE49-F238E27FC236}">
              <a16:creationId xmlns:a16="http://schemas.microsoft.com/office/drawing/2014/main" id="{3CA9110F-1439-6540-9740-7840A4EB2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7"/>
        </a:graphicData>
      </a:graphic>
    </xdr:graphicFrame>
    <xdr:clientData/>
  </xdr:twoCellAnchor>
  <xdr:twoCellAnchor>
    <xdr:from>
      <xdr:col>5</xdr:col>
      <xdr:colOff>458711</xdr:colOff>
      <xdr:row>171</xdr:row>
      <xdr:rowOff>145766</xdr:rowOff>
    </xdr:from>
    <xdr:to>
      <xdr:col>10</xdr:col>
      <xdr:colOff>389836</xdr:colOff>
      <xdr:row>185</xdr:row>
      <xdr:rowOff>16890</xdr:rowOff>
    </xdr:to>
    <xdr:graphicFrame macro="">
      <xdr:nvGraphicFramePr>
        <xdr:cNvPr id="327" name="Chart 326">
          <a:extLst>
            <a:ext uri="{FF2B5EF4-FFF2-40B4-BE49-F238E27FC236}">
              <a16:creationId xmlns:a16="http://schemas.microsoft.com/office/drawing/2014/main" id="{8B257F2E-5508-4748-95CB-92BB9C9EA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8"/>
        </a:graphicData>
      </a:graphic>
    </xdr:graphicFrame>
    <xdr:clientData/>
  </xdr:twoCellAnchor>
  <xdr:twoCellAnchor>
    <xdr:from>
      <xdr:col>7</xdr:col>
      <xdr:colOff>88337</xdr:colOff>
      <xdr:row>176</xdr:row>
      <xdr:rowOff>79159</xdr:rowOff>
    </xdr:from>
    <xdr:to>
      <xdr:col>8</xdr:col>
      <xdr:colOff>658231</xdr:colOff>
      <xdr:row>180</xdr:row>
      <xdr:rowOff>90918</xdr:rowOff>
    </xdr:to>
    <xdr:sp macro="" textlink="">
      <xdr:nvSpPr>
        <xdr:cNvPr id="328" name="TextBox 327">
          <a:extLst>
            <a:ext uri="{FF2B5EF4-FFF2-40B4-BE49-F238E27FC236}">
              <a16:creationId xmlns:a16="http://schemas.microsoft.com/office/drawing/2014/main" id="{48ECE497-CCB7-E5FE-FDDD-12EA632421A6}"/>
            </a:ext>
          </a:extLst>
        </xdr:cNvPr>
        <xdr:cNvSpPr txBox="1"/>
      </xdr:nvSpPr>
      <xdr:spPr>
        <a:xfrm>
          <a:off x="9721752" y="37637086"/>
          <a:ext cx="1530138" cy="817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latin typeface="Times New Roman" panose="02020603050405020304" pitchFamily="18" charset="0"/>
              <a:cs typeface="Times New Roman" panose="02020603050405020304" pitchFamily="18" charset="0"/>
            </a:rPr>
            <a:t>WACC</a:t>
          </a:r>
        </a:p>
        <a:p>
          <a:pPr algn="ctr"/>
          <a:r>
            <a:rPr lang="en-US" sz="2400" b="1">
              <a:latin typeface="Times New Roman" panose="02020603050405020304" pitchFamily="18" charset="0"/>
              <a:cs typeface="Times New Roman" panose="02020603050405020304" pitchFamily="18" charset="0"/>
            </a:rPr>
            <a:t>4.42%</a:t>
          </a:r>
        </a:p>
      </xdr:txBody>
    </xdr:sp>
    <xdr:clientData/>
  </xdr:twoCellAnchor>
  <xdr:twoCellAnchor>
    <xdr:from>
      <xdr:col>8</xdr:col>
      <xdr:colOff>646000</xdr:colOff>
      <xdr:row>172</xdr:row>
      <xdr:rowOff>190257</xdr:rowOff>
    </xdr:from>
    <xdr:to>
      <xdr:col>10</xdr:col>
      <xdr:colOff>744275</xdr:colOff>
      <xdr:row>177</xdr:row>
      <xdr:rowOff>676</xdr:rowOff>
    </xdr:to>
    <xdr:sp macro="" textlink="">
      <xdr:nvSpPr>
        <xdr:cNvPr id="329" name="TextBox 328">
          <a:extLst>
            <a:ext uri="{FF2B5EF4-FFF2-40B4-BE49-F238E27FC236}">
              <a16:creationId xmlns:a16="http://schemas.microsoft.com/office/drawing/2014/main" id="{7699A61E-4C08-5A4C-8342-F694E9DCE9ED}"/>
            </a:ext>
          </a:extLst>
        </xdr:cNvPr>
        <xdr:cNvSpPr txBox="1"/>
      </xdr:nvSpPr>
      <xdr:spPr>
        <a:xfrm>
          <a:off x="11239659" y="36942818"/>
          <a:ext cx="1863884" cy="817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latin typeface="Times New Roman" panose="02020603050405020304" pitchFamily="18" charset="0"/>
              <a:cs typeface="Times New Roman" panose="02020603050405020304" pitchFamily="18" charset="0"/>
            </a:rPr>
            <a:t>Cost of Debt</a:t>
          </a:r>
        </a:p>
        <a:p>
          <a:pPr algn="ctr"/>
          <a:r>
            <a:rPr lang="en-US" sz="1600" b="0">
              <a:latin typeface="Times New Roman" panose="02020603050405020304" pitchFamily="18" charset="0"/>
              <a:cs typeface="Times New Roman" panose="02020603050405020304" pitchFamily="18" charset="0"/>
            </a:rPr>
            <a:t>3.02%</a:t>
          </a:r>
        </a:p>
      </xdr:txBody>
    </xdr:sp>
    <xdr:clientData/>
  </xdr:twoCellAnchor>
  <xdr:twoCellAnchor>
    <xdr:from>
      <xdr:col>5</xdr:col>
      <xdr:colOff>260630</xdr:colOff>
      <xdr:row>172</xdr:row>
      <xdr:rowOff>178028</xdr:rowOff>
    </xdr:from>
    <xdr:to>
      <xdr:col>7</xdr:col>
      <xdr:colOff>205459</xdr:colOff>
      <xdr:row>176</xdr:row>
      <xdr:rowOff>189788</xdr:rowOff>
    </xdr:to>
    <xdr:sp macro="" textlink="">
      <xdr:nvSpPr>
        <xdr:cNvPr id="330" name="TextBox 329">
          <a:extLst>
            <a:ext uri="{FF2B5EF4-FFF2-40B4-BE49-F238E27FC236}">
              <a16:creationId xmlns:a16="http://schemas.microsoft.com/office/drawing/2014/main" id="{E0485688-291A-5745-BCDB-288F8E14EE1A}"/>
            </a:ext>
          </a:extLst>
        </xdr:cNvPr>
        <xdr:cNvSpPr txBox="1"/>
      </xdr:nvSpPr>
      <xdr:spPr>
        <a:xfrm>
          <a:off x="7973557" y="36930589"/>
          <a:ext cx="1865317" cy="817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latin typeface="Times New Roman" panose="02020603050405020304" pitchFamily="18" charset="0"/>
              <a:cs typeface="Times New Roman" panose="02020603050405020304" pitchFamily="18" charset="0"/>
            </a:rPr>
            <a:t>Cost of Equity</a:t>
          </a:r>
        </a:p>
        <a:p>
          <a:pPr algn="ctr"/>
          <a:r>
            <a:rPr lang="en-US" sz="1600" b="0">
              <a:latin typeface="Times New Roman" panose="02020603050405020304" pitchFamily="18" charset="0"/>
              <a:cs typeface="Times New Roman" panose="02020603050405020304" pitchFamily="18" charset="0"/>
            </a:rPr>
            <a:t>4.68%</a:t>
          </a:r>
        </a:p>
      </xdr:txBody>
    </xdr:sp>
    <xdr:clientData/>
  </xdr:twoCellAnchor>
  <xdr:twoCellAnchor>
    <xdr:from>
      <xdr:col>6</xdr:col>
      <xdr:colOff>242068</xdr:colOff>
      <xdr:row>175</xdr:row>
      <xdr:rowOff>120173</xdr:rowOff>
    </xdr:from>
    <xdr:to>
      <xdr:col>6</xdr:col>
      <xdr:colOff>665401</xdr:colOff>
      <xdr:row>176</xdr:row>
      <xdr:rowOff>120174</xdr:rowOff>
    </xdr:to>
    <xdr:cxnSp macro="">
      <xdr:nvCxnSpPr>
        <xdr:cNvPr id="332" name="Straight Connector 331">
          <a:extLst>
            <a:ext uri="{FF2B5EF4-FFF2-40B4-BE49-F238E27FC236}">
              <a16:creationId xmlns:a16="http://schemas.microsoft.com/office/drawing/2014/main" id="{F3EBB68C-2799-E5A5-84F9-A5E00E481203}"/>
            </a:ext>
          </a:extLst>
        </xdr:cNvPr>
        <xdr:cNvCxnSpPr/>
      </xdr:nvCxnSpPr>
      <xdr:spPr>
        <a:xfrm>
          <a:off x="8915239" y="37476758"/>
          <a:ext cx="423333" cy="2013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881186</xdr:colOff>
      <xdr:row>174</xdr:row>
      <xdr:rowOff>95220</xdr:rowOff>
    </xdr:from>
    <xdr:to>
      <xdr:col>9</xdr:col>
      <xdr:colOff>269315</xdr:colOff>
      <xdr:row>175</xdr:row>
      <xdr:rowOff>59472</xdr:rowOff>
    </xdr:to>
    <xdr:cxnSp macro="">
      <xdr:nvCxnSpPr>
        <xdr:cNvPr id="334" name="Straight Connector 333">
          <a:extLst>
            <a:ext uri="{FF2B5EF4-FFF2-40B4-BE49-F238E27FC236}">
              <a16:creationId xmlns:a16="http://schemas.microsoft.com/office/drawing/2014/main" id="{CA0A51BE-344A-CA49-9DFB-3CC247DC49E0}"/>
            </a:ext>
          </a:extLst>
        </xdr:cNvPr>
        <xdr:cNvCxnSpPr/>
      </xdr:nvCxnSpPr>
      <xdr:spPr>
        <a:xfrm flipV="1">
          <a:off x="11474845" y="37250464"/>
          <a:ext cx="270933" cy="16559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199907</xdr:colOff>
      <xdr:row>153</xdr:row>
      <xdr:rowOff>47036</xdr:rowOff>
    </xdr:from>
    <xdr:to>
      <xdr:col>4</xdr:col>
      <xdr:colOff>1039518</xdr:colOff>
      <xdr:row>164</xdr:row>
      <xdr:rowOff>148636</xdr:rowOff>
    </xdr:to>
    <xdr:graphicFrame macro="">
      <xdr:nvGraphicFramePr>
        <xdr:cNvPr id="336" name="Chart 335">
          <a:extLst>
            <a:ext uri="{FF2B5EF4-FFF2-40B4-BE49-F238E27FC236}">
              <a16:creationId xmlns:a16="http://schemas.microsoft.com/office/drawing/2014/main" id="{EA485871-7FC3-770A-68DF-63D3F5B81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9"/>
        </a:graphicData>
      </a:graphic>
    </xdr:graphicFrame>
    <xdr:clientData/>
  </xdr:twoCellAnchor>
  <xdr:twoCellAnchor>
    <xdr:from>
      <xdr:col>0</xdr:col>
      <xdr:colOff>1300975</xdr:colOff>
      <xdr:row>171</xdr:row>
      <xdr:rowOff>92927</xdr:rowOff>
    </xdr:from>
    <xdr:to>
      <xdr:col>4</xdr:col>
      <xdr:colOff>511098</xdr:colOff>
      <xdr:row>184</xdr:row>
      <xdr:rowOff>174450</xdr:rowOff>
    </xdr:to>
    <xdr:graphicFrame macro="">
      <xdr:nvGraphicFramePr>
        <xdr:cNvPr id="337" name="Chart 336">
          <a:extLst>
            <a:ext uri="{FF2B5EF4-FFF2-40B4-BE49-F238E27FC236}">
              <a16:creationId xmlns:a16="http://schemas.microsoft.com/office/drawing/2014/main" id="{CFDA13D9-3B05-7841-8EE1-F0474114F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0"/>
        </a:graphicData>
      </a:graphic>
    </xdr:graphicFrame>
    <xdr:clientData/>
  </xdr:twoCellAnchor>
  <xdr:twoCellAnchor>
    <xdr:from>
      <xdr:col>12</xdr:col>
      <xdr:colOff>46463</xdr:colOff>
      <xdr:row>154</xdr:row>
      <xdr:rowOff>92928</xdr:rowOff>
    </xdr:from>
    <xdr:to>
      <xdr:col>17</xdr:col>
      <xdr:colOff>472249</xdr:colOff>
      <xdr:row>168</xdr:row>
      <xdr:rowOff>52625</xdr:rowOff>
    </xdr:to>
    <xdr:graphicFrame macro="">
      <xdr:nvGraphicFramePr>
        <xdr:cNvPr id="338" name="Chart 337">
          <a:extLst>
            <a:ext uri="{FF2B5EF4-FFF2-40B4-BE49-F238E27FC236}">
              <a16:creationId xmlns:a16="http://schemas.microsoft.com/office/drawing/2014/main" id="{E557AB65-F3F6-CD49-A937-4286AA78F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1"/>
        </a:graphicData>
      </a:graphic>
    </xdr:graphicFrame>
    <xdr:clientData/>
  </xdr:twoCellAnchor>
  <xdr:twoCellAnchor>
    <xdr:from>
      <xdr:col>4</xdr:col>
      <xdr:colOff>1254512</xdr:colOff>
      <xdr:row>151</xdr:row>
      <xdr:rowOff>170366</xdr:rowOff>
    </xdr:from>
    <xdr:to>
      <xdr:col>11</xdr:col>
      <xdr:colOff>526586</xdr:colOff>
      <xdr:row>168</xdr:row>
      <xdr:rowOff>123902</xdr:rowOff>
    </xdr:to>
    <xdr:graphicFrame macro="">
      <xdr:nvGraphicFramePr>
        <xdr:cNvPr id="339" name="Chart 338">
          <a:extLst>
            <a:ext uri="{FF2B5EF4-FFF2-40B4-BE49-F238E27FC236}">
              <a16:creationId xmlns:a16="http://schemas.microsoft.com/office/drawing/2014/main" id="{0023A581-AD1A-864B-9D85-49174AE9D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0.63066</cdr:x>
      <cdr:y>0.02047</cdr:y>
    </cdr:from>
    <cdr:to>
      <cdr:x>0.71895</cdr:x>
      <cdr:y>0.17276</cdr:y>
    </cdr:to>
    <cdr:sp macro="" textlink="">
      <cdr:nvSpPr>
        <cdr:cNvPr id="2" name="TextBox 1">
          <a:extLst xmlns:a="http://schemas.openxmlformats.org/drawingml/2006/main">
            <a:ext uri="{FF2B5EF4-FFF2-40B4-BE49-F238E27FC236}">
              <a16:creationId xmlns:a16="http://schemas.microsoft.com/office/drawing/2014/main" id="{705528AF-D40A-5ED5-3DAA-6F09EDB2FFCF}"/>
            </a:ext>
          </a:extLst>
        </cdr:cNvPr>
        <cdr:cNvSpPr txBox="1"/>
      </cdr:nvSpPr>
      <cdr:spPr>
        <a:xfrm xmlns:a="http://schemas.openxmlformats.org/drawingml/2006/main">
          <a:off x="6531428" y="12290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0.48255</cdr:x>
      <cdr:y>0.50057</cdr:y>
    </cdr:from>
    <cdr:to>
      <cdr:x>0.62957</cdr:x>
      <cdr:y>0.58564</cdr:y>
    </cdr:to>
    <cdr:sp macro="" textlink="">
      <cdr:nvSpPr>
        <cdr:cNvPr id="3" name="TextBox 2">
          <a:extLst xmlns:a="http://schemas.openxmlformats.org/drawingml/2006/main">
            <a:ext uri="{FF2B5EF4-FFF2-40B4-BE49-F238E27FC236}">
              <a16:creationId xmlns:a16="http://schemas.microsoft.com/office/drawing/2014/main" id="{41DD7667-27F9-4C67-70BF-114218D7EAA4}"/>
            </a:ext>
          </a:extLst>
        </cdr:cNvPr>
        <cdr:cNvSpPr txBox="1"/>
      </cdr:nvSpPr>
      <cdr:spPr>
        <a:xfrm xmlns:a="http://schemas.openxmlformats.org/drawingml/2006/main">
          <a:off x="3529392" y="2142068"/>
          <a:ext cx="1075267" cy="36406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600" b="1">
              <a:latin typeface="Times New Roman" panose="02020603050405020304" pitchFamily="18" charset="0"/>
              <a:cs typeface="Times New Roman" panose="02020603050405020304" pitchFamily="18" charset="0"/>
            </a:rPr>
            <a:t>MERCK</a:t>
          </a:r>
        </a:p>
      </cdr:txBody>
    </cdr:sp>
  </cdr:relSizeAnchor>
</c:userShapes>
</file>

<file path=xl/drawings/drawing6.xml><?xml version="1.0" encoding="utf-8"?>
<c:userShapes xmlns:c="http://schemas.openxmlformats.org/drawingml/2006/chart">
  <cdr:relSizeAnchor xmlns:cdr="http://schemas.openxmlformats.org/drawingml/2006/chartDrawing">
    <cdr:from>
      <cdr:x>0.5589</cdr:x>
      <cdr:y>0.04128</cdr:y>
    </cdr:from>
    <cdr:to>
      <cdr:x>0.5589</cdr:x>
      <cdr:y>0.88073</cdr:y>
    </cdr:to>
    <cdr:cxnSp macro="">
      <cdr:nvCxnSpPr>
        <cdr:cNvPr id="3" name="Straight Connector 2">
          <a:extLst xmlns:a="http://schemas.openxmlformats.org/drawingml/2006/main">
            <a:ext uri="{FF2B5EF4-FFF2-40B4-BE49-F238E27FC236}">
              <a16:creationId xmlns:a16="http://schemas.microsoft.com/office/drawing/2014/main" id="{38D14777-E38E-D3C0-0572-A6A29E26E449}"/>
            </a:ext>
          </a:extLst>
        </cdr:cNvPr>
        <cdr:cNvCxnSpPr/>
      </cdr:nvCxnSpPr>
      <cdr:spPr>
        <a:xfrm xmlns:a="http://schemas.openxmlformats.org/drawingml/2006/main" flipV="1">
          <a:off x="3453781" y="139390"/>
          <a:ext cx="0" cy="2834268"/>
        </a:xfrm>
        <a:prstGeom xmlns:a="http://schemas.openxmlformats.org/drawingml/2006/main" prst="line">
          <a:avLst/>
        </a:prstGeom>
        <a:ln xmlns:a="http://schemas.openxmlformats.org/drawingml/2006/main" w="19050" cap="flat" cmpd="sng" algn="ctr">
          <a:solidFill>
            <a:schemeClr val="accent3"/>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ne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nal/FINAL%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Points"/>
      <sheetName val="DTDOverride"/>
      <sheetName val="Summary"/>
      <sheetName val="Inputs"/>
      <sheetName val="Debt"/>
      <sheetName val="ROIC"/>
      <sheetName val="Audit"/>
      <sheetName val="Buildup"/>
      <sheetName val="Earnings"/>
      <sheetName val="Products"/>
      <sheetName val="Waterfall"/>
      <sheetName val="ROICs"/>
      <sheetName val="PwPrivate"/>
      <sheetName val="_FreeForm"/>
    </sheetNames>
    <sheetDataSet>
      <sheetData sheetId="0" refreshError="1"/>
      <sheetData sheetId="1" refreshError="1"/>
      <sheetData sheetId="2" refreshError="1"/>
      <sheetData sheetId="3" refreshError="1">
        <row r="10">
          <cell r="M10">
            <v>1</v>
          </cell>
        </row>
        <row r="12">
          <cell r="M12">
            <v>1</v>
          </cell>
        </row>
        <row r="566">
          <cell r="Q566">
            <v>7.1794652090362343E-2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FP&amp;A"/>
      <sheetName val="F"/>
      <sheetName val="Q Rev."/>
      <sheetName val="% Sales vs. Trend Method"/>
      <sheetName val="Trend vs CMA"/>
      <sheetName val="Forecast Factors"/>
      <sheetName val="Expo Smoothing"/>
      <sheetName val="Linear Trend Expo Smooth"/>
      <sheetName val="HWAS Model"/>
      <sheetName val="HWMS Model"/>
      <sheetName val="ETS"/>
      <sheetName val="Regression Forecasting"/>
      <sheetName val="Compan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3">
          <cell r="B23">
            <v>2016</v>
          </cell>
          <cell r="C23">
            <v>2017</v>
          </cell>
          <cell r="D23">
            <v>2018</v>
          </cell>
          <cell r="E23">
            <v>2019</v>
          </cell>
          <cell r="F23">
            <v>2020</v>
          </cell>
          <cell r="G23">
            <v>2021</v>
          </cell>
          <cell r="H23">
            <v>2022</v>
          </cell>
          <cell r="I23">
            <v>2023</v>
          </cell>
          <cell r="J23">
            <v>2024</v>
          </cell>
          <cell r="K23">
            <v>2025</v>
          </cell>
          <cell r="L23">
            <v>2026</v>
          </cell>
          <cell r="M23">
            <v>2027</v>
          </cell>
        </row>
        <row r="24">
          <cell r="A24" t="str">
            <v>Total revenue in billions</v>
          </cell>
          <cell r="B24">
            <v>821.1</v>
          </cell>
          <cell r="C24">
            <v>847.4</v>
          </cell>
          <cell r="D24">
            <v>883</v>
          </cell>
          <cell r="E24">
            <v>917.5</v>
          </cell>
          <cell r="F24">
            <v>931.6</v>
          </cell>
          <cell r="G24">
            <v>1047</v>
          </cell>
          <cell r="H24">
            <v>1109</v>
          </cell>
          <cell r="I24">
            <v>1148</v>
          </cell>
          <cell r="J24">
            <v>1203</v>
          </cell>
          <cell r="K24">
            <v>1274</v>
          </cell>
          <cell r="L24">
            <v>1351</v>
          </cell>
          <cell r="M24">
            <v>1431</v>
          </cell>
        </row>
        <row r="47">
          <cell r="B47" t="str">
            <v>Chage</v>
          </cell>
        </row>
        <row r="48">
          <cell r="A48">
            <v>2017</v>
          </cell>
          <cell r="B48">
            <v>-3.0000000000000001E-3</v>
          </cell>
        </row>
        <row r="49">
          <cell r="A49">
            <v>2018</v>
          </cell>
          <cell r="B49">
            <v>2.4E-2</v>
          </cell>
        </row>
        <row r="50">
          <cell r="A50">
            <v>2019</v>
          </cell>
          <cell r="B50">
            <v>3.6999999999999998E-2</v>
          </cell>
        </row>
        <row r="51">
          <cell r="A51">
            <v>2020</v>
          </cell>
          <cell r="B51">
            <v>4.2999999999999997E-2</v>
          </cell>
        </row>
        <row r="52">
          <cell r="A52">
            <v>2021</v>
          </cell>
          <cell r="B52">
            <v>4.8000000000000001E-2</v>
          </cell>
        </row>
        <row r="53">
          <cell r="A53">
            <v>2022</v>
          </cell>
          <cell r="B53">
            <v>5.3999999999999999E-2</v>
          </cell>
        </row>
        <row r="54">
          <cell r="A54">
            <v>2023</v>
          </cell>
          <cell r="B54">
            <v>5.5E-2</v>
          </cell>
        </row>
        <row r="55">
          <cell r="A55">
            <v>2024</v>
          </cell>
          <cell r="B55">
            <v>5.5E-2</v>
          </cell>
        </row>
        <row r="56">
          <cell r="A56">
            <v>2025</v>
          </cell>
          <cell r="B56">
            <v>5.4000000000000006E-2</v>
          </cell>
        </row>
        <row r="57">
          <cell r="A57">
            <v>2026</v>
          </cell>
          <cell r="B57">
            <v>5.4000000000000006E-2</v>
          </cell>
        </row>
        <row r="58">
          <cell r="A58">
            <v>2027</v>
          </cell>
          <cell r="B58">
            <v>5.4000000000000006E-2</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3F730C-1991-1C4F-BC22-303EA1B8E11E}" name="Table1" displayName="Table1" ref="A11:B17" totalsRowShown="0" headerRowDxfId="6" dataDxfId="4" headerRowBorderDxfId="5" tableBorderDxfId="3" totalsRowBorderDxfId="2">
  <autoFilter ref="A11:B17" xr:uid="{503F730C-1991-1C4F-BC22-303EA1B8E11E}"/>
  <tableColumns count="2">
    <tableColumn id="1" xr3:uid="{439CFBE5-8049-7D47-B362-A4A9F80BDDB4}" name="Responsible Party" dataDxfId="1"/>
    <tableColumn id="2" xr3:uid="{47FC34EA-0DE6-0D4E-8E36-489E33161838}" name="Oversight for ESG topic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finance.yahoo.com/quote/MRK/history?p=MRK"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ycharts.com/indicators/10_year_treasury_rate" TargetMode="External"/><Relationship Id="rId2" Type="http://schemas.openxmlformats.org/officeDocument/2006/relationships/hyperlink" Target="https://finance.yahoo.com/quote/SPY/history?p=SPY" TargetMode="External"/><Relationship Id="rId1" Type="http://schemas.openxmlformats.org/officeDocument/2006/relationships/hyperlink" Target="https://finance.yahoo.com/quote/MRK/history?p=MRK" TargetMode="External"/><Relationship Id="rId6" Type="http://schemas.openxmlformats.org/officeDocument/2006/relationships/hyperlink" Target="https://www.gurufocus.com/term/wacc/MRK/WACC-Percentage/Merck" TargetMode="External"/><Relationship Id="rId5" Type="http://schemas.openxmlformats.org/officeDocument/2006/relationships/hyperlink" Target="https://www.merck.com/news/merck-announces-fourth-quarter-and-full-year-2022-financial-results/" TargetMode="External"/><Relationship Id="rId4" Type="http://schemas.openxmlformats.org/officeDocument/2006/relationships/hyperlink" Target="https://seekingalpha.com/article/4571595-data-update-2-for-2023-rocky-year-equitie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inbox.com/NYSE:MRK/explorer/beta"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my.pitchbook.com/?c=12233-98" TargetMode="External"/><Relationship Id="rId13" Type="http://schemas.openxmlformats.org/officeDocument/2006/relationships/hyperlink" Target="https://my.pitchbook.com/?c=42001-39" TargetMode="External"/><Relationship Id="rId18" Type="http://schemas.openxmlformats.org/officeDocument/2006/relationships/hyperlink" Target="https://my.pitchbook.com/?c=53417-80" TargetMode="External"/><Relationship Id="rId3" Type="http://schemas.openxmlformats.org/officeDocument/2006/relationships/hyperlink" Target="https://my.pitchbook.com/?c=10553-05" TargetMode="External"/><Relationship Id="rId21" Type="http://schemas.openxmlformats.org/officeDocument/2006/relationships/drawing" Target="../drawings/drawing2.xml"/><Relationship Id="rId7" Type="http://schemas.openxmlformats.org/officeDocument/2006/relationships/hyperlink" Target="https://my.pitchbook.com/?c=12233-98" TargetMode="External"/><Relationship Id="rId12" Type="http://schemas.openxmlformats.org/officeDocument/2006/relationships/hyperlink" Target="https://my.pitchbook.com/?c=10414-36" TargetMode="External"/><Relationship Id="rId17" Type="http://schemas.openxmlformats.org/officeDocument/2006/relationships/hyperlink" Target="https://my.pitchbook.com/?c=53417-80" TargetMode="External"/><Relationship Id="rId2" Type="http://schemas.openxmlformats.org/officeDocument/2006/relationships/hyperlink" Target="https://my.pitchbook.com/?c=11108-71" TargetMode="External"/><Relationship Id="rId16" Type="http://schemas.openxmlformats.org/officeDocument/2006/relationships/hyperlink" Target="https://my.pitchbook.com/?c=11597-86" TargetMode="External"/><Relationship Id="rId20" Type="http://schemas.openxmlformats.org/officeDocument/2006/relationships/hyperlink" Target="https://my.pitchbook.com/?c=53610-40" TargetMode="External"/><Relationship Id="rId1" Type="http://schemas.openxmlformats.org/officeDocument/2006/relationships/hyperlink" Target="https://my.pitchbook.com/?c=11108-71" TargetMode="External"/><Relationship Id="rId6" Type="http://schemas.openxmlformats.org/officeDocument/2006/relationships/hyperlink" Target="https://my.pitchbook.com/?c=12606-40" TargetMode="External"/><Relationship Id="rId11" Type="http://schemas.openxmlformats.org/officeDocument/2006/relationships/hyperlink" Target="https://my.pitchbook.com/?c=10414-36" TargetMode="External"/><Relationship Id="rId5" Type="http://schemas.openxmlformats.org/officeDocument/2006/relationships/hyperlink" Target="https://my.pitchbook.com/?c=12606-40" TargetMode="External"/><Relationship Id="rId15" Type="http://schemas.openxmlformats.org/officeDocument/2006/relationships/hyperlink" Target="https://my.pitchbook.com/?c=11597-86" TargetMode="External"/><Relationship Id="rId10" Type="http://schemas.openxmlformats.org/officeDocument/2006/relationships/hyperlink" Target="https://my.pitchbook.com/?c=25303-78" TargetMode="External"/><Relationship Id="rId19" Type="http://schemas.openxmlformats.org/officeDocument/2006/relationships/hyperlink" Target="https://my.pitchbook.com/?c=53610-40" TargetMode="External"/><Relationship Id="rId4" Type="http://schemas.openxmlformats.org/officeDocument/2006/relationships/hyperlink" Target="https://my.pitchbook.com/?c=10553-05" TargetMode="External"/><Relationship Id="rId9" Type="http://schemas.openxmlformats.org/officeDocument/2006/relationships/hyperlink" Target="https://my.pitchbook.com/?c=25303-78" TargetMode="External"/><Relationship Id="rId14" Type="http://schemas.openxmlformats.org/officeDocument/2006/relationships/hyperlink" Target="https://my.pitchbook.com/?c=42001-39"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sdd.tufts.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0631F-FE0D-7844-AB9E-2CF25044A17A}">
  <dimension ref="G3:G12"/>
  <sheetViews>
    <sheetView tabSelected="1" workbookViewId="0">
      <selection activeCell="G17" sqref="G17"/>
    </sheetView>
  </sheetViews>
  <sheetFormatPr baseColWidth="10" defaultRowHeight="16" x14ac:dyDescent="0.2"/>
  <cols>
    <col min="1" max="6" width="10.83203125" style="1"/>
    <col min="7" max="7" width="24.83203125" style="1" bestFit="1" customWidth="1"/>
    <col min="8" max="16384" width="10.83203125" style="1"/>
  </cols>
  <sheetData>
    <row r="3" spans="7:7" s="2" customFormat="1" x14ac:dyDescent="0.2"/>
    <row r="4" spans="7:7" s="2" customFormat="1" ht="62" x14ac:dyDescent="0.7">
      <c r="G4" s="4" t="s">
        <v>0</v>
      </c>
    </row>
    <row r="5" spans="7:7" s="2" customFormat="1" x14ac:dyDescent="0.2"/>
    <row r="6" spans="7:7" s="2" customFormat="1" ht="19" x14ac:dyDescent="0.25">
      <c r="G6" s="3" t="s">
        <v>2</v>
      </c>
    </row>
    <row r="7" spans="7:7" s="2" customFormat="1" ht="19" x14ac:dyDescent="0.25">
      <c r="G7" s="3"/>
    </row>
    <row r="8" spans="7:7" s="2" customFormat="1" ht="19" x14ac:dyDescent="0.25">
      <c r="G8" s="3" t="s">
        <v>1</v>
      </c>
    </row>
    <row r="9" spans="7:7" s="2" customFormat="1" ht="19" x14ac:dyDescent="0.25">
      <c r="G9" s="5">
        <v>45013</v>
      </c>
    </row>
    <row r="10" spans="7:7" s="2" customFormat="1" x14ac:dyDescent="0.2"/>
    <row r="11" spans="7:7" s="2" customFormat="1" x14ac:dyDescent="0.2"/>
    <row r="12" spans="7:7" s="2" customFormat="1"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17DD-C07A-5148-9FB5-D56479089326}">
  <dimension ref="A1:AU64"/>
  <sheetViews>
    <sheetView zoomScale="120" zoomScaleNormal="120" workbookViewId="0">
      <selection activeCell="AE27" sqref="AE27"/>
    </sheetView>
  </sheetViews>
  <sheetFormatPr baseColWidth="10" defaultColWidth="6.6640625" defaultRowHeight="16" outlineLevelCol="1" x14ac:dyDescent="0.2"/>
  <cols>
    <col min="1" max="1" width="38" style="23" bestFit="1" customWidth="1"/>
    <col min="2" max="3" width="7.1640625" style="21" hidden="1" customWidth="1" outlineLevel="1"/>
    <col min="4" max="5" width="8.1640625" style="21" hidden="1" customWidth="1" outlineLevel="1"/>
    <col min="6" max="6" width="8.33203125" style="21" bestFit="1" customWidth="1" collapsed="1"/>
    <col min="7" max="10" width="8.1640625" style="21" hidden="1" customWidth="1" outlineLevel="1"/>
    <col min="11" max="11" width="8.33203125" style="21" bestFit="1" customWidth="1" collapsed="1"/>
    <col min="12" max="15" width="8.1640625" style="21" hidden="1" customWidth="1" outlineLevel="1"/>
    <col min="16" max="16" width="8.33203125" style="21" bestFit="1" customWidth="1" collapsed="1"/>
    <col min="17" max="20" width="8.1640625" style="21" hidden="1" customWidth="1" outlineLevel="1"/>
    <col min="21" max="21" width="8.33203125" style="21" bestFit="1" customWidth="1" collapsed="1"/>
    <col min="22" max="25" width="8.1640625" style="21" customWidth="1" outlineLevel="1"/>
    <col min="26" max="26" width="8.33203125" style="21" bestFit="1" customWidth="1"/>
    <col min="27" max="30" width="8.1640625" style="21" hidden="1" customWidth="1" outlineLevel="1"/>
    <col min="31" max="31" width="8.33203125" style="21" bestFit="1" customWidth="1" collapsed="1"/>
    <col min="32" max="35" width="8.1640625" style="21" hidden="1" customWidth="1" outlineLevel="1"/>
    <col min="36" max="36" width="8.33203125" style="21" bestFit="1" customWidth="1" collapsed="1"/>
    <col min="37" max="40" width="8.1640625" style="21" bestFit="1" customWidth="1"/>
    <col min="41" max="42" width="8.1640625" style="21" customWidth="1"/>
    <col min="43" max="44" width="5.33203125" style="21" bestFit="1" customWidth="1"/>
    <col min="45" max="258" width="6.6640625" style="21"/>
    <col min="259" max="259" width="25.1640625" style="21" customWidth="1"/>
    <col min="260" max="264" width="7.33203125" style="21" customWidth="1"/>
    <col min="265" max="268" width="7.6640625" style="21" customWidth="1"/>
    <col min="269" max="269" width="8.1640625" style="21" bestFit="1" customWidth="1"/>
    <col min="270" max="273" width="7.6640625" style="21" customWidth="1"/>
    <col min="274" max="274" width="7.33203125" style="21" customWidth="1"/>
    <col min="275" max="278" width="0" style="21" hidden="1" customWidth="1"/>
    <col min="279" max="279" width="7.33203125" style="21" customWidth="1"/>
    <col min="280" max="283" width="0" style="21" hidden="1" customWidth="1"/>
    <col min="284" max="284" width="7.33203125" style="21" customWidth="1"/>
    <col min="285" max="288" width="0" style="21" hidden="1" customWidth="1"/>
    <col min="289" max="289" width="7.33203125" style="21" customWidth="1"/>
    <col min="290" max="293" width="0" style="21" hidden="1" customWidth="1"/>
    <col min="294" max="296" width="7.33203125" style="21" customWidth="1"/>
    <col min="297" max="297" width="8.5" style="21" customWidth="1"/>
    <col min="298" max="298" width="8.33203125" style="21" customWidth="1"/>
    <col min="299" max="300" width="7" style="21" bestFit="1" customWidth="1"/>
    <col min="301" max="514" width="6.6640625" style="21"/>
    <col min="515" max="515" width="25.1640625" style="21" customWidth="1"/>
    <col min="516" max="520" width="7.33203125" style="21" customWidth="1"/>
    <col min="521" max="524" width="7.6640625" style="21" customWidth="1"/>
    <col min="525" max="525" width="8.1640625" style="21" bestFit="1" customWidth="1"/>
    <col min="526" max="529" width="7.6640625" style="21" customWidth="1"/>
    <col min="530" max="530" width="7.33203125" style="21" customWidth="1"/>
    <col min="531" max="534" width="0" style="21" hidden="1" customWidth="1"/>
    <col min="535" max="535" width="7.33203125" style="21" customWidth="1"/>
    <col min="536" max="539" width="0" style="21" hidden="1" customWidth="1"/>
    <col min="540" max="540" width="7.33203125" style="21" customWidth="1"/>
    <col min="541" max="544" width="0" style="21" hidden="1" customWidth="1"/>
    <col min="545" max="545" width="7.33203125" style="21" customWidth="1"/>
    <col min="546" max="549" width="0" style="21" hidden="1" customWidth="1"/>
    <col min="550" max="552" width="7.33203125" style="21" customWidth="1"/>
    <col min="553" max="553" width="8.5" style="21" customWidth="1"/>
    <col min="554" max="554" width="8.33203125" style="21" customWidth="1"/>
    <col min="555" max="556" width="7" style="21" bestFit="1" customWidth="1"/>
    <col min="557" max="770" width="6.6640625" style="21"/>
    <col min="771" max="771" width="25.1640625" style="21" customWidth="1"/>
    <col min="772" max="776" width="7.33203125" style="21" customWidth="1"/>
    <col min="777" max="780" width="7.6640625" style="21" customWidth="1"/>
    <col min="781" max="781" width="8.1640625" style="21" bestFit="1" customWidth="1"/>
    <col min="782" max="785" width="7.6640625" style="21" customWidth="1"/>
    <col min="786" max="786" width="7.33203125" style="21" customWidth="1"/>
    <col min="787" max="790" width="0" style="21" hidden="1" customWidth="1"/>
    <col min="791" max="791" width="7.33203125" style="21" customWidth="1"/>
    <col min="792" max="795" width="0" style="21" hidden="1" customWidth="1"/>
    <col min="796" max="796" width="7.33203125" style="21" customWidth="1"/>
    <col min="797" max="800" width="0" style="21" hidden="1" customWidth="1"/>
    <col min="801" max="801" width="7.33203125" style="21" customWidth="1"/>
    <col min="802" max="805" width="0" style="21" hidden="1" customWidth="1"/>
    <col min="806" max="808" width="7.33203125" style="21" customWidth="1"/>
    <col min="809" max="809" width="8.5" style="21" customWidth="1"/>
    <col min="810" max="810" width="8.33203125" style="21" customWidth="1"/>
    <col min="811" max="812" width="7" style="21" bestFit="1" customWidth="1"/>
    <col min="813" max="1026" width="6.6640625" style="21"/>
    <col min="1027" max="1027" width="25.1640625" style="21" customWidth="1"/>
    <col min="1028" max="1032" width="7.33203125" style="21" customWidth="1"/>
    <col min="1033" max="1036" width="7.6640625" style="21" customWidth="1"/>
    <col min="1037" max="1037" width="8.1640625" style="21" bestFit="1" customWidth="1"/>
    <col min="1038" max="1041" width="7.6640625" style="21" customWidth="1"/>
    <col min="1042" max="1042" width="7.33203125" style="21" customWidth="1"/>
    <col min="1043" max="1046" width="0" style="21" hidden="1" customWidth="1"/>
    <col min="1047" max="1047" width="7.33203125" style="21" customWidth="1"/>
    <col min="1048" max="1051" width="0" style="21" hidden="1" customWidth="1"/>
    <col min="1052" max="1052" width="7.33203125" style="21" customWidth="1"/>
    <col min="1053" max="1056" width="0" style="21" hidden="1" customWidth="1"/>
    <col min="1057" max="1057" width="7.33203125" style="21" customWidth="1"/>
    <col min="1058" max="1061" width="0" style="21" hidden="1" customWidth="1"/>
    <col min="1062" max="1064" width="7.33203125" style="21" customWidth="1"/>
    <col min="1065" max="1065" width="8.5" style="21" customWidth="1"/>
    <col min="1066" max="1066" width="8.33203125" style="21" customWidth="1"/>
    <col min="1067" max="1068" width="7" style="21" bestFit="1" customWidth="1"/>
    <col min="1069" max="1282" width="6.6640625" style="21"/>
    <col min="1283" max="1283" width="25.1640625" style="21" customWidth="1"/>
    <col min="1284" max="1288" width="7.33203125" style="21" customWidth="1"/>
    <col min="1289" max="1292" width="7.6640625" style="21" customWidth="1"/>
    <col min="1293" max="1293" width="8.1640625" style="21" bestFit="1" customWidth="1"/>
    <col min="1294" max="1297" width="7.6640625" style="21" customWidth="1"/>
    <col min="1298" max="1298" width="7.33203125" style="21" customWidth="1"/>
    <col min="1299" max="1302" width="0" style="21" hidden="1" customWidth="1"/>
    <col min="1303" max="1303" width="7.33203125" style="21" customWidth="1"/>
    <col min="1304" max="1307" width="0" style="21" hidden="1" customWidth="1"/>
    <col min="1308" max="1308" width="7.33203125" style="21" customWidth="1"/>
    <col min="1309" max="1312" width="0" style="21" hidden="1" customWidth="1"/>
    <col min="1313" max="1313" width="7.33203125" style="21" customWidth="1"/>
    <col min="1314" max="1317" width="0" style="21" hidden="1" customWidth="1"/>
    <col min="1318" max="1320" width="7.33203125" style="21" customWidth="1"/>
    <col min="1321" max="1321" width="8.5" style="21" customWidth="1"/>
    <col min="1322" max="1322" width="8.33203125" style="21" customWidth="1"/>
    <col min="1323" max="1324" width="7" style="21" bestFit="1" customWidth="1"/>
    <col min="1325" max="1538" width="6.6640625" style="21"/>
    <col min="1539" max="1539" width="25.1640625" style="21" customWidth="1"/>
    <col min="1540" max="1544" width="7.33203125" style="21" customWidth="1"/>
    <col min="1545" max="1548" width="7.6640625" style="21" customWidth="1"/>
    <col min="1549" max="1549" width="8.1640625" style="21" bestFit="1" customWidth="1"/>
    <col min="1550" max="1553" width="7.6640625" style="21" customWidth="1"/>
    <col min="1554" max="1554" width="7.33203125" style="21" customWidth="1"/>
    <col min="1555" max="1558" width="0" style="21" hidden="1" customWidth="1"/>
    <col min="1559" max="1559" width="7.33203125" style="21" customWidth="1"/>
    <col min="1560" max="1563" width="0" style="21" hidden="1" customWidth="1"/>
    <col min="1564" max="1564" width="7.33203125" style="21" customWidth="1"/>
    <col min="1565" max="1568" width="0" style="21" hidden="1" customWidth="1"/>
    <col min="1569" max="1569" width="7.33203125" style="21" customWidth="1"/>
    <col min="1570" max="1573" width="0" style="21" hidden="1" customWidth="1"/>
    <col min="1574" max="1576" width="7.33203125" style="21" customWidth="1"/>
    <col min="1577" max="1577" width="8.5" style="21" customWidth="1"/>
    <col min="1578" max="1578" width="8.33203125" style="21" customWidth="1"/>
    <col min="1579" max="1580" width="7" style="21" bestFit="1" customWidth="1"/>
    <col min="1581" max="1794" width="6.6640625" style="21"/>
    <col min="1795" max="1795" width="25.1640625" style="21" customWidth="1"/>
    <col min="1796" max="1800" width="7.33203125" style="21" customWidth="1"/>
    <col min="1801" max="1804" width="7.6640625" style="21" customWidth="1"/>
    <col min="1805" max="1805" width="8.1640625" style="21" bestFit="1" customWidth="1"/>
    <col min="1806" max="1809" width="7.6640625" style="21" customWidth="1"/>
    <col min="1810" max="1810" width="7.33203125" style="21" customWidth="1"/>
    <col min="1811" max="1814" width="0" style="21" hidden="1" customWidth="1"/>
    <col min="1815" max="1815" width="7.33203125" style="21" customWidth="1"/>
    <col min="1816" max="1819" width="0" style="21" hidden="1" customWidth="1"/>
    <col min="1820" max="1820" width="7.33203125" style="21" customWidth="1"/>
    <col min="1821" max="1824" width="0" style="21" hidden="1" customWidth="1"/>
    <col min="1825" max="1825" width="7.33203125" style="21" customWidth="1"/>
    <col min="1826" max="1829" width="0" style="21" hidden="1" customWidth="1"/>
    <col min="1830" max="1832" width="7.33203125" style="21" customWidth="1"/>
    <col min="1833" max="1833" width="8.5" style="21" customWidth="1"/>
    <col min="1834" max="1834" width="8.33203125" style="21" customWidth="1"/>
    <col min="1835" max="1836" width="7" style="21" bestFit="1" customWidth="1"/>
    <col min="1837" max="2050" width="6.6640625" style="21"/>
    <col min="2051" max="2051" width="25.1640625" style="21" customWidth="1"/>
    <col min="2052" max="2056" width="7.33203125" style="21" customWidth="1"/>
    <col min="2057" max="2060" width="7.6640625" style="21" customWidth="1"/>
    <col min="2061" max="2061" width="8.1640625" style="21" bestFit="1" customWidth="1"/>
    <col min="2062" max="2065" width="7.6640625" style="21" customWidth="1"/>
    <col min="2066" max="2066" width="7.33203125" style="21" customWidth="1"/>
    <col min="2067" max="2070" width="0" style="21" hidden="1" customWidth="1"/>
    <col min="2071" max="2071" width="7.33203125" style="21" customWidth="1"/>
    <col min="2072" max="2075" width="0" style="21" hidden="1" customWidth="1"/>
    <col min="2076" max="2076" width="7.33203125" style="21" customWidth="1"/>
    <col min="2077" max="2080" width="0" style="21" hidden="1" customWidth="1"/>
    <col min="2081" max="2081" width="7.33203125" style="21" customWidth="1"/>
    <col min="2082" max="2085" width="0" style="21" hidden="1" customWidth="1"/>
    <col min="2086" max="2088" width="7.33203125" style="21" customWidth="1"/>
    <col min="2089" max="2089" width="8.5" style="21" customWidth="1"/>
    <col min="2090" max="2090" width="8.33203125" style="21" customWidth="1"/>
    <col min="2091" max="2092" width="7" style="21" bestFit="1" customWidth="1"/>
    <col min="2093" max="2306" width="6.6640625" style="21"/>
    <col min="2307" max="2307" width="25.1640625" style="21" customWidth="1"/>
    <col min="2308" max="2312" width="7.33203125" style="21" customWidth="1"/>
    <col min="2313" max="2316" width="7.6640625" style="21" customWidth="1"/>
    <col min="2317" max="2317" width="8.1640625" style="21" bestFit="1" customWidth="1"/>
    <col min="2318" max="2321" width="7.6640625" style="21" customWidth="1"/>
    <col min="2322" max="2322" width="7.33203125" style="21" customWidth="1"/>
    <col min="2323" max="2326" width="0" style="21" hidden="1" customWidth="1"/>
    <col min="2327" max="2327" width="7.33203125" style="21" customWidth="1"/>
    <col min="2328" max="2331" width="0" style="21" hidden="1" customWidth="1"/>
    <col min="2332" max="2332" width="7.33203125" style="21" customWidth="1"/>
    <col min="2333" max="2336" width="0" style="21" hidden="1" customWidth="1"/>
    <col min="2337" max="2337" width="7.33203125" style="21" customWidth="1"/>
    <col min="2338" max="2341" width="0" style="21" hidden="1" customWidth="1"/>
    <col min="2342" max="2344" width="7.33203125" style="21" customWidth="1"/>
    <col min="2345" max="2345" width="8.5" style="21" customWidth="1"/>
    <col min="2346" max="2346" width="8.33203125" style="21" customWidth="1"/>
    <col min="2347" max="2348" width="7" style="21" bestFit="1" customWidth="1"/>
    <col min="2349" max="2562" width="6.6640625" style="21"/>
    <col min="2563" max="2563" width="25.1640625" style="21" customWidth="1"/>
    <col min="2564" max="2568" width="7.33203125" style="21" customWidth="1"/>
    <col min="2569" max="2572" width="7.6640625" style="21" customWidth="1"/>
    <col min="2573" max="2573" width="8.1640625" style="21" bestFit="1" customWidth="1"/>
    <col min="2574" max="2577" width="7.6640625" style="21" customWidth="1"/>
    <col min="2578" max="2578" width="7.33203125" style="21" customWidth="1"/>
    <col min="2579" max="2582" width="0" style="21" hidden="1" customWidth="1"/>
    <col min="2583" max="2583" width="7.33203125" style="21" customWidth="1"/>
    <col min="2584" max="2587" width="0" style="21" hidden="1" customWidth="1"/>
    <col min="2588" max="2588" width="7.33203125" style="21" customWidth="1"/>
    <col min="2589" max="2592" width="0" style="21" hidden="1" customWidth="1"/>
    <col min="2593" max="2593" width="7.33203125" style="21" customWidth="1"/>
    <col min="2594" max="2597" width="0" style="21" hidden="1" customWidth="1"/>
    <col min="2598" max="2600" width="7.33203125" style="21" customWidth="1"/>
    <col min="2601" max="2601" width="8.5" style="21" customWidth="1"/>
    <col min="2602" max="2602" width="8.33203125" style="21" customWidth="1"/>
    <col min="2603" max="2604" width="7" style="21" bestFit="1" customWidth="1"/>
    <col min="2605" max="2818" width="6.6640625" style="21"/>
    <col min="2819" max="2819" width="25.1640625" style="21" customWidth="1"/>
    <col min="2820" max="2824" width="7.33203125" style="21" customWidth="1"/>
    <col min="2825" max="2828" width="7.6640625" style="21" customWidth="1"/>
    <col min="2829" max="2829" width="8.1640625" style="21" bestFit="1" customWidth="1"/>
    <col min="2830" max="2833" width="7.6640625" style="21" customWidth="1"/>
    <col min="2834" max="2834" width="7.33203125" style="21" customWidth="1"/>
    <col min="2835" max="2838" width="0" style="21" hidden="1" customWidth="1"/>
    <col min="2839" max="2839" width="7.33203125" style="21" customWidth="1"/>
    <col min="2840" max="2843" width="0" style="21" hidden="1" customWidth="1"/>
    <col min="2844" max="2844" width="7.33203125" style="21" customWidth="1"/>
    <col min="2845" max="2848" width="0" style="21" hidden="1" customWidth="1"/>
    <col min="2849" max="2849" width="7.33203125" style="21" customWidth="1"/>
    <col min="2850" max="2853" width="0" style="21" hidden="1" customWidth="1"/>
    <col min="2854" max="2856" width="7.33203125" style="21" customWidth="1"/>
    <col min="2857" max="2857" width="8.5" style="21" customWidth="1"/>
    <col min="2858" max="2858" width="8.33203125" style="21" customWidth="1"/>
    <col min="2859" max="2860" width="7" style="21" bestFit="1" customWidth="1"/>
    <col min="2861" max="3074" width="6.6640625" style="21"/>
    <col min="3075" max="3075" width="25.1640625" style="21" customWidth="1"/>
    <col min="3076" max="3080" width="7.33203125" style="21" customWidth="1"/>
    <col min="3081" max="3084" width="7.6640625" style="21" customWidth="1"/>
    <col min="3085" max="3085" width="8.1640625" style="21" bestFit="1" customWidth="1"/>
    <col min="3086" max="3089" width="7.6640625" style="21" customWidth="1"/>
    <col min="3090" max="3090" width="7.33203125" style="21" customWidth="1"/>
    <col min="3091" max="3094" width="0" style="21" hidden="1" customWidth="1"/>
    <col min="3095" max="3095" width="7.33203125" style="21" customWidth="1"/>
    <col min="3096" max="3099" width="0" style="21" hidden="1" customWidth="1"/>
    <col min="3100" max="3100" width="7.33203125" style="21" customWidth="1"/>
    <col min="3101" max="3104" width="0" style="21" hidden="1" customWidth="1"/>
    <col min="3105" max="3105" width="7.33203125" style="21" customWidth="1"/>
    <col min="3106" max="3109" width="0" style="21" hidden="1" customWidth="1"/>
    <col min="3110" max="3112" width="7.33203125" style="21" customWidth="1"/>
    <col min="3113" max="3113" width="8.5" style="21" customWidth="1"/>
    <col min="3114" max="3114" width="8.33203125" style="21" customWidth="1"/>
    <col min="3115" max="3116" width="7" style="21" bestFit="1" customWidth="1"/>
    <col min="3117" max="3330" width="6.6640625" style="21"/>
    <col min="3331" max="3331" width="25.1640625" style="21" customWidth="1"/>
    <col min="3332" max="3336" width="7.33203125" style="21" customWidth="1"/>
    <col min="3337" max="3340" width="7.6640625" style="21" customWidth="1"/>
    <col min="3341" max="3341" width="8.1640625" style="21" bestFit="1" customWidth="1"/>
    <col min="3342" max="3345" width="7.6640625" style="21" customWidth="1"/>
    <col min="3346" max="3346" width="7.33203125" style="21" customWidth="1"/>
    <col min="3347" max="3350" width="0" style="21" hidden="1" customWidth="1"/>
    <col min="3351" max="3351" width="7.33203125" style="21" customWidth="1"/>
    <col min="3352" max="3355" width="0" style="21" hidden="1" customWidth="1"/>
    <col min="3356" max="3356" width="7.33203125" style="21" customWidth="1"/>
    <col min="3357" max="3360" width="0" style="21" hidden="1" customWidth="1"/>
    <col min="3361" max="3361" width="7.33203125" style="21" customWidth="1"/>
    <col min="3362" max="3365" width="0" style="21" hidden="1" customWidth="1"/>
    <col min="3366" max="3368" width="7.33203125" style="21" customWidth="1"/>
    <col min="3369" max="3369" width="8.5" style="21" customWidth="1"/>
    <col min="3370" max="3370" width="8.33203125" style="21" customWidth="1"/>
    <col min="3371" max="3372" width="7" style="21" bestFit="1" customWidth="1"/>
    <col min="3373" max="3586" width="6.6640625" style="21"/>
    <col min="3587" max="3587" width="25.1640625" style="21" customWidth="1"/>
    <col min="3588" max="3592" width="7.33203125" style="21" customWidth="1"/>
    <col min="3593" max="3596" width="7.6640625" style="21" customWidth="1"/>
    <col min="3597" max="3597" width="8.1640625" style="21" bestFit="1" customWidth="1"/>
    <col min="3598" max="3601" width="7.6640625" style="21" customWidth="1"/>
    <col min="3602" max="3602" width="7.33203125" style="21" customWidth="1"/>
    <col min="3603" max="3606" width="0" style="21" hidden="1" customWidth="1"/>
    <col min="3607" max="3607" width="7.33203125" style="21" customWidth="1"/>
    <col min="3608" max="3611" width="0" style="21" hidden="1" customWidth="1"/>
    <col min="3612" max="3612" width="7.33203125" style="21" customWidth="1"/>
    <col min="3613" max="3616" width="0" style="21" hidden="1" customWidth="1"/>
    <col min="3617" max="3617" width="7.33203125" style="21" customWidth="1"/>
    <col min="3618" max="3621" width="0" style="21" hidden="1" customWidth="1"/>
    <col min="3622" max="3624" width="7.33203125" style="21" customWidth="1"/>
    <col min="3625" max="3625" width="8.5" style="21" customWidth="1"/>
    <col min="3626" max="3626" width="8.33203125" style="21" customWidth="1"/>
    <col min="3627" max="3628" width="7" style="21" bestFit="1" customWidth="1"/>
    <col min="3629" max="3842" width="6.6640625" style="21"/>
    <col min="3843" max="3843" width="25.1640625" style="21" customWidth="1"/>
    <col min="3844" max="3848" width="7.33203125" style="21" customWidth="1"/>
    <col min="3849" max="3852" width="7.6640625" style="21" customWidth="1"/>
    <col min="3853" max="3853" width="8.1640625" style="21" bestFit="1" customWidth="1"/>
    <col min="3854" max="3857" width="7.6640625" style="21" customWidth="1"/>
    <col min="3858" max="3858" width="7.33203125" style="21" customWidth="1"/>
    <col min="3859" max="3862" width="0" style="21" hidden="1" customWidth="1"/>
    <col min="3863" max="3863" width="7.33203125" style="21" customWidth="1"/>
    <col min="3864" max="3867" width="0" style="21" hidden="1" customWidth="1"/>
    <col min="3868" max="3868" width="7.33203125" style="21" customWidth="1"/>
    <col min="3869" max="3872" width="0" style="21" hidden="1" customWidth="1"/>
    <col min="3873" max="3873" width="7.33203125" style="21" customWidth="1"/>
    <col min="3874" max="3877" width="0" style="21" hidden="1" customWidth="1"/>
    <col min="3878" max="3880" width="7.33203125" style="21" customWidth="1"/>
    <col min="3881" max="3881" width="8.5" style="21" customWidth="1"/>
    <col min="3882" max="3882" width="8.33203125" style="21" customWidth="1"/>
    <col min="3883" max="3884" width="7" style="21" bestFit="1" customWidth="1"/>
    <col min="3885" max="4098" width="6.6640625" style="21"/>
    <col min="4099" max="4099" width="25.1640625" style="21" customWidth="1"/>
    <col min="4100" max="4104" width="7.33203125" style="21" customWidth="1"/>
    <col min="4105" max="4108" width="7.6640625" style="21" customWidth="1"/>
    <col min="4109" max="4109" width="8.1640625" style="21" bestFit="1" customWidth="1"/>
    <col min="4110" max="4113" width="7.6640625" style="21" customWidth="1"/>
    <col min="4114" max="4114" width="7.33203125" style="21" customWidth="1"/>
    <col min="4115" max="4118" width="0" style="21" hidden="1" customWidth="1"/>
    <col min="4119" max="4119" width="7.33203125" style="21" customWidth="1"/>
    <col min="4120" max="4123" width="0" style="21" hidden="1" customWidth="1"/>
    <col min="4124" max="4124" width="7.33203125" style="21" customWidth="1"/>
    <col min="4125" max="4128" width="0" style="21" hidden="1" customWidth="1"/>
    <col min="4129" max="4129" width="7.33203125" style="21" customWidth="1"/>
    <col min="4130" max="4133" width="0" style="21" hidden="1" customWidth="1"/>
    <col min="4134" max="4136" width="7.33203125" style="21" customWidth="1"/>
    <col min="4137" max="4137" width="8.5" style="21" customWidth="1"/>
    <col min="4138" max="4138" width="8.33203125" style="21" customWidth="1"/>
    <col min="4139" max="4140" width="7" style="21" bestFit="1" customWidth="1"/>
    <col min="4141" max="4354" width="6.6640625" style="21"/>
    <col min="4355" max="4355" width="25.1640625" style="21" customWidth="1"/>
    <col min="4356" max="4360" width="7.33203125" style="21" customWidth="1"/>
    <col min="4361" max="4364" width="7.6640625" style="21" customWidth="1"/>
    <col min="4365" max="4365" width="8.1640625" style="21" bestFit="1" customWidth="1"/>
    <col min="4366" max="4369" width="7.6640625" style="21" customWidth="1"/>
    <col min="4370" max="4370" width="7.33203125" style="21" customWidth="1"/>
    <col min="4371" max="4374" width="0" style="21" hidden="1" customWidth="1"/>
    <col min="4375" max="4375" width="7.33203125" style="21" customWidth="1"/>
    <col min="4376" max="4379" width="0" style="21" hidden="1" customWidth="1"/>
    <col min="4380" max="4380" width="7.33203125" style="21" customWidth="1"/>
    <col min="4381" max="4384" width="0" style="21" hidden="1" customWidth="1"/>
    <col min="4385" max="4385" width="7.33203125" style="21" customWidth="1"/>
    <col min="4386" max="4389" width="0" style="21" hidden="1" customWidth="1"/>
    <col min="4390" max="4392" width="7.33203125" style="21" customWidth="1"/>
    <col min="4393" max="4393" width="8.5" style="21" customWidth="1"/>
    <col min="4394" max="4394" width="8.33203125" style="21" customWidth="1"/>
    <col min="4395" max="4396" width="7" style="21" bestFit="1" customWidth="1"/>
    <col min="4397" max="4610" width="6.6640625" style="21"/>
    <col min="4611" max="4611" width="25.1640625" style="21" customWidth="1"/>
    <col min="4612" max="4616" width="7.33203125" style="21" customWidth="1"/>
    <col min="4617" max="4620" width="7.6640625" style="21" customWidth="1"/>
    <col min="4621" max="4621" width="8.1640625" style="21" bestFit="1" customWidth="1"/>
    <col min="4622" max="4625" width="7.6640625" style="21" customWidth="1"/>
    <col min="4626" max="4626" width="7.33203125" style="21" customWidth="1"/>
    <col min="4627" max="4630" width="0" style="21" hidden="1" customWidth="1"/>
    <col min="4631" max="4631" width="7.33203125" style="21" customWidth="1"/>
    <col min="4632" max="4635" width="0" style="21" hidden="1" customWidth="1"/>
    <col min="4636" max="4636" width="7.33203125" style="21" customWidth="1"/>
    <col min="4637" max="4640" width="0" style="21" hidden="1" customWidth="1"/>
    <col min="4641" max="4641" width="7.33203125" style="21" customWidth="1"/>
    <col min="4642" max="4645" width="0" style="21" hidden="1" customWidth="1"/>
    <col min="4646" max="4648" width="7.33203125" style="21" customWidth="1"/>
    <col min="4649" max="4649" width="8.5" style="21" customWidth="1"/>
    <col min="4650" max="4650" width="8.33203125" style="21" customWidth="1"/>
    <col min="4651" max="4652" width="7" style="21" bestFit="1" customWidth="1"/>
    <col min="4653" max="4866" width="6.6640625" style="21"/>
    <col min="4867" max="4867" width="25.1640625" style="21" customWidth="1"/>
    <col min="4868" max="4872" width="7.33203125" style="21" customWidth="1"/>
    <col min="4873" max="4876" width="7.6640625" style="21" customWidth="1"/>
    <col min="4877" max="4877" width="8.1640625" style="21" bestFit="1" customWidth="1"/>
    <col min="4878" max="4881" width="7.6640625" style="21" customWidth="1"/>
    <col min="4882" max="4882" width="7.33203125" style="21" customWidth="1"/>
    <col min="4883" max="4886" width="0" style="21" hidden="1" customWidth="1"/>
    <col min="4887" max="4887" width="7.33203125" style="21" customWidth="1"/>
    <col min="4888" max="4891" width="0" style="21" hidden="1" customWidth="1"/>
    <col min="4892" max="4892" width="7.33203125" style="21" customWidth="1"/>
    <col min="4893" max="4896" width="0" style="21" hidden="1" customWidth="1"/>
    <col min="4897" max="4897" width="7.33203125" style="21" customWidth="1"/>
    <col min="4898" max="4901" width="0" style="21" hidden="1" customWidth="1"/>
    <col min="4902" max="4904" width="7.33203125" style="21" customWidth="1"/>
    <col min="4905" max="4905" width="8.5" style="21" customWidth="1"/>
    <col min="4906" max="4906" width="8.33203125" style="21" customWidth="1"/>
    <col min="4907" max="4908" width="7" style="21" bestFit="1" customWidth="1"/>
    <col min="4909" max="5122" width="6.6640625" style="21"/>
    <col min="5123" max="5123" width="25.1640625" style="21" customWidth="1"/>
    <col min="5124" max="5128" width="7.33203125" style="21" customWidth="1"/>
    <col min="5129" max="5132" width="7.6640625" style="21" customWidth="1"/>
    <col min="5133" max="5133" width="8.1640625" style="21" bestFit="1" customWidth="1"/>
    <col min="5134" max="5137" width="7.6640625" style="21" customWidth="1"/>
    <col min="5138" max="5138" width="7.33203125" style="21" customWidth="1"/>
    <col min="5139" max="5142" width="0" style="21" hidden="1" customWidth="1"/>
    <col min="5143" max="5143" width="7.33203125" style="21" customWidth="1"/>
    <col min="5144" max="5147" width="0" style="21" hidden="1" customWidth="1"/>
    <col min="5148" max="5148" width="7.33203125" style="21" customWidth="1"/>
    <col min="5149" max="5152" width="0" style="21" hidden="1" customWidth="1"/>
    <col min="5153" max="5153" width="7.33203125" style="21" customWidth="1"/>
    <col min="5154" max="5157" width="0" style="21" hidden="1" customWidth="1"/>
    <col min="5158" max="5160" width="7.33203125" style="21" customWidth="1"/>
    <col min="5161" max="5161" width="8.5" style="21" customWidth="1"/>
    <col min="5162" max="5162" width="8.33203125" style="21" customWidth="1"/>
    <col min="5163" max="5164" width="7" style="21" bestFit="1" customWidth="1"/>
    <col min="5165" max="5378" width="6.6640625" style="21"/>
    <col min="5379" max="5379" width="25.1640625" style="21" customWidth="1"/>
    <col min="5380" max="5384" width="7.33203125" style="21" customWidth="1"/>
    <col min="5385" max="5388" width="7.6640625" style="21" customWidth="1"/>
    <col min="5389" max="5389" width="8.1640625" style="21" bestFit="1" customWidth="1"/>
    <col min="5390" max="5393" width="7.6640625" style="21" customWidth="1"/>
    <col min="5394" max="5394" width="7.33203125" style="21" customWidth="1"/>
    <col min="5395" max="5398" width="0" style="21" hidden="1" customWidth="1"/>
    <col min="5399" max="5399" width="7.33203125" style="21" customWidth="1"/>
    <col min="5400" max="5403" width="0" style="21" hidden="1" customWidth="1"/>
    <col min="5404" max="5404" width="7.33203125" style="21" customWidth="1"/>
    <col min="5405" max="5408" width="0" style="21" hidden="1" customWidth="1"/>
    <col min="5409" max="5409" width="7.33203125" style="21" customWidth="1"/>
    <col min="5410" max="5413" width="0" style="21" hidden="1" customWidth="1"/>
    <col min="5414" max="5416" width="7.33203125" style="21" customWidth="1"/>
    <col min="5417" max="5417" width="8.5" style="21" customWidth="1"/>
    <col min="5418" max="5418" width="8.33203125" style="21" customWidth="1"/>
    <col min="5419" max="5420" width="7" style="21" bestFit="1" customWidth="1"/>
    <col min="5421" max="5634" width="6.6640625" style="21"/>
    <col min="5635" max="5635" width="25.1640625" style="21" customWidth="1"/>
    <col min="5636" max="5640" width="7.33203125" style="21" customWidth="1"/>
    <col min="5641" max="5644" width="7.6640625" style="21" customWidth="1"/>
    <col min="5645" max="5645" width="8.1640625" style="21" bestFit="1" customWidth="1"/>
    <col min="5646" max="5649" width="7.6640625" style="21" customWidth="1"/>
    <col min="5650" max="5650" width="7.33203125" style="21" customWidth="1"/>
    <col min="5651" max="5654" width="0" style="21" hidden="1" customWidth="1"/>
    <col min="5655" max="5655" width="7.33203125" style="21" customWidth="1"/>
    <col min="5656" max="5659" width="0" style="21" hidden="1" customWidth="1"/>
    <col min="5660" max="5660" width="7.33203125" style="21" customWidth="1"/>
    <col min="5661" max="5664" width="0" style="21" hidden="1" customWidth="1"/>
    <col min="5665" max="5665" width="7.33203125" style="21" customWidth="1"/>
    <col min="5666" max="5669" width="0" style="21" hidden="1" customWidth="1"/>
    <col min="5670" max="5672" width="7.33203125" style="21" customWidth="1"/>
    <col min="5673" max="5673" width="8.5" style="21" customWidth="1"/>
    <col min="5674" max="5674" width="8.33203125" style="21" customWidth="1"/>
    <col min="5675" max="5676" width="7" style="21" bestFit="1" customWidth="1"/>
    <col min="5677" max="5890" width="6.6640625" style="21"/>
    <col min="5891" max="5891" width="25.1640625" style="21" customWidth="1"/>
    <col min="5892" max="5896" width="7.33203125" style="21" customWidth="1"/>
    <col min="5897" max="5900" width="7.6640625" style="21" customWidth="1"/>
    <col min="5901" max="5901" width="8.1640625" style="21" bestFit="1" customWidth="1"/>
    <col min="5902" max="5905" width="7.6640625" style="21" customWidth="1"/>
    <col min="5906" max="5906" width="7.33203125" style="21" customWidth="1"/>
    <col min="5907" max="5910" width="0" style="21" hidden="1" customWidth="1"/>
    <col min="5911" max="5911" width="7.33203125" style="21" customWidth="1"/>
    <col min="5912" max="5915" width="0" style="21" hidden="1" customWidth="1"/>
    <col min="5916" max="5916" width="7.33203125" style="21" customWidth="1"/>
    <col min="5917" max="5920" width="0" style="21" hidden="1" customWidth="1"/>
    <col min="5921" max="5921" width="7.33203125" style="21" customWidth="1"/>
    <col min="5922" max="5925" width="0" style="21" hidden="1" customWidth="1"/>
    <col min="5926" max="5928" width="7.33203125" style="21" customWidth="1"/>
    <col min="5929" max="5929" width="8.5" style="21" customWidth="1"/>
    <col min="5930" max="5930" width="8.33203125" style="21" customWidth="1"/>
    <col min="5931" max="5932" width="7" style="21" bestFit="1" customWidth="1"/>
    <col min="5933" max="6146" width="6.6640625" style="21"/>
    <col min="6147" max="6147" width="25.1640625" style="21" customWidth="1"/>
    <col min="6148" max="6152" width="7.33203125" style="21" customWidth="1"/>
    <col min="6153" max="6156" width="7.6640625" style="21" customWidth="1"/>
    <col min="6157" max="6157" width="8.1640625" style="21" bestFit="1" customWidth="1"/>
    <col min="6158" max="6161" width="7.6640625" style="21" customWidth="1"/>
    <col min="6162" max="6162" width="7.33203125" style="21" customWidth="1"/>
    <col min="6163" max="6166" width="0" style="21" hidden="1" customWidth="1"/>
    <col min="6167" max="6167" width="7.33203125" style="21" customWidth="1"/>
    <col min="6168" max="6171" width="0" style="21" hidden="1" customWidth="1"/>
    <col min="6172" max="6172" width="7.33203125" style="21" customWidth="1"/>
    <col min="6173" max="6176" width="0" style="21" hidden="1" customWidth="1"/>
    <col min="6177" max="6177" width="7.33203125" style="21" customWidth="1"/>
    <col min="6178" max="6181" width="0" style="21" hidden="1" customWidth="1"/>
    <col min="6182" max="6184" width="7.33203125" style="21" customWidth="1"/>
    <col min="6185" max="6185" width="8.5" style="21" customWidth="1"/>
    <col min="6186" max="6186" width="8.33203125" style="21" customWidth="1"/>
    <col min="6187" max="6188" width="7" style="21" bestFit="1" customWidth="1"/>
    <col min="6189" max="6402" width="6.6640625" style="21"/>
    <col min="6403" max="6403" width="25.1640625" style="21" customWidth="1"/>
    <col min="6404" max="6408" width="7.33203125" style="21" customWidth="1"/>
    <col min="6409" max="6412" width="7.6640625" style="21" customWidth="1"/>
    <col min="6413" max="6413" width="8.1640625" style="21" bestFit="1" customWidth="1"/>
    <col min="6414" max="6417" width="7.6640625" style="21" customWidth="1"/>
    <col min="6418" max="6418" width="7.33203125" style="21" customWidth="1"/>
    <col min="6419" max="6422" width="0" style="21" hidden="1" customWidth="1"/>
    <col min="6423" max="6423" width="7.33203125" style="21" customWidth="1"/>
    <col min="6424" max="6427" width="0" style="21" hidden="1" customWidth="1"/>
    <col min="6428" max="6428" width="7.33203125" style="21" customWidth="1"/>
    <col min="6429" max="6432" width="0" style="21" hidden="1" customWidth="1"/>
    <col min="6433" max="6433" width="7.33203125" style="21" customWidth="1"/>
    <col min="6434" max="6437" width="0" style="21" hidden="1" customWidth="1"/>
    <col min="6438" max="6440" width="7.33203125" style="21" customWidth="1"/>
    <col min="6441" max="6441" width="8.5" style="21" customWidth="1"/>
    <col min="6442" max="6442" width="8.33203125" style="21" customWidth="1"/>
    <col min="6443" max="6444" width="7" style="21" bestFit="1" customWidth="1"/>
    <col min="6445" max="6658" width="6.6640625" style="21"/>
    <col min="6659" max="6659" width="25.1640625" style="21" customWidth="1"/>
    <col min="6660" max="6664" width="7.33203125" style="21" customWidth="1"/>
    <col min="6665" max="6668" width="7.6640625" style="21" customWidth="1"/>
    <col min="6669" max="6669" width="8.1640625" style="21" bestFit="1" customWidth="1"/>
    <col min="6670" max="6673" width="7.6640625" style="21" customWidth="1"/>
    <col min="6674" max="6674" width="7.33203125" style="21" customWidth="1"/>
    <col min="6675" max="6678" width="0" style="21" hidden="1" customWidth="1"/>
    <col min="6679" max="6679" width="7.33203125" style="21" customWidth="1"/>
    <col min="6680" max="6683" width="0" style="21" hidden="1" customWidth="1"/>
    <col min="6684" max="6684" width="7.33203125" style="21" customWidth="1"/>
    <col min="6685" max="6688" width="0" style="21" hidden="1" customWidth="1"/>
    <col min="6689" max="6689" width="7.33203125" style="21" customWidth="1"/>
    <col min="6690" max="6693" width="0" style="21" hidden="1" customWidth="1"/>
    <col min="6694" max="6696" width="7.33203125" style="21" customWidth="1"/>
    <col min="6697" max="6697" width="8.5" style="21" customWidth="1"/>
    <col min="6698" max="6698" width="8.33203125" style="21" customWidth="1"/>
    <col min="6699" max="6700" width="7" style="21" bestFit="1" customWidth="1"/>
    <col min="6701" max="6914" width="6.6640625" style="21"/>
    <col min="6915" max="6915" width="25.1640625" style="21" customWidth="1"/>
    <col min="6916" max="6920" width="7.33203125" style="21" customWidth="1"/>
    <col min="6921" max="6924" width="7.6640625" style="21" customWidth="1"/>
    <col min="6925" max="6925" width="8.1640625" style="21" bestFit="1" customWidth="1"/>
    <col min="6926" max="6929" width="7.6640625" style="21" customWidth="1"/>
    <col min="6930" max="6930" width="7.33203125" style="21" customWidth="1"/>
    <col min="6931" max="6934" width="0" style="21" hidden="1" customWidth="1"/>
    <col min="6935" max="6935" width="7.33203125" style="21" customWidth="1"/>
    <col min="6936" max="6939" width="0" style="21" hidden="1" customWidth="1"/>
    <col min="6940" max="6940" width="7.33203125" style="21" customWidth="1"/>
    <col min="6941" max="6944" width="0" style="21" hidden="1" customWidth="1"/>
    <col min="6945" max="6945" width="7.33203125" style="21" customWidth="1"/>
    <col min="6946" max="6949" width="0" style="21" hidden="1" customWidth="1"/>
    <col min="6950" max="6952" width="7.33203125" style="21" customWidth="1"/>
    <col min="6953" max="6953" width="8.5" style="21" customWidth="1"/>
    <col min="6954" max="6954" width="8.33203125" style="21" customWidth="1"/>
    <col min="6955" max="6956" width="7" style="21" bestFit="1" customWidth="1"/>
    <col min="6957" max="7170" width="6.6640625" style="21"/>
    <col min="7171" max="7171" width="25.1640625" style="21" customWidth="1"/>
    <col min="7172" max="7176" width="7.33203125" style="21" customWidth="1"/>
    <col min="7177" max="7180" width="7.6640625" style="21" customWidth="1"/>
    <col min="7181" max="7181" width="8.1640625" style="21" bestFit="1" customWidth="1"/>
    <col min="7182" max="7185" width="7.6640625" style="21" customWidth="1"/>
    <col min="7186" max="7186" width="7.33203125" style="21" customWidth="1"/>
    <col min="7187" max="7190" width="0" style="21" hidden="1" customWidth="1"/>
    <col min="7191" max="7191" width="7.33203125" style="21" customWidth="1"/>
    <col min="7192" max="7195" width="0" style="21" hidden="1" customWidth="1"/>
    <col min="7196" max="7196" width="7.33203125" style="21" customWidth="1"/>
    <col min="7197" max="7200" width="0" style="21" hidden="1" customWidth="1"/>
    <col min="7201" max="7201" width="7.33203125" style="21" customWidth="1"/>
    <col min="7202" max="7205" width="0" style="21" hidden="1" customWidth="1"/>
    <col min="7206" max="7208" width="7.33203125" style="21" customWidth="1"/>
    <col min="7209" max="7209" width="8.5" style="21" customWidth="1"/>
    <col min="7210" max="7210" width="8.33203125" style="21" customWidth="1"/>
    <col min="7211" max="7212" width="7" style="21" bestFit="1" customWidth="1"/>
    <col min="7213" max="7426" width="6.6640625" style="21"/>
    <col min="7427" max="7427" width="25.1640625" style="21" customWidth="1"/>
    <col min="7428" max="7432" width="7.33203125" style="21" customWidth="1"/>
    <col min="7433" max="7436" width="7.6640625" style="21" customWidth="1"/>
    <col min="7437" max="7437" width="8.1640625" style="21" bestFit="1" customWidth="1"/>
    <col min="7438" max="7441" width="7.6640625" style="21" customWidth="1"/>
    <col min="7442" max="7442" width="7.33203125" style="21" customWidth="1"/>
    <col min="7443" max="7446" width="0" style="21" hidden="1" customWidth="1"/>
    <col min="7447" max="7447" width="7.33203125" style="21" customWidth="1"/>
    <col min="7448" max="7451" width="0" style="21" hidden="1" customWidth="1"/>
    <col min="7452" max="7452" width="7.33203125" style="21" customWidth="1"/>
    <col min="7453" max="7456" width="0" style="21" hidden="1" customWidth="1"/>
    <col min="7457" max="7457" width="7.33203125" style="21" customWidth="1"/>
    <col min="7458" max="7461" width="0" style="21" hidden="1" customWidth="1"/>
    <col min="7462" max="7464" width="7.33203125" style="21" customWidth="1"/>
    <col min="7465" max="7465" width="8.5" style="21" customWidth="1"/>
    <col min="7466" max="7466" width="8.33203125" style="21" customWidth="1"/>
    <col min="7467" max="7468" width="7" style="21" bestFit="1" customWidth="1"/>
    <col min="7469" max="7682" width="6.6640625" style="21"/>
    <col min="7683" max="7683" width="25.1640625" style="21" customWidth="1"/>
    <col min="7684" max="7688" width="7.33203125" style="21" customWidth="1"/>
    <col min="7689" max="7692" width="7.6640625" style="21" customWidth="1"/>
    <col min="7693" max="7693" width="8.1640625" style="21" bestFit="1" customWidth="1"/>
    <col min="7694" max="7697" width="7.6640625" style="21" customWidth="1"/>
    <col min="7698" max="7698" width="7.33203125" style="21" customWidth="1"/>
    <col min="7699" max="7702" width="0" style="21" hidden="1" customWidth="1"/>
    <col min="7703" max="7703" width="7.33203125" style="21" customWidth="1"/>
    <col min="7704" max="7707" width="0" style="21" hidden="1" customWidth="1"/>
    <col min="7708" max="7708" width="7.33203125" style="21" customWidth="1"/>
    <col min="7709" max="7712" width="0" style="21" hidden="1" customWidth="1"/>
    <col min="7713" max="7713" width="7.33203125" style="21" customWidth="1"/>
    <col min="7714" max="7717" width="0" style="21" hidden="1" customWidth="1"/>
    <col min="7718" max="7720" width="7.33203125" style="21" customWidth="1"/>
    <col min="7721" max="7721" width="8.5" style="21" customWidth="1"/>
    <col min="7722" max="7722" width="8.33203125" style="21" customWidth="1"/>
    <col min="7723" max="7724" width="7" style="21" bestFit="1" customWidth="1"/>
    <col min="7725" max="7938" width="6.6640625" style="21"/>
    <col min="7939" max="7939" width="25.1640625" style="21" customWidth="1"/>
    <col min="7940" max="7944" width="7.33203125" style="21" customWidth="1"/>
    <col min="7945" max="7948" width="7.6640625" style="21" customWidth="1"/>
    <col min="7949" max="7949" width="8.1640625" style="21" bestFit="1" customWidth="1"/>
    <col min="7950" max="7953" width="7.6640625" style="21" customWidth="1"/>
    <col min="7954" max="7954" width="7.33203125" style="21" customWidth="1"/>
    <col min="7955" max="7958" width="0" style="21" hidden="1" customWidth="1"/>
    <col min="7959" max="7959" width="7.33203125" style="21" customWidth="1"/>
    <col min="7960" max="7963" width="0" style="21" hidden="1" customWidth="1"/>
    <col min="7964" max="7964" width="7.33203125" style="21" customWidth="1"/>
    <col min="7965" max="7968" width="0" style="21" hidden="1" customWidth="1"/>
    <col min="7969" max="7969" width="7.33203125" style="21" customWidth="1"/>
    <col min="7970" max="7973" width="0" style="21" hidden="1" customWidth="1"/>
    <col min="7974" max="7976" width="7.33203125" style="21" customWidth="1"/>
    <col min="7977" max="7977" width="8.5" style="21" customWidth="1"/>
    <col min="7978" max="7978" width="8.33203125" style="21" customWidth="1"/>
    <col min="7979" max="7980" width="7" style="21" bestFit="1" customWidth="1"/>
    <col min="7981" max="8194" width="6.6640625" style="21"/>
    <col min="8195" max="8195" width="25.1640625" style="21" customWidth="1"/>
    <col min="8196" max="8200" width="7.33203125" style="21" customWidth="1"/>
    <col min="8201" max="8204" width="7.6640625" style="21" customWidth="1"/>
    <col min="8205" max="8205" width="8.1640625" style="21" bestFit="1" customWidth="1"/>
    <col min="8206" max="8209" width="7.6640625" style="21" customWidth="1"/>
    <col min="8210" max="8210" width="7.33203125" style="21" customWidth="1"/>
    <col min="8211" max="8214" width="0" style="21" hidden="1" customWidth="1"/>
    <col min="8215" max="8215" width="7.33203125" style="21" customWidth="1"/>
    <col min="8216" max="8219" width="0" style="21" hidden="1" customWidth="1"/>
    <col min="8220" max="8220" width="7.33203125" style="21" customWidth="1"/>
    <col min="8221" max="8224" width="0" style="21" hidden="1" customWidth="1"/>
    <col min="8225" max="8225" width="7.33203125" style="21" customWidth="1"/>
    <col min="8226" max="8229" width="0" style="21" hidden="1" customWidth="1"/>
    <col min="8230" max="8232" width="7.33203125" style="21" customWidth="1"/>
    <col min="8233" max="8233" width="8.5" style="21" customWidth="1"/>
    <col min="8234" max="8234" width="8.33203125" style="21" customWidth="1"/>
    <col min="8235" max="8236" width="7" style="21" bestFit="1" customWidth="1"/>
    <col min="8237" max="8450" width="6.6640625" style="21"/>
    <col min="8451" max="8451" width="25.1640625" style="21" customWidth="1"/>
    <col min="8452" max="8456" width="7.33203125" style="21" customWidth="1"/>
    <col min="8457" max="8460" width="7.6640625" style="21" customWidth="1"/>
    <col min="8461" max="8461" width="8.1640625" style="21" bestFit="1" customWidth="1"/>
    <col min="8462" max="8465" width="7.6640625" style="21" customWidth="1"/>
    <col min="8466" max="8466" width="7.33203125" style="21" customWidth="1"/>
    <col min="8467" max="8470" width="0" style="21" hidden="1" customWidth="1"/>
    <col min="8471" max="8471" width="7.33203125" style="21" customWidth="1"/>
    <col min="8472" max="8475" width="0" style="21" hidden="1" customWidth="1"/>
    <col min="8476" max="8476" width="7.33203125" style="21" customWidth="1"/>
    <col min="8477" max="8480" width="0" style="21" hidden="1" customWidth="1"/>
    <col min="8481" max="8481" width="7.33203125" style="21" customWidth="1"/>
    <col min="8482" max="8485" width="0" style="21" hidden="1" customWidth="1"/>
    <col min="8486" max="8488" width="7.33203125" style="21" customWidth="1"/>
    <col min="8489" max="8489" width="8.5" style="21" customWidth="1"/>
    <col min="8490" max="8490" width="8.33203125" style="21" customWidth="1"/>
    <col min="8491" max="8492" width="7" style="21" bestFit="1" customWidth="1"/>
    <col min="8493" max="8706" width="6.6640625" style="21"/>
    <col min="8707" max="8707" width="25.1640625" style="21" customWidth="1"/>
    <col min="8708" max="8712" width="7.33203125" style="21" customWidth="1"/>
    <col min="8713" max="8716" width="7.6640625" style="21" customWidth="1"/>
    <col min="8717" max="8717" width="8.1640625" style="21" bestFit="1" customWidth="1"/>
    <col min="8718" max="8721" width="7.6640625" style="21" customWidth="1"/>
    <col min="8722" max="8722" width="7.33203125" style="21" customWidth="1"/>
    <col min="8723" max="8726" width="0" style="21" hidden="1" customWidth="1"/>
    <col min="8727" max="8727" width="7.33203125" style="21" customWidth="1"/>
    <col min="8728" max="8731" width="0" style="21" hidden="1" customWidth="1"/>
    <col min="8732" max="8732" width="7.33203125" style="21" customWidth="1"/>
    <col min="8733" max="8736" width="0" style="21" hidden="1" customWidth="1"/>
    <col min="8737" max="8737" width="7.33203125" style="21" customWidth="1"/>
    <col min="8738" max="8741" width="0" style="21" hidden="1" customWidth="1"/>
    <col min="8742" max="8744" width="7.33203125" style="21" customWidth="1"/>
    <col min="8745" max="8745" width="8.5" style="21" customWidth="1"/>
    <col min="8746" max="8746" width="8.33203125" style="21" customWidth="1"/>
    <col min="8747" max="8748" width="7" style="21" bestFit="1" customWidth="1"/>
    <col min="8749" max="8962" width="6.6640625" style="21"/>
    <col min="8963" max="8963" width="25.1640625" style="21" customWidth="1"/>
    <col min="8964" max="8968" width="7.33203125" style="21" customWidth="1"/>
    <col min="8969" max="8972" width="7.6640625" style="21" customWidth="1"/>
    <col min="8973" max="8973" width="8.1640625" style="21" bestFit="1" customWidth="1"/>
    <col min="8974" max="8977" width="7.6640625" style="21" customWidth="1"/>
    <col min="8978" max="8978" width="7.33203125" style="21" customWidth="1"/>
    <col min="8979" max="8982" width="0" style="21" hidden="1" customWidth="1"/>
    <col min="8983" max="8983" width="7.33203125" style="21" customWidth="1"/>
    <col min="8984" max="8987" width="0" style="21" hidden="1" customWidth="1"/>
    <col min="8988" max="8988" width="7.33203125" style="21" customWidth="1"/>
    <col min="8989" max="8992" width="0" style="21" hidden="1" customWidth="1"/>
    <col min="8993" max="8993" width="7.33203125" style="21" customWidth="1"/>
    <col min="8994" max="8997" width="0" style="21" hidden="1" customWidth="1"/>
    <col min="8998" max="9000" width="7.33203125" style="21" customWidth="1"/>
    <col min="9001" max="9001" width="8.5" style="21" customWidth="1"/>
    <col min="9002" max="9002" width="8.33203125" style="21" customWidth="1"/>
    <col min="9003" max="9004" width="7" style="21" bestFit="1" customWidth="1"/>
    <col min="9005" max="9218" width="6.6640625" style="21"/>
    <col min="9219" max="9219" width="25.1640625" style="21" customWidth="1"/>
    <col min="9220" max="9224" width="7.33203125" style="21" customWidth="1"/>
    <col min="9225" max="9228" width="7.6640625" style="21" customWidth="1"/>
    <col min="9229" max="9229" width="8.1640625" style="21" bestFit="1" customWidth="1"/>
    <col min="9230" max="9233" width="7.6640625" style="21" customWidth="1"/>
    <col min="9234" max="9234" width="7.33203125" style="21" customWidth="1"/>
    <col min="9235" max="9238" width="0" style="21" hidden="1" customWidth="1"/>
    <col min="9239" max="9239" width="7.33203125" style="21" customWidth="1"/>
    <col min="9240" max="9243" width="0" style="21" hidden="1" customWidth="1"/>
    <col min="9244" max="9244" width="7.33203125" style="21" customWidth="1"/>
    <col min="9245" max="9248" width="0" style="21" hidden="1" customWidth="1"/>
    <col min="9249" max="9249" width="7.33203125" style="21" customWidth="1"/>
    <col min="9250" max="9253" width="0" style="21" hidden="1" customWidth="1"/>
    <col min="9254" max="9256" width="7.33203125" style="21" customWidth="1"/>
    <col min="9257" max="9257" width="8.5" style="21" customWidth="1"/>
    <col min="9258" max="9258" width="8.33203125" style="21" customWidth="1"/>
    <col min="9259" max="9260" width="7" style="21" bestFit="1" customWidth="1"/>
    <col min="9261" max="9474" width="6.6640625" style="21"/>
    <col min="9475" max="9475" width="25.1640625" style="21" customWidth="1"/>
    <col min="9476" max="9480" width="7.33203125" style="21" customWidth="1"/>
    <col min="9481" max="9484" width="7.6640625" style="21" customWidth="1"/>
    <col min="9485" max="9485" width="8.1640625" style="21" bestFit="1" customWidth="1"/>
    <col min="9486" max="9489" width="7.6640625" style="21" customWidth="1"/>
    <col min="9490" max="9490" width="7.33203125" style="21" customWidth="1"/>
    <col min="9491" max="9494" width="0" style="21" hidden="1" customWidth="1"/>
    <col min="9495" max="9495" width="7.33203125" style="21" customWidth="1"/>
    <col min="9496" max="9499" width="0" style="21" hidden="1" customWidth="1"/>
    <col min="9500" max="9500" width="7.33203125" style="21" customWidth="1"/>
    <col min="9501" max="9504" width="0" style="21" hidden="1" customWidth="1"/>
    <col min="9505" max="9505" width="7.33203125" style="21" customWidth="1"/>
    <col min="9506" max="9509" width="0" style="21" hidden="1" customWidth="1"/>
    <col min="9510" max="9512" width="7.33203125" style="21" customWidth="1"/>
    <col min="9513" max="9513" width="8.5" style="21" customWidth="1"/>
    <col min="9514" max="9514" width="8.33203125" style="21" customWidth="1"/>
    <col min="9515" max="9516" width="7" style="21" bestFit="1" customWidth="1"/>
    <col min="9517" max="9730" width="6.6640625" style="21"/>
    <col min="9731" max="9731" width="25.1640625" style="21" customWidth="1"/>
    <col min="9732" max="9736" width="7.33203125" style="21" customWidth="1"/>
    <col min="9737" max="9740" width="7.6640625" style="21" customWidth="1"/>
    <col min="9741" max="9741" width="8.1640625" style="21" bestFit="1" customWidth="1"/>
    <col min="9742" max="9745" width="7.6640625" style="21" customWidth="1"/>
    <col min="9746" max="9746" width="7.33203125" style="21" customWidth="1"/>
    <col min="9747" max="9750" width="0" style="21" hidden="1" customWidth="1"/>
    <col min="9751" max="9751" width="7.33203125" style="21" customWidth="1"/>
    <col min="9752" max="9755" width="0" style="21" hidden="1" customWidth="1"/>
    <col min="9756" max="9756" width="7.33203125" style="21" customWidth="1"/>
    <col min="9757" max="9760" width="0" style="21" hidden="1" customWidth="1"/>
    <col min="9761" max="9761" width="7.33203125" style="21" customWidth="1"/>
    <col min="9762" max="9765" width="0" style="21" hidden="1" customWidth="1"/>
    <col min="9766" max="9768" width="7.33203125" style="21" customWidth="1"/>
    <col min="9769" max="9769" width="8.5" style="21" customWidth="1"/>
    <col min="9770" max="9770" width="8.33203125" style="21" customWidth="1"/>
    <col min="9771" max="9772" width="7" style="21" bestFit="1" customWidth="1"/>
    <col min="9773" max="9986" width="6.6640625" style="21"/>
    <col min="9987" max="9987" width="25.1640625" style="21" customWidth="1"/>
    <col min="9988" max="9992" width="7.33203125" style="21" customWidth="1"/>
    <col min="9993" max="9996" width="7.6640625" style="21" customWidth="1"/>
    <col min="9997" max="9997" width="8.1640625" style="21" bestFit="1" customWidth="1"/>
    <col min="9998" max="10001" width="7.6640625" style="21" customWidth="1"/>
    <col min="10002" max="10002" width="7.33203125" style="21" customWidth="1"/>
    <col min="10003" max="10006" width="0" style="21" hidden="1" customWidth="1"/>
    <col min="10007" max="10007" width="7.33203125" style="21" customWidth="1"/>
    <col min="10008" max="10011" width="0" style="21" hidden="1" customWidth="1"/>
    <col min="10012" max="10012" width="7.33203125" style="21" customWidth="1"/>
    <col min="10013" max="10016" width="0" style="21" hidden="1" customWidth="1"/>
    <col min="10017" max="10017" width="7.33203125" style="21" customWidth="1"/>
    <col min="10018" max="10021" width="0" style="21" hidden="1" customWidth="1"/>
    <col min="10022" max="10024" width="7.33203125" style="21" customWidth="1"/>
    <col min="10025" max="10025" width="8.5" style="21" customWidth="1"/>
    <col min="10026" max="10026" width="8.33203125" style="21" customWidth="1"/>
    <col min="10027" max="10028" width="7" style="21" bestFit="1" customWidth="1"/>
    <col min="10029" max="10242" width="6.6640625" style="21"/>
    <col min="10243" max="10243" width="25.1640625" style="21" customWidth="1"/>
    <col min="10244" max="10248" width="7.33203125" style="21" customWidth="1"/>
    <col min="10249" max="10252" width="7.6640625" style="21" customWidth="1"/>
    <col min="10253" max="10253" width="8.1640625" style="21" bestFit="1" customWidth="1"/>
    <col min="10254" max="10257" width="7.6640625" style="21" customWidth="1"/>
    <col min="10258" max="10258" width="7.33203125" style="21" customWidth="1"/>
    <col min="10259" max="10262" width="0" style="21" hidden="1" customWidth="1"/>
    <col min="10263" max="10263" width="7.33203125" style="21" customWidth="1"/>
    <col min="10264" max="10267" width="0" style="21" hidden="1" customWidth="1"/>
    <col min="10268" max="10268" width="7.33203125" style="21" customWidth="1"/>
    <col min="10269" max="10272" width="0" style="21" hidden="1" customWidth="1"/>
    <col min="10273" max="10273" width="7.33203125" style="21" customWidth="1"/>
    <col min="10274" max="10277" width="0" style="21" hidden="1" customWidth="1"/>
    <col min="10278" max="10280" width="7.33203125" style="21" customWidth="1"/>
    <col min="10281" max="10281" width="8.5" style="21" customWidth="1"/>
    <col min="10282" max="10282" width="8.33203125" style="21" customWidth="1"/>
    <col min="10283" max="10284" width="7" style="21" bestFit="1" customWidth="1"/>
    <col min="10285" max="10498" width="6.6640625" style="21"/>
    <col min="10499" max="10499" width="25.1640625" style="21" customWidth="1"/>
    <col min="10500" max="10504" width="7.33203125" style="21" customWidth="1"/>
    <col min="10505" max="10508" width="7.6640625" style="21" customWidth="1"/>
    <col min="10509" max="10509" width="8.1640625" style="21" bestFit="1" customWidth="1"/>
    <col min="10510" max="10513" width="7.6640625" style="21" customWidth="1"/>
    <col min="10514" max="10514" width="7.33203125" style="21" customWidth="1"/>
    <col min="10515" max="10518" width="0" style="21" hidden="1" customWidth="1"/>
    <col min="10519" max="10519" width="7.33203125" style="21" customWidth="1"/>
    <col min="10520" max="10523" width="0" style="21" hidden="1" customWidth="1"/>
    <col min="10524" max="10524" width="7.33203125" style="21" customWidth="1"/>
    <col min="10525" max="10528" width="0" style="21" hidden="1" customWidth="1"/>
    <col min="10529" max="10529" width="7.33203125" style="21" customWidth="1"/>
    <col min="10530" max="10533" width="0" style="21" hidden="1" customWidth="1"/>
    <col min="10534" max="10536" width="7.33203125" style="21" customWidth="1"/>
    <col min="10537" max="10537" width="8.5" style="21" customWidth="1"/>
    <col min="10538" max="10538" width="8.33203125" style="21" customWidth="1"/>
    <col min="10539" max="10540" width="7" style="21" bestFit="1" customWidth="1"/>
    <col min="10541" max="10754" width="6.6640625" style="21"/>
    <col min="10755" max="10755" width="25.1640625" style="21" customWidth="1"/>
    <col min="10756" max="10760" width="7.33203125" style="21" customWidth="1"/>
    <col min="10761" max="10764" width="7.6640625" style="21" customWidth="1"/>
    <col min="10765" max="10765" width="8.1640625" style="21" bestFit="1" customWidth="1"/>
    <col min="10766" max="10769" width="7.6640625" style="21" customWidth="1"/>
    <col min="10770" max="10770" width="7.33203125" style="21" customWidth="1"/>
    <col min="10771" max="10774" width="0" style="21" hidden="1" customWidth="1"/>
    <col min="10775" max="10775" width="7.33203125" style="21" customWidth="1"/>
    <col min="10776" max="10779" width="0" style="21" hidden="1" customWidth="1"/>
    <col min="10780" max="10780" width="7.33203125" style="21" customWidth="1"/>
    <col min="10781" max="10784" width="0" style="21" hidden="1" customWidth="1"/>
    <col min="10785" max="10785" width="7.33203125" style="21" customWidth="1"/>
    <col min="10786" max="10789" width="0" style="21" hidden="1" customWidth="1"/>
    <col min="10790" max="10792" width="7.33203125" style="21" customWidth="1"/>
    <col min="10793" max="10793" width="8.5" style="21" customWidth="1"/>
    <col min="10794" max="10794" width="8.33203125" style="21" customWidth="1"/>
    <col min="10795" max="10796" width="7" style="21" bestFit="1" customWidth="1"/>
    <col min="10797" max="11010" width="6.6640625" style="21"/>
    <col min="11011" max="11011" width="25.1640625" style="21" customWidth="1"/>
    <col min="11012" max="11016" width="7.33203125" style="21" customWidth="1"/>
    <col min="11017" max="11020" width="7.6640625" style="21" customWidth="1"/>
    <col min="11021" max="11021" width="8.1640625" style="21" bestFit="1" customWidth="1"/>
    <col min="11022" max="11025" width="7.6640625" style="21" customWidth="1"/>
    <col min="11026" max="11026" width="7.33203125" style="21" customWidth="1"/>
    <col min="11027" max="11030" width="0" style="21" hidden="1" customWidth="1"/>
    <col min="11031" max="11031" width="7.33203125" style="21" customWidth="1"/>
    <col min="11032" max="11035" width="0" style="21" hidden="1" customWidth="1"/>
    <col min="11036" max="11036" width="7.33203125" style="21" customWidth="1"/>
    <col min="11037" max="11040" width="0" style="21" hidden="1" customWidth="1"/>
    <col min="11041" max="11041" width="7.33203125" style="21" customWidth="1"/>
    <col min="11042" max="11045" width="0" style="21" hidden="1" customWidth="1"/>
    <col min="11046" max="11048" width="7.33203125" style="21" customWidth="1"/>
    <col min="11049" max="11049" width="8.5" style="21" customWidth="1"/>
    <col min="11050" max="11050" width="8.33203125" style="21" customWidth="1"/>
    <col min="11051" max="11052" width="7" style="21" bestFit="1" customWidth="1"/>
    <col min="11053" max="11266" width="6.6640625" style="21"/>
    <col min="11267" max="11267" width="25.1640625" style="21" customWidth="1"/>
    <col min="11268" max="11272" width="7.33203125" style="21" customWidth="1"/>
    <col min="11273" max="11276" width="7.6640625" style="21" customWidth="1"/>
    <col min="11277" max="11277" width="8.1640625" style="21" bestFit="1" customWidth="1"/>
    <col min="11278" max="11281" width="7.6640625" style="21" customWidth="1"/>
    <col min="11282" max="11282" width="7.33203125" style="21" customWidth="1"/>
    <col min="11283" max="11286" width="0" style="21" hidden="1" customWidth="1"/>
    <col min="11287" max="11287" width="7.33203125" style="21" customWidth="1"/>
    <col min="11288" max="11291" width="0" style="21" hidden="1" customWidth="1"/>
    <col min="11292" max="11292" width="7.33203125" style="21" customWidth="1"/>
    <col min="11293" max="11296" width="0" style="21" hidden="1" customWidth="1"/>
    <col min="11297" max="11297" width="7.33203125" style="21" customWidth="1"/>
    <col min="11298" max="11301" width="0" style="21" hidden="1" customWidth="1"/>
    <col min="11302" max="11304" width="7.33203125" style="21" customWidth="1"/>
    <col min="11305" max="11305" width="8.5" style="21" customWidth="1"/>
    <col min="11306" max="11306" width="8.33203125" style="21" customWidth="1"/>
    <col min="11307" max="11308" width="7" style="21" bestFit="1" customWidth="1"/>
    <col min="11309" max="11522" width="6.6640625" style="21"/>
    <col min="11523" max="11523" width="25.1640625" style="21" customWidth="1"/>
    <col min="11524" max="11528" width="7.33203125" style="21" customWidth="1"/>
    <col min="11529" max="11532" width="7.6640625" style="21" customWidth="1"/>
    <col min="11533" max="11533" width="8.1640625" style="21" bestFit="1" customWidth="1"/>
    <col min="11534" max="11537" width="7.6640625" style="21" customWidth="1"/>
    <col min="11538" max="11538" width="7.33203125" style="21" customWidth="1"/>
    <col min="11539" max="11542" width="0" style="21" hidden="1" customWidth="1"/>
    <col min="11543" max="11543" width="7.33203125" style="21" customWidth="1"/>
    <col min="11544" max="11547" width="0" style="21" hidden="1" customWidth="1"/>
    <col min="11548" max="11548" width="7.33203125" style="21" customWidth="1"/>
    <col min="11549" max="11552" width="0" style="21" hidden="1" customWidth="1"/>
    <col min="11553" max="11553" width="7.33203125" style="21" customWidth="1"/>
    <col min="11554" max="11557" width="0" style="21" hidden="1" customWidth="1"/>
    <col min="11558" max="11560" width="7.33203125" style="21" customWidth="1"/>
    <col min="11561" max="11561" width="8.5" style="21" customWidth="1"/>
    <col min="11562" max="11562" width="8.33203125" style="21" customWidth="1"/>
    <col min="11563" max="11564" width="7" style="21" bestFit="1" customWidth="1"/>
    <col min="11565" max="11778" width="6.6640625" style="21"/>
    <col min="11779" max="11779" width="25.1640625" style="21" customWidth="1"/>
    <col min="11780" max="11784" width="7.33203125" style="21" customWidth="1"/>
    <col min="11785" max="11788" width="7.6640625" style="21" customWidth="1"/>
    <col min="11789" max="11789" width="8.1640625" style="21" bestFit="1" customWidth="1"/>
    <col min="11790" max="11793" width="7.6640625" style="21" customWidth="1"/>
    <col min="11794" max="11794" width="7.33203125" style="21" customWidth="1"/>
    <col min="11795" max="11798" width="0" style="21" hidden="1" customWidth="1"/>
    <col min="11799" max="11799" width="7.33203125" style="21" customWidth="1"/>
    <col min="11800" max="11803" width="0" style="21" hidden="1" customWidth="1"/>
    <col min="11804" max="11804" width="7.33203125" style="21" customWidth="1"/>
    <col min="11805" max="11808" width="0" style="21" hidden="1" customWidth="1"/>
    <col min="11809" max="11809" width="7.33203125" style="21" customWidth="1"/>
    <col min="11810" max="11813" width="0" style="21" hidden="1" customWidth="1"/>
    <col min="11814" max="11816" width="7.33203125" style="21" customWidth="1"/>
    <col min="11817" max="11817" width="8.5" style="21" customWidth="1"/>
    <col min="11818" max="11818" width="8.33203125" style="21" customWidth="1"/>
    <col min="11819" max="11820" width="7" style="21" bestFit="1" customWidth="1"/>
    <col min="11821" max="12034" width="6.6640625" style="21"/>
    <col min="12035" max="12035" width="25.1640625" style="21" customWidth="1"/>
    <col min="12036" max="12040" width="7.33203125" style="21" customWidth="1"/>
    <col min="12041" max="12044" width="7.6640625" style="21" customWidth="1"/>
    <col min="12045" max="12045" width="8.1640625" style="21" bestFit="1" customWidth="1"/>
    <col min="12046" max="12049" width="7.6640625" style="21" customWidth="1"/>
    <col min="12050" max="12050" width="7.33203125" style="21" customWidth="1"/>
    <col min="12051" max="12054" width="0" style="21" hidden="1" customWidth="1"/>
    <col min="12055" max="12055" width="7.33203125" style="21" customWidth="1"/>
    <col min="12056" max="12059" width="0" style="21" hidden="1" customWidth="1"/>
    <col min="12060" max="12060" width="7.33203125" style="21" customWidth="1"/>
    <col min="12061" max="12064" width="0" style="21" hidden="1" customWidth="1"/>
    <col min="12065" max="12065" width="7.33203125" style="21" customWidth="1"/>
    <col min="12066" max="12069" width="0" style="21" hidden="1" customWidth="1"/>
    <col min="12070" max="12072" width="7.33203125" style="21" customWidth="1"/>
    <col min="12073" max="12073" width="8.5" style="21" customWidth="1"/>
    <col min="12074" max="12074" width="8.33203125" style="21" customWidth="1"/>
    <col min="12075" max="12076" width="7" style="21" bestFit="1" customWidth="1"/>
    <col min="12077" max="12290" width="6.6640625" style="21"/>
    <col min="12291" max="12291" width="25.1640625" style="21" customWidth="1"/>
    <col min="12292" max="12296" width="7.33203125" style="21" customWidth="1"/>
    <col min="12297" max="12300" width="7.6640625" style="21" customWidth="1"/>
    <col min="12301" max="12301" width="8.1640625" style="21" bestFit="1" customWidth="1"/>
    <col min="12302" max="12305" width="7.6640625" style="21" customWidth="1"/>
    <col min="12306" max="12306" width="7.33203125" style="21" customWidth="1"/>
    <col min="12307" max="12310" width="0" style="21" hidden="1" customWidth="1"/>
    <col min="12311" max="12311" width="7.33203125" style="21" customWidth="1"/>
    <col min="12312" max="12315" width="0" style="21" hidden="1" customWidth="1"/>
    <col min="12316" max="12316" width="7.33203125" style="21" customWidth="1"/>
    <col min="12317" max="12320" width="0" style="21" hidden="1" customWidth="1"/>
    <col min="12321" max="12321" width="7.33203125" style="21" customWidth="1"/>
    <col min="12322" max="12325" width="0" style="21" hidden="1" customWidth="1"/>
    <col min="12326" max="12328" width="7.33203125" style="21" customWidth="1"/>
    <col min="12329" max="12329" width="8.5" style="21" customWidth="1"/>
    <col min="12330" max="12330" width="8.33203125" style="21" customWidth="1"/>
    <col min="12331" max="12332" width="7" style="21" bestFit="1" customWidth="1"/>
    <col min="12333" max="12546" width="6.6640625" style="21"/>
    <col min="12547" max="12547" width="25.1640625" style="21" customWidth="1"/>
    <col min="12548" max="12552" width="7.33203125" style="21" customWidth="1"/>
    <col min="12553" max="12556" width="7.6640625" style="21" customWidth="1"/>
    <col min="12557" max="12557" width="8.1640625" style="21" bestFit="1" customWidth="1"/>
    <col min="12558" max="12561" width="7.6640625" style="21" customWidth="1"/>
    <col min="12562" max="12562" width="7.33203125" style="21" customWidth="1"/>
    <col min="12563" max="12566" width="0" style="21" hidden="1" customWidth="1"/>
    <col min="12567" max="12567" width="7.33203125" style="21" customWidth="1"/>
    <col min="12568" max="12571" width="0" style="21" hidden="1" customWidth="1"/>
    <col min="12572" max="12572" width="7.33203125" style="21" customWidth="1"/>
    <col min="12573" max="12576" width="0" style="21" hidden="1" customWidth="1"/>
    <col min="12577" max="12577" width="7.33203125" style="21" customWidth="1"/>
    <col min="12578" max="12581" width="0" style="21" hidden="1" customWidth="1"/>
    <col min="12582" max="12584" width="7.33203125" style="21" customWidth="1"/>
    <col min="12585" max="12585" width="8.5" style="21" customWidth="1"/>
    <col min="12586" max="12586" width="8.33203125" style="21" customWidth="1"/>
    <col min="12587" max="12588" width="7" style="21" bestFit="1" customWidth="1"/>
    <col min="12589" max="12802" width="6.6640625" style="21"/>
    <col min="12803" max="12803" width="25.1640625" style="21" customWidth="1"/>
    <col min="12804" max="12808" width="7.33203125" style="21" customWidth="1"/>
    <col min="12809" max="12812" width="7.6640625" style="21" customWidth="1"/>
    <col min="12813" max="12813" width="8.1640625" style="21" bestFit="1" customWidth="1"/>
    <col min="12814" max="12817" width="7.6640625" style="21" customWidth="1"/>
    <col min="12818" max="12818" width="7.33203125" style="21" customWidth="1"/>
    <col min="12819" max="12822" width="0" style="21" hidden="1" customWidth="1"/>
    <col min="12823" max="12823" width="7.33203125" style="21" customWidth="1"/>
    <col min="12824" max="12827" width="0" style="21" hidden="1" customWidth="1"/>
    <col min="12828" max="12828" width="7.33203125" style="21" customWidth="1"/>
    <col min="12829" max="12832" width="0" style="21" hidden="1" customWidth="1"/>
    <col min="12833" max="12833" width="7.33203125" style="21" customWidth="1"/>
    <col min="12834" max="12837" width="0" style="21" hidden="1" customWidth="1"/>
    <col min="12838" max="12840" width="7.33203125" style="21" customWidth="1"/>
    <col min="12841" max="12841" width="8.5" style="21" customWidth="1"/>
    <col min="12842" max="12842" width="8.33203125" style="21" customWidth="1"/>
    <col min="12843" max="12844" width="7" style="21" bestFit="1" customWidth="1"/>
    <col min="12845" max="13058" width="6.6640625" style="21"/>
    <col min="13059" max="13059" width="25.1640625" style="21" customWidth="1"/>
    <col min="13060" max="13064" width="7.33203125" style="21" customWidth="1"/>
    <col min="13065" max="13068" width="7.6640625" style="21" customWidth="1"/>
    <col min="13069" max="13069" width="8.1640625" style="21" bestFit="1" customWidth="1"/>
    <col min="13070" max="13073" width="7.6640625" style="21" customWidth="1"/>
    <col min="13074" max="13074" width="7.33203125" style="21" customWidth="1"/>
    <col min="13075" max="13078" width="0" style="21" hidden="1" customWidth="1"/>
    <col min="13079" max="13079" width="7.33203125" style="21" customWidth="1"/>
    <col min="13080" max="13083" width="0" style="21" hidden="1" customWidth="1"/>
    <col min="13084" max="13084" width="7.33203125" style="21" customWidth="1"/>
    <col min="13085" max="13088" width="0" style="21" hidden="1" customWidth="1"/>
    <col min="13089" max="13089" width="7.33203125" style="21" customWidth="1"/>
    <col min="13090" max="13093" width="0" style="21" hidden="1" customWidth="1"/>
    <col min="13094" max="13096" width="7.33203125" style="21" customWidth="1"/>
    <col min="13097" max="13097" width="8.5" style="21" customWidth="1"/>
    <col min="13098" max="13098" width="8.33203125" style="21" customWidth="1"/>
    <col min="13099" max="13100" width="7" style="21" bestFit="1" customWidth="1"/>
    <col min="13101" max="13314" width="6.6640625" style="21"/>
    <col min="13315" max="13315" width="25.1640625" style="21" customWidth="1"/>
    <col min="13316" max="13320" width="7.33203125" style="21" customWidth="1"/>
    <col min="13321" max="13324" width="7.6640625" style="21" customWidth="1"/>
    <col min="13325" max="13325" width="8.1640625" style="21" bestFit="1" customWidth="1"/>
    <col min="13326" max="13329" width="7.6640625" style="21" customWidth="1"/>
    <col min="13330" max="13330" width="7.33203125" style="21" customWidth="1"/>
    <col min="13331" max="13334" width="0" style="21" hidden="1" customWidth="1"/>
    <col min="13335" max="13335" width="7.33203125" style="21" customWidth="1"/>
    <col min="13336" max="13339" width="0" style="21" hidden="1" customWidth="1"/>
    <col min="13340" max="13340" width="7.33203125" style="21" customWidth="1"/>
    <col min="13341" max="13344" width="0" style="21" hidden="1" customWidth="1"/>
    <col min="13345" max="13345" width="7.33203125" style="21" customWidth="1"/>
    <col min="13346" max="13349" width="0" style="21" hidden="1" customWidth="1"/>
    <col min="13350" max="13352" width="7.33203125" style="21" customWidth="1"/>
    <col min="13353" max="13353" width="8.5" style="21" customWidth="1"/>
    <col min="13354" max="13354" width="8.33203125" style="21" customWidth="1"/>
    <col min="13355" max="13356" width="7" style="21" bestFit="1" customWidth="1"/>
    <col min="13357" max="13570" width="6.6640625" style="21"/>
    <col min="13571" max="13571" width="25.1640625" style="21" customWidth="1"/>
    <col min="13572" max="13576" width="7.33203125" style="21" customWidth="1"/>
    <col min="13577" max="13580" width="7.6640625" style="21" customWidth="1"/>
    <col min="13581" max="13581" width="8.1640625" style="21" bestFit="1" customWidth="1"/>
    <col min="13582" max="13585" width="7.6640625" style="21" customWidth="1"/>
    <col min="13586" max="13586" width="7.33203125" style="21" customWidth="1"/>
    <col min="13587" max="13590" width="0" style="21" hidden="1" customWidth="1"/>
    <col min="13591" max="13591" width="7.33203125" style="21" customWidth="1"/>
    <col min="13592" max="13595" width="0" style="21" hidden="1" customWidth="1"/>
    <col min="13596" max="13596" width="7.33203125" style="21" customWidth="1"/>
    <col min="13597" max="13600" width="0" style="21" hidden="1" customWidth="1"/>
    <col min="13601" max="13601" width="7.33203125" style="21" customWidth="1"/>
    <col min="13602" max="13605" width="0" style="21" hidden="1" customWidth="1"/>
    <col min="13606" max="13608" width="7.33203125" style="21" customWidth="1"/>
    <col min="13609" max="13609" width="8.5" style="21" customWidth="1"/>
    <col min="13610" max="13610" width="8.33203125" style="21" customWidth="1"/>
    <col min="13611" max="13612" width="7" style="21" bestFit="1" customWidth="1"/>
    <col min="13613" max="13826" width="6.6640625" style="21"/>
    <col min="13827" max="13827" width="25.1640625" style="21" customWidth="1"/>
    <col min="13828" max="13832" width="7.33203125" style="21" customWidth="1"/>
    <col min="13833" max="13836" width="7.6640625" style="21" customWidth="1"/>
    <col min="13837" max="13837" width="8.1640625" style="21" bestFit="1" customWidth="1"/>
    <col min="13838" max="13841" width="7.6640625" style="21" customWidth="1"/>
    <col min="13842" max="13842" width="7.33203125" style="21" customWidth="1"/>
    <col min="13843" max="13846" width="0" style="21" hidden="1" customWidth="1"/>
    <col min="13847" max="13847" width="7.33203125" style="21" customWidth="1"/>
    <col min="13848" max="13851" width="0" style="21" hidden="1" customWidth="1"/>
    <col min="13852" max="13852" width="7.33203125" style="21" customWidth="1"/>
    <col min="13853" max="13856" width="0" style="21" hidden="1" customWidth="1"/>
    <col min="13857" max="13857" width="7.33203125" style="21" customWidth="1"/>
    <col min="13858" max="13861" width="0" style="21" hidden="1" customWidth="1"/>
    <col min="13862" max="13864" width="7.33203125" style="21" customWidth="1"/>
    <col min="13865" max="13865" width="8.5" style="21" customWidth="1"/>
    <col min="13866" max="13866" width="8.33203125" style="21" customWidth="1"/>
    <col min="13867" max="13868" width="7" style="21" bestFit="1" customWidth="1"/>
    <col min="13869" max="14082" width="6.6640625" style="21"/>
    <col min="14083" max="14083" width="25.1640625" style="21" customWidth="1"/>
    <col min="14084" max="14088" width="7.33203125" style="21" customWidth="1"/>
    <col min="14089" max="14092" width="7.6640625" style="21" customWidth="1"/>
    <col min="14093" max="14093" width="8.1640625" style="21" bestFit="1" customWidth="1"/>
    <col min="14094" max="14097" width="7.6640625" style="21" customWidth="1"/>
    <col min="14098" max="14098" width="7.33203125" style="21" customWidth="1"/>
    <col min="14099" max="14102" width="0" style="21" hidden="1" customWidth="1"/>
    <col min="14103" max="14103" width="7.33203125" style="21" customWidth="1"/>
    <col min="14104" max="14107" width="0" style="21" hidden="1" customWidth="1"/>
    <col min="14108" max="14108" width="7.33203125" style="21" customWidth="1"/>
    <col min="14109" max="14112" width="0" style="21" hidden="1" customWidth="1"/>
    <col min="14113" max="14113" width="7.33203125" style="21" customWidth="1"/>
    <col min="14114" max="14117" width="0" style="21" hidden="1" customWidth="1"/>
    <col min="14118" max="14120" width="7.33203125" style="21" customWidth="1"/>
    <col min="14121" max="14121" width="8.5" style="21" customWidth="1"/>
    <col min="14122" max="14122" width="8.33203125" style="21" customWidth="1"/>
    <col min="14123" max="14124" width="7" style="21" bestFit="1" customWidth="1"/>
    <col min="14125" max="14338" width="6.6640625" style="21"/>
    <col min="14339" max="14339" width="25.1640625" style="21" customWidth="1"/>
    <col min="14340" max="14344" width="7.33203125" style="21" customWidth="1"/>
    <col min="14345" max="14348" width="7.6640625" style="21" customWidth="1"/>
    <col min="14349" max="14349" width="8.1640625" style="21" bestFit="1" customWidth="1"/>
    <col min="14350" max="14353" width="7.6640625" style="21" customWidth="1"/>
    <col min="14354" max="14354" width="7.33203125" style="21" customWidth="1"/>
    <col min="14355" max="14358" width="0" style="21" hidden="1" customWidth="1"/>
    <col min="14359" max="14359" width="7.33203125" style="21" customWidth="1"/>
    <col min="14360" max="14363" width="0" style="21" hidden="1" customWidth="1"/>
    <col min="14364" max="14364" width="7.33203125" style="21" customWidth="1"/>
    <col min="14365" max="14368" width="0" style="21" hidden="1" customWidth="1"/>
    <col min="14369" max="14369" width="7.33203125" style="21" customWidth="1"/>
    <col min="14370" max="14373" width="0" style="21" hidden="1" customWidth="1"/>
    <col min="14374" max="14376" width="7.33203125" style="21" customWidth="1"/>
    <col min="14377" max="14377" width="8.5" style="21" customWidth="1"/>
    <col min="14378" max="14378" width="8.33203125" style="21" customWidth="1"/>
    <col min="14379" max="14380" width="7" style="21" bestFit="1" customWidth="1"/>
    <col min="14381" max="14594" width="6.6640625" style="21"/>
    <col min="14595" max="14595" width="25.1640625" style="21" customWidth="1"/>
    <col min="14596" max="14600" width="7.33203125" style="21" customWidth="1"/>
    <col min="14601" max="14604" width="7.6640625" style="21" customWidth="1"/>
    <col min="14605" max="14605" width="8.1640625" style="21" bestFit="1" customWidth="1"/>
    <col min="14606" max="14609" width="7.6640625" style="21" customWidth="1"/>
    <col min="14610" max="14610" width="7.33203125" style="21" customWidth="1"/>
    <col min="14611" max="14614" width="0" style="21" hidden="1" customWidth="1"/>
    <col min="14615" max="14615" width="7.33203125" style="21" customWidth="1"/>
    <col min="14616" max="14619" width="0" style="21" hidden="1" customWidth="1"/>
    <col min="14620" max="14620" width="7.33203125" style="21" customWidth="1"/>
    <col min="14621" max="14624" width="0" style="21" hidden="1" customWidth="1"/>
    <col min="14625" max="14625" width="7.33203125" style="21" customWidth="1"/>
    <col min="14626" max="14629" width="0" style="21" hidden="1" customWidth="1"/>
    <col min="14630" max="14632" width="7.33203125" style="21" customWidth="1"/>
    <col min="14633" max="14633" width="8.5" style="21" customWidth="1"/>
    <col min="14634" max="14634" width="8.33203125" style="21" customWidth="1"/>
    <col min="14635" max="14636" width="7" style="21" bestFit="1" customWidth="1"/>
    <col min="14637" max="14850" width="6.6640625" style="21"/>
    <col min="14851" max="14851" width="25.1640625" style="21" customWidth="1"/>
    <col min="14852" max="14856" width="7.33203125" style="21" customWidth="1"/>
    <col min="14857" max="14860" width="7.6640625" style="21" customWidth="1"/>
    <col min="14861" max="14861" width="8.1640625" style="21" bestFit="1" customWidth="1"/>
    <col min="14862" max="14865" width="7.6640625" style="21" customWidth="1"/>
    <col min="14866" max="14866" width="7.33203125" style="21" customWidth="1"/>
    <col min="14867" max="14870" width="0" style="21" hidden="1" customWidth="1"/>
    <col min="14871" max="14871" width="7.33203125" style="21" customWidth="1"/>
    <col min="14872" max="14875" width="0" style="21" hidden="1" customWidth="1"/>
    <col min="14876" max="14876" width="7.33203125" style="21" customWidth="1"/>
    <col min="14877" max="14880" width="0" style="21" hidden="1" customWidth="1"/>
    <col min="14881" max="14881" width="7.33203125" style="21" customWidth="1"/>
    <col min="14882" max="14885" width="0" style="21" hidden="1" customWidth="1"/>
    <col min="14886" max="14888" width="7.33203125" style="21" customWidth="1"/>
    <col min="14889" max="14889" width="8.5" style="21" customWidth="1"/>
    <col min="14890" max="14890" width="8.33203125" style="21" customWidth="1"/>
    <col min="14891" max="14892" width="7" style="21" bestFit="1" customWidth="1"/>
    <col min="14893" max="15106" width="6.6640625" style="21"/>
    <col min="15107" max="15107" width="25.1640625" style="21" customWidth="1"/>
    <col min="15108" max="15112" width="7.33203125" style="21" customWidth="1"/>
    <col min="15113" max="15116" width="7.6640625" style="21" customWidth="1"/>
    <col min="15117" max="15117" width="8.1640625" style="21" bestFit="1" customWidth="1"/>
    <col min="15118" max="15121" width="7.6640625" style="21" customWidth="1"/>
    <col min="15122" max="15122" width="7.33203125" style="21" customWidth="1"/>
    <col min="15123" max="15126" width="0" style="21" hidden="1" customWidth="1"/>
    <col min="15127" max="15127" width="7.33203125" style="21" customWidth="1"/>
    <col min="15128" max="15131" width="0" style="21" hidden="1" customWidth="1"/>
    <col min="15132" max="15132" width="7.33203125" style="21" customWidth="1"/>
    <col min="15133" max="15136" width="0" style="21" hidden="1" customWidth="1"/>
    <col min="15137" max="15137" width="7.33203125" style="21" customWidth="1"/>
    <col min="15138" max="15141" width="0" style="21" hidden="1" customWidth="1"/>
    <col min="15142" max="15144" width="7.33203125" style="21" customWidth="1"/>
    <col min="15145" max="15145" width="8.5" style="21" customWidth="1"/>
    <col min="15146" max="15146" width="8.33203125" style="21" customWidth="1"/>
    <col min="15147" max="15148" width="7" style="21" bestFit="1" customWidth="1"/>
    <col min="15149" max="15362" width="6.6640625" style="21"/>
    <col min="15363" max="15363" width="25.1640625" style="21" customWidth="1"/>
    <col min="15364" max="15368" width="7.33203125" style="21" customWidth="1"/>
    <col min="15369" max="15372" width="7.6640625" style="21" customWidth="1"/>
    <col min="15373" max="15373" width="8.1640625" style="21" bestFit="1" customWidth="1"/>
    <col min="15374" max="15377" width="7.6640625" style="21" customWidth="1"/>
    <col min="15378" max="15378" width="7.33203125" style="21" customWidth="1"/>
    <col min="15379" max="15382" width="0" style="21" hidden="1" customWidth="1"/>
    <col min="15383" max="15383" width="7.33203125" style="21" customWidth="1"/>
    <col min="15384" max="15387" width="0" style="21" hidden="1" customWidth="1"/>
    <col min="15388" max="15388" width="7.33203125" style="21" customWidth="1"/>
    <col min="15389" max="15392" width="0" style="21" hidden="1" customWidth="1"/>
    <col min="15393" max="15393" width="7.33203125" style="21" customWidth="1"/>
    <col min="15394" max="15397" width="0" style="21" hidden="1" customWidth="1"/>
    <col min="15398" max="15400" width="7.33203125" style="21" customWidth="1"/>
    <col min="15401" max="15401" width="8.5" style="21" customWidth="1"/>
    <col min="15402" max="15402" width="8.33203125" style="21" customWidth="1"/>
    <col min="15403" max="15404" width="7" style="21" bestFit="1" customWidth="1"/>
    <col min="15405" max="15618" width="6.6640625" style="21"/>
    <col min="15619" max="15619" width="25.1640625" style="21" customWidth="1"/>
    <col min="15620" max="15624" width="7.33203125" style="21" customWidth="1"/>
    <col min="15625" max="15628" width="7.6640625" style="21" customWidth="1"/>
    <col min="15629" max="15629" width="8.1640625" style="21" bestFit="1" customWidth="1"/>
    <col min="15630" max="15633" width="7.6640625" style="21" customWidth="1"/>
    <col min="15634" max="15634" width="7.33203125" style="21" customWidth="1"/>
    <col min="15635" max="15638" width="0" style="21" hidden="1" customWidth="1"/>
    <col min="15639" max="15639" width="7.33203125" style="21" customWidth="1"/>
    <col min="15640" max="15643" width="0" style="21" hidden="1" customWidth="1"/>
    <col min="15644" max="15644" width="7.33203125" style="21" customWidth="1"/>
    <col min="15645" max="15648" width="0" style="21" hidden="1" customWidth="1"/>
    <col min="15649" max="15649" width="7.33203125" style="21" customWidth="1"/>
    <col min="15650" max="15653" width="0" style="21" hidden="1" customWidth="1"/>
    <col min="15654" max="15656" width="7.33203125" style="21" customWidth="1"/>
    <col min="15657" max="15657" width="8.5" style="21" customWidth="1"/>
    <col min="15658" max="15658" width="8.33203125" style="21" customWidth="1"/>
    <col min="15659" max="15660" width="7" style="21" bestFit="1" customWidth="1"/>
    <col min="15661" max="15874" width="6.6640625" style="21"/>
    <col min="15875" max="15875" width="25.1640625" style="21" customWidth="1"/>
    <col min="15876" max="15880" width="7.33203125" style="21" customWidth="1"/>
    <col min="15881" max="15884" width="7.6640625" style="21" customWidth="1"/>
    <col min="15885" max="15885" width="8.1640625" style="21" bestFit="1" customWidth="1"/>
    <col min="15886" max="15889" width="7.6640625" style="21" customWidth="1"/>
    <col min="15890" max="15890" width="7.33203125" style="21" customWidth="1"/>
    <col min="15891" max="15894" width="0" style="21" hidden="1" customWidth="1"/>
    <col min="15895" max="15895" width="7.33203125" style="21" customWidth="1"/>
    <col min="15896" max="15899" width="0" style="21" hidden="1" customWidth="1"/>
    <col min="15900" max="15900" width="7.33203125" style="21" customWidth="1"/>
    <col min="15901" max="15904" width="0" style="21" hidden="1" customWidth="1"/>
    <col min="15905" max="15905" width="7.33203125" style="21" customWidth="1"/>
    <col min="15906" max="15909" width="0" style="21" hidden="1" customWidth="1"/>
    <col min="15910" max="15912" width="7.33203125" style="21" customWidth="1"/>
    <col min="15913" max="15913" width="8.5" style="21" customWidth="1"/>
    <col min="15914" max="15914" width="8.33203125" style="21" customWidth="1"/>
    <col min="15915" max="15916" width="7" style="21" bestFit="1" customWidth="1"/>
    <col min="15917" max="16130" width="6.6640625" style="21"/>
    <col min="16131" max="16131" width="25.1640625" style="21" customWidth="1"/>
    <col min="16132" max="16136" width="7.33203125" style="21" customWidth="1"/>
    <col min="16137" max="16140" width="7.6640625" style="21" customWidth="1"/>
    <col min="16141" max="16141" width="8.1640625" style="21" bestFit="1" customWidth="1"/>
    <col min="16142" max="16145" width="7.6640625" style="21" customWidth="1"/>
    <col min="16146" max="16146" width="7.33203125" style="21" customWidth="1"/>
    <col min="16147" max="16150" width="0" style="21" hidden="1" customWidth="1"/>
    <col min="16151" max="16151" width="7.33203125" style="21" customWidth="1"/>
    <col min="16152" max="16155" width="0" style="21" hidden="1" customWidth="1"/>
    <col min="16156" max="16156" width="7.33203125" style="21" customWidth="1"/>
    <col min="16157" max="16160" width="0" style="21" hidden="1" customWidth="1"/>
    <col min="16161" max="16161" width="7.33203125" style="21" customWidth="1"/>
    <col min="16162" max="16165" width="0" style="21" hidden="1" customWidth="1"/>
    <col min="16166" max="16168" width="7.33203125" style="21" customWidth="1"/>
    <col min="16169" max="16169" width="8.5" style="21" customWidth="1"/>
    <col min="16170" max="16170" width="8.33203125" style="21" customWidth="1"/>
    <col min="16171" max="16172" width="7" style="21" bestFit="1" customWidth="1"/>
    <col min="16173" max="16384" width="6.6640625" style="21"/>
  </cols>
  <sheetData>
    <row r="1" spans="1:44" x14ac:dyDescent="0.2">
      <c r="A1" s="19"/>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row>
    <row r="2" spans="1:44" s="17" customFormat="1" ht="19" x14ac:dyDescent="0.25">
      <c r="A2" s="16" t="s">
        <v>388</v>
      </c>
    </row>
    <row r="3" spans="1:44" s="18" customFormat="1" x14ac:dyDescent="0.2">
      <c r="A3" s="22" t="s">
        <v>334</v>
      </c>
    </row>
    <row r="4" spans="1:44" x14ac:dyDescent="0.2">
      <c r="B4" s="508">
        <v>2017</v>
      </c>
      <c r="C4" s="508"/>
      <c r="D4" s="508"/>
      <c r="E4" s="508"/>
      <c r="G4" s="508">
        <v>2018</v>
      </c>
      <c r="H4" s="508"/>
      <c r="I4" s="508"/>
      <c r="J4" s="508"/>
      <c r="L4" s="508">
        <v>2019</v>
      </c>
      <c r="M4" s="508"/>
      <c r="N4" s="508"/>
      <c r="O4" s="508"/>
      <c r="Q4" s="508">
        <v>2020</v>
      </c>
      <c r="R4" s="508"/>
      <c r="S4" s="508"/>
      <c r="T4" s="508"/>
      <c r="V4" s="508" t="s">
        <v>35</v>
      </c>
      <c r="W4" s="508"/>
      <c r="X4" s="508"/>
      <c r="Y4" s="508"/>
      <c r="AA4" s="508" t="s">
        <v>36</v>
      </c>
      <c r="AB4" s="508"/>
      <c r="AC4" s="508"/>
      <c r="AD4" s="508"/>
      <c r="AF4" s="508" t="s">
        <v>45</v>
      </c>
      <c r="AG4" s="508"/>
      <c r="AH4" s="508"/>
      <c r="AI4" s="508"/>
      <c r="AQ4" s="509" t="s">
        <v>335</v>
      </c>
      <c r="AR4" s="509"/>
    </row>
    <row r="5" spans="1:44" x14ac:dyDescent="0.2">
      <c r="A5" s="21"/>
      <c r="B5" s="25" t="s">
        <v>41</v>
      </c>
      <c r="C5" s="25" t="s">
        <v>42</v>
      </c>
      <c r="D5" s="25" t="s">
        <v>43</v>
      </c>
      <c r="E5" s="25" t="s">
        <v>44</v>
      </c>
      <c r="F5" s="26">
        <v>2017</v>
      </c>
      <c r="G5" s="27" t="s">
        <v>41</v>
      </c>
      <c r="H5" s="27" t="s">
        <v>42</v>
      </c>
      <c r="I5" s="27" t="s">
        <v>43</v>
      </c>
      <c r="J5" s="27" t="s">
        <v>44</v>
      </c>
      <c r="K5" s="26">
        <v>2018</v>
      </c>
      <c r="L5" s="27" t="s">
        <v>41</v>
      </c>
      <c r="M5" s="27" t="s">
        <v>42</v>
      </c>
      <c r="N5" s="27" t="s">
        <v>43</v>
      </c>
      <c r="O5" s="27" t="s">
        <v>44</v>
      </c>
      <c r="P5" s="26">
        <v>2019</v>
      </c>
      <c r="Q5" s="27" t="s">
        <v>41</v>
      </c>
      <c r="R5" s="27" t="s">
        <v>42</v>
      </c>
      <c r="S5" s="27" t="s">
        <v>43</v>
      </c>
      <c r="T5" s="27" t="s">
        <v>44</v>
      </c>
      <c r="U5" s="26">
        <v>2020</v>
      </c>
      <c r="V5" s="27" t="s">
        <v>41</v>
      </c>
      <c r="W5" s="27" t="s">
        <v>42</v>
      </c>
      <c r="X5" s="27" t="s">
        <v>43</v>
      </c>
      <c r="Y5" s="27" t="s">
        <v>44</v>
      </c>
      <c r="Z5" s="26" t="s">
        <v>35</v>
      </c>
      <c r="AA5" s="27" t="s">
        <v>41</v>
      </c>
      <c r="AB5" s="27" t="s">
        <v>42</v>
      </c>
      <c r="AC5" s="27" t="s">
        <v>43</v>
      </c>
      <c r="AD5" s="27" t="s">
        <v>44</v>
      </c>
      <c r="AE5" s="26">
        <v>2022</v>
      </c>
      <c r="AF5" s="27" t="s">
        <v>37</v>
      </c>
      <c r="AG5" s="27" t="s">
        <v>38</v>
      </c>
      <c r="AH5" s="27" t="s">
        <v>39</v>
      </c>
      <c r="AI5" s="27" t="s">
        <v>40</v>
      </c>
      <c r="AJ5" s="218" t="s">
        <v>45</v>
      </c>
      <c r="AK5" s="218" t="s">
        <v>46</v>
      </c>
      <c r="AL5" s="218" t="s">
        <v>47</v>
      </c>
      <c r="AM5" s="218" t="s">
        <v>48</v>
      </c>
      <c r="AN5" s="218" t="s">
        <v>49</v>
      </c>
      <c r="AO5" s="236"/>
      <c r="AP5" s="236"/>
      <c r="AQ5" s="26" t="s">
        <v>336</v>
      </c>
      <c r="AR5" s="24" t="s">
        <v>337</v>
      </c>
    </row>
    <row r="6" spans="1:44" s="275" customFormat="1" x14ac:dyDescent="0.2">
      <c r="A6" s="275" t="s">
        <v>338</v>
      </c>
      <c r="B6" s="276"/>
      <c r="C6" s="25"/>
      <c r="D6" s="276"/>
      <c r="E6" s="276"/>
      <c r="F6" s="276">
        <v>-15912</v>
      </c>
      <c r="G6" s="276"/>
      <c r="H6" s="276"/>
      <c r="I6" s="276"/>
      <c r="J6" s="276"/>
      <c r="K6" s="276">
        <f>'Financial Statements'!I88-'Financial Statements'!I113-'Financial Statements'!I108</f>
        <v>-16250</v>
      </c>
      <c r="P6" s="276">
        <f>'Financial Statements'!J88-'Financial Statements'!J113-'Financial Statements'!J108</f>
        <v>-15896</v>
      </c>
      <c r="U6" s="276">
        <f>'Financial Statements'!K88-'Financial Statements'!K113-'Financial Statements'!K108</f>
        <v>-23729</v>
      </c>
      <c r="Z6" s="276">
        <f>'Financial Statements'!L88-'Financial Statements'!L113-'Financial Statements'!L108</f>
        <v>-25006</v>
      </c>
      <c r="AB6" s="276"/>
      <c r="AC6" s="276"/>
      <c r="AD6" s="276"/>
      <c r="AE6" s="276">
        <f>'Financial Statements'!M88-'Financial Statements'!M113-'Financial Statements'!M108</f>
        <v>-17499</v>
      </c>
      <c r="AF6" s="276"/>
      <c r="AG6" s="276"/>
      <c r="AH6" s="276"/>
      <c r="AJ6" s="278">
        <f>'Financial Statements'!N86-'Financial Statements'!N111-'Financial Statements'!N106</f>
        <v>-26771.397963540294</v>
      </c>
      <c r="AK6" s="278">
        <f>'Financial Statements'!O86-'Financial Statements'!O111-'Financial Statements'!O106</f>
        <v>-26937.417678888141</v>
      </c>
      <c r="AL6" s="278">
        <f>'Financial Statements'!P86-'Financial Statements'!P111-'Financial Statements'!P106</f>
        <v>-27439.989018057022</v>
      </c>
      <c r="AM6" s="278">
        <f>'Financial Statements'!Q86-'Financial Statements'!Q111-'Financial Statements'!Q106</f>
        <v>-27765.128605979095</v>
      </c>
      <c r="AN6" s="278">
        <f>'Financial Statements'!R86-'Financial Statements'!R111-'Financial Statements'!R106</f>
        <v>-27953.396479524799</v>
      </c>
      <c r="AO6" s="276"/>
      <c r="AP6" s="276"/>
      <c r="AQ6" s="277"/>
      <c r="AR6" s="277"/>
    </row>
    <row r="7" spans="1:44" ht="6.75" customHeight="1" x14ac:dyDescent="0.2">
      <c r="A7" s="21"/>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19"/>
      <c r="AK7" s="219"/>
      <c r="AL7" s="219"/>
      <c r="AM7" s="219"/>
      <c r="AN7" s="219"/>
      <c r="AO7" s="22"/>
      <c r="AP7" s="22"/>
      <c r="AQ7" s="28"/>
      <c r="AR7" s="29"/>
    </row>
    <row r="8" spans="1:44" x14ac:dyDescent="0.2">
      <c r="A8" s="270" t="s">
        <v>339</v>
      </c>
      <c r="B8" s="22">
        <v>1335</v>
      </c>
      <c r="C8" s="22">
        <v>1511</v>
      </c>
      <c r="D8" s="22">
        <v>1525</v>
      </c>
      <c r="E8" s="22">
        <v>1524</v>
      </c>
      <c r="F8" s="22">
        <v>5896</v>
      </c>
      <c r="G8" s="22">
        <f>Products!CI199</f>
        <v>1424</v>
      </c>
      <c r="H8" s="22">
        <f>Products!CJ199</f>
        <v>1535</v>
      </c>
      <c r="I8" s="22">
        <f>Products!CK199</f>
        <v>1491</v>
      </c>
      <c r="J8" s="22">
        <f>Products!CL199</f>
        <v>1465</v>
      </c>
      <c r="K8" s="22">
        <f>Products!CM199</f>
        <v>5915</v>
      </c>
      <c r="L8" s="22">
        <f>Products!CN199</f>
        <v>1354</v>
      </c>
      <c r="M8" s="22">
        <f>Products!CO199</f>
        <v>1441</v>
      </c>
      <c r="N8" s="22">
        <f>Products!CP199</f>
        <v>1311</v>
      </c>
      <c r="O8" s="22">
        <f>Products!CQ199</f>
        <v>1418</v>
      </c>
      <c r="P8" s="22">
        <f>Products!CR199</f>
        <v>5525</v>
      </c>
      <c r="Q8" s="22">
        <f>Products!CS199</f>
        <v>1277</v>
      </c>
      <c r="R8" s="22">
        <f>Products!CT199</f>
        <v>1345</v>
      </c>
      <c r="S8" s="22">
        <f>Products!CU199</f>
        <v>1326</v>
      </c>
      <c r="T8" s="22">
        <f>Products!CV199</f>
        <v>1329</v>
      </c>
      <c r="U8" s="22">
        <f>Products!CW199</f>
        <v>5277</v>
      </c>
      <c r="V8" s="22">
        <f>Products!CX199</f>
        <v>1294</v>
      </c>
      <c r="W8" s="22">
        <f>Products!CY199</f>
        <v>1261</v>
      </c>
      <c r="X8" s="22">
        <f>Products!CZ199</f>
        <v>1339</v>
      </c>
      <c r="Y8" s="22">
        <f>Products!DA199</f>
        <v>1393</v>
      </c>
      <c r="Z8" s="22">
        <f>Products!DB199</f>
        <v>5287</v>
      </c>
      <c r="AA8" s="22">
        <f>Products!DC199</f>
        <v>1233</v>
      </c>
      <c r="AB8" s="22">
        <f>Products!DD199</f>
        <v>1232</v>
      </c>
      <c r="AC8" s="22">
        <f>Products!DE199</f>
        <v>1134</v>
      </c>
      <c r="AD8" s="22">
        <f>Products!DF199</f>
        <v>913</v>
      </c>
      <c r="AE8" s="22">
        <f>Products!DG199</f>
        <v>4512</v>
      </c>
      <c r="AF8" s="22">
        <f>Products!DH199</f>
        <v>1040.72</v>
      </c>
      <c r="AG8" s="22">
        <f>Products!DI199</f>
        <v>1042.44</v>
      </c>
      <c r="AH8" s="22">
        <f>Products!DJ199</f>
        <v>966.28</v>
      </c>
      <c r="AI8" s="22">
        <f>Products!DK199</f>
        <v>784.57999999999993</v>
      </c>
      <c r="AJ8" s="219">
        <f>Products!DL199</f>
        <v>3834.0199999999995</v>
      </c>
      <c r="AK8" s="219">
        <f>Products!DM199</f>
        <v>3278.1707999999999</v>
      </c>
      <c r="AL8" s="219">
        <f>Products!DN199</f>
        <v>2820.8341520000004</v>
      </c>
      <c r="AM8" s="219">
        <f>Products!DO199</f>
        <v>1708.2986759999999</v>
      </c>
      <c r="AN8" s="219">
        <f>Products!DP199</f>
        <v>929.52384280000001</v>
      </c>
      <c r="AO8" s="22"/>
      <c r="AP8" s="22"/>
      <c r="AQ8" s="28">
        <f t="shared" ref="AQ8:AQ20" si="0">(AL8/AE8)^(1/3)-1</f>
        <v>-0.14492773356244348</v>
      </c>
      <c r="AR8" s="29">
        <f t="shared" ref="AR8:AR20" si="1">(AN8/AE8)^(1/5)-1</f>
        <v>-0.27091478953942483</v>
      </c>
    </row>
    <row r="9" spans="1:44" x14ac:dyDescent="0.2">
      <c r="A9" s="21" t="s">
        <v>340</v>
      </c>
      <c r="B9" s="22">
        <v>229</v>
      </c>
      <c r="C9" s="22">
        <v>208</v>
      </c>
      <c r="D9" s="22">
        <v>214</v>
      </c>
      <c r="E9" s="22">
        <v>186</v>
      </c>
      <c r="F9" s="22">
        <v>837</v>
      </c>
      <c r="G9" s="22">
        <f>Products!CI141</f>
        <v>167</v>
      </c>
      <c r="H9" s="22">
        <f>Products!CJ141</f>
        <v>157</v>
      </c>
      <c r="I9" s="22">
        <f>Products!CK141</f>
        <v>135</v>
      </c>
      <c r="J9" s="22">
        <f>Products!CL141</f>
        <v>123</v>
      </c>
      <c r="K9" s="22">
        <f>Products!CM141</f>
        <v>582</v>
      </c>
      <c r="L9" s="22">
        <f>Products!CN141</f>
        <v>123</v>
      </c>
      <c r="M9" s="22">
        <f>Products!CO141</f>
        <v>98</v>
      </c>
      <c r="N9" s="22">
        <f>Products!CP141</f>
        <v>101</v>
      </c>
      <c r="O9" s="22">
        <f>Products!CQ141</f>
        <v>89</v>
      </c>
      <c r="P9" s="22">
        <f>Products!CR141</f>
        <v>411</v>
      </c>
      <c r="Q9" s="22">
        <f>Products!CS141</f>
        <v>88</v>
      </c>
      <c r="R9" s="22">
        <f>Products!CT141</f>
        <v>73</v>
      </c>
      <c r="S9" s="22">
        <f>Products!CU141</f>
        <v>82</v>
      </c>
      <c r="T9" s="22">
        <f>Products!CV141</f>
        <v>88</v>
      </c>
      <c r="U9" s="22">
        <f>Products!CW141</f>
        <v>331</v>
      </c>
      <c r="V9" s="22">
        <f>Products!CX141</f>
        <v>85</v>
      </c>
      <c r="W9" s="22">
        <f>Products!CY141</f>
        <v>75</v>
      </c>
      <c r="X9" s="22">
        <f>Products!CZ141</f>
        <v>73</v>
      </c>
      <c r="Y9" s="22">
        <f>Products!DA141</f>
        <v>67</v>
      </c>
      <c r="Z9" s="22">
        <f>Products!DB141</f>
        <v>300</v>
      </c>
      <c r="AA9" s="22">
        <f>Products!DC141</f>
        <v>61</v>
      </c>
      <c r="AB9" s="22">
        <f>Products!DD141</f>
        <v>53</v>
      </c>
      <c r="AC9" s="22">
        <f>Products!DE141</f>
        <v>49</v>
      </c>
      <c r="AD9" s="22">
        <f>Products!DF141</f>
        <v>44</v>
      </c>
      <c r="AE9" s="22">
        <f>Products!DG141</f>
        <v>207</v>
      </c>
      <c r="AF9" s="22">
        <f>Products!DH141</f>
        <v>56.120000000000005</v>
      </c>
      <c r="AG9" s="22">
        <f>Products!DI141</f>
        <v>48.760000000000005</v>
      </c>
      <c r="AH9" s="22">
        <f>Products!DJ141</f>
        <v>45.080000000000005</v>
      </c>
      <c r="AI9" s="22">
        <f>Products!DK141</f>
        <v>40.480000000000004</v>
      </c>
      <c r="AJ9" s="219">
        <f>Products!DL141</f>
        <v>190.44</v>
      </c>
      <c r="AK9" s="219">
        <f>Products!DM141</f>
        <v>175.20480000000001</v>
      </c>
      <c r="AL9" s="219">
        <f>Products!DN141</f>
        <v>161.18841600000002</v>
      </c>
      <c r="AM9" s="219">
        <f>Products!DO141</f>
        <v>148.29334272000003</v>
      </c>
      <c r="AN9" s="219">
        <f>Products!DP141</f>
        <v>136.42987530240003</v>
      </c>
      <c r="AO9" s="22"/>
      <c r="AP9" s="22"/>
      <c r="AQ9" s="28">
        <f t="shared" si="0"/>
        <v>-7.999999999999996E-2</v>
      </c>
      <c r="AR9" s="29">
        <f t="shared" si="1"/>
        <v>-7.999999999999996E-2</v>
      </c>
    </row>
    <row r="10" spans="1:44" x14ac:dyDescent="0.2">
      <c r="A10" s="21" t="s">
        <v>341</v>
      </c>
      <c r="B10" s="22">
        <v>532</v>
      </c>
      <c r="C10" s="22">
        <v>468</v>
      </c>
      <c r="D10" s="22">
        <v>675</v>
      </c>
      <c r="E10" s="22">
        <v>632</v>
      </c>
      <c r="F10" s="22">
        <v>2307</v>
      </c>
      <c r="G10" s="22">
        <f>Products!CI43</f>
        <v>660</v>
      </c>
      <c r="H10" s="22">
        <f>Products!CJ43</f>
        <v>608</v>
      </c>
      <c r="I10" s="22">
        <f>Products!CK43</f>
        <v>1048</v>
      </c>
      <c r="J10" s="22">
        <f>Products!CL43</f>
        <v>834</v>
      </c>
      <c r="K10" s="22">
        <f>Products!CM43</f>
        <v>3150</v>
      </c>
      <c r="L10" s="22">
        <f>Products!CN43</f>
        <v>838</v>
      </c>
      <c r="M10" s="22">
        <f>Products!CO43</f>
        <v>886</v>
      </c>
      <c r="N10" s="22">
        <f>Products!CP43</f>
        <v>1319</v>
      </c>
      <c r="O10" s="22">
        <f>Products!CQ43</f>
        <v>693</v>
      </c>
      <c r="P10" s="22">
        <f>Products!CR43</f>
        <v>3736</v>
      </c>
      <c r="Q10" s="22">
        <f>Products!CS43</f>
        <v>1097</v>
      </c>
      <c r="R10" s="22">
        <f>Products!CT43</f>
        <v>656</v>
      </c>
      <c r="S10" s="22">
        <f>Products!CU43</f>
        <v>1187</v>
      </c>
      <c r="T10" s="22">
        <f>Products!CV43</f>
        <v>998</v>
      </c>
      <c r="U10" s="22">
        <f>Products!CW43</f>
        <v>3938</v>
      </c>
      <c r="V10" s="22">
        <f>Products!CX43</f>
        <v>917</v>
      </c>
      <c r="W10" s="22">
        <f>Products!CY43</f>
        <v>1235</v>
      </c>
      <c r="X10" s="22">
        <f>Products!CZ43</f>
        <v>1993</v>
      </c>
      <c r="Y10" s="22">
        <f>Products!DA43</f>
        <v>1528</v>
      </c>
      <c r="Z10" s="22">
        <f>Products!DB43</f>
        <v>5673</v>
      </c>
      <c r="AA10" s="22">
        <f>Products!DC43</f>
        <v>1460</v>
      </c>
      <c r="AB10" s="22">
        <f>Products!DD43</f>
        <v>1673</v>
      </c>
      <c r="AC10" s="22">
        <f>Products!DE43</f>
        <v>2294</v>
      </c>
      <c r="AD10" s="22">
        <f>Products!DF43</f>
        <v>1469</v>
      </c>
      <c r="AE10" s="22">
        <f>Products!DG43</f>
        <v>6896</v>
      </c>
      <c r="AF10" s="22">
        <f>Products!DH43</f>
        <v>1689.3</v>
      </c>
      <c r="AG10" s="22">
        <f>Products!DI43</f>
        <v>1943.4</v>
      </c>
      <c r="AH10" s="22">
        <f>Products!DJ43</f>
        <v>2609.25</v>
      </c>
      <c r="AI10" s="22">
        <f>Products!DK43</f>
        <v>1723.5</v>
      </c>
      <c r="AJ10" s="219">
        <f>Products!DL43</f>
        <v>7965.45</v>
      </c>
      <c r="AK10" s="219">
        <f>Products!DM43</f>
        <v>9189.9374999999982</v>
      </c>
      <c r="AL10" s="219">
        <f>Products!DN43</f>
        <v>9952.6004249999987</v>
      </c>
      <c r="AM10" s="219">
        <f>Products!DO43</f>
        <v>10404.224517749999</v>
      </c>
      <c r="AN10" s="219">
        <f>Products!DP43</f>
        <v>10853.356584105</v>
      </c>
      <c r="AO10" s="22"/>
      <c r="AP10" s="22"/>
      <c r="AQ10" s="28">
        <f t="shared" si="0"/>
        <v>0.13009019068328764</v>
      </c>
      <c r="AR10" s="29">
        <f t="shared" si="1"/>
        <v>9.4947670112103033E-2</v>
      </c>
    </row>
    <row r="11" spans="1:44" x14ac:dyDescent="0.2">
      <c r="A11" s="21" t="s">
        <v>342</v>
      </c>
      <c r="B11" s="22">
        <v>305</v>
      </c>
      <c r="C11" s="22">
        <v>282</v>
      </c>
      <c r="D11" s="22">
        <v>310</v>
      </c>
      <c r="E11" s="22">
        <v>308</v>
      </c>
      <c r="F11" s="22">
        <v>1205</v>
      </c>
      <c r="G11" s="22">
        <f>Products!CI161</f>
        <v>280.60000000000002</v>
      </c>
      <c r="H11" s="22">
        <f>Products!CJ161</f>
        <v>305</v>
      </c>
      <c r="I11" s="22">
        <f>Products!CK161</f>
        <v>274</v>
      </c>
      <c r="J11" s="22">
        <f>Products!CL161</f>
        <v>280</v>
      </c>
      <c r="K11" s="22">
        <f>Products!CM161</f>
        <v>1139.5999999999999</v>
      </c>
      <c r="L11" s="22">
        <f>Products!CN161</f>
        <v>255</v>
      </c>
      <c r="M11" s="22">
        <f>Products!CO161</f>
        <v>247</v>
      </c>
      <c r="N11" s="22">
        <f>Products!CP161</f>
        <v>251</v>
      </c>
      <c r="O11" s="22">
        <f>Products!CQ161</f>
        <v>223</v>
      </c>
      <c r="P11" s="22">
        <f>Products!CR161</f>
        <v>976</v>
      </c>
      <c r="Q11" s="22">
        <f>Products!CS161</f>
        <v>245</v>
      </c>
      <c r="R11" s="22">
        <f>Products!CT161</f>
        <v>196</v>
      </c>
      <c r="S11" s="22">
        <f>Products!CU161</f>
        <v>205</v>
      </c>
      <c r="T11" s="22">
        <f>Products!CV161</f>
        <v>211</v>
      </c>
      <c r="U11" s="22">
        <f>Products!CW161</f>
        <v>857</v>
      </c>
      <c r="V11" s="22">
        <f>Products!CX161</f>
        <v>209</v>
      </c>
      <c r="W11" s="22">
        <f>Products!CY161</f>
        <v>192</v>
      </c>
      <c r="X11" s="22">
        <f>Products!CZ161</f>
        <v>189</v>
      </c>
      <c r="Y11" s="22">
        <f>Products!DA161</f>
        <v>178</v>
      </c>
      <c r="Z11" s="22">
        <f>Products!DB161</f>
        <v>768</v>
      </c>
      <c r="AA11" s="22">
        <f>Products!DC161</f>
        <v>158</v>
      </c>
      <c r="AB11" s="22">
        <f>Products!DD161</f>
        <v>147</v>
      </c>
      <c r="AC11" s="22">
        <f>Products!DE161</f>
        <v>161</v>
      </c>
      <c r="AD11" s="22">
        <f>Products!DF161</f>
        <v>167</v>
      </c>
      <c r="AE11" s="22">
        <f>Products!DG161</f>
        <v>633</v>
      </c>
      <c r="AF11" s="22">
        <f>Products!DH161</f>
        <v>95.9</v>
      </c>
      <c r="AG11" s="22">
        <f>Products!DI161</f>
        <v>84.1</v>
      </c>
      <c r="AH11" s="22">
        <f>Products!DJ161</f>
        <v>94.800000000000011</v>
      </c>
      <c r="AI11" s="22">
        <f>Products!DK161</f>
        <v>94.600000000000009</v>
      </c>
      <c r="AJ11" s="219">
        <f>Products!DL161</f>
        <v>369.40000000000003</v>
      </c>
      <c r="AK11" s="219">
        <f>Products!DM161</f>
        <v>254.42000000000004</v>
      </c>
      <c r="AL11" s="219">
        <f>Products!DN161</f>
        <v>191.20600000000005</v>
      </c>
      <c r="AM11" s="219">
        <f>Products!DO161</f>
        <v>149.26580000000004</v>
      </c>
      <c r="AN11" s="219">
        <f>Products!DP161</f>
        <v>118.30294000000004</v>
      </c>
      <c r="AO11" s="22"/>
      <c r="AP11" s="22"/>
      <c r="AQ11" s="28">
        <f t="shared" si="0"/>
        <v>-0.32903592331252229</v>
      </c>
      <c r="AR11" s="29">
        <f t="shared" si="1"/>
        <v>-0.28497971057998039</v>
      </c>
    </row>
    <row r="12" spans="1:44" x14ac:dyDescent="0.2">
      <c r="A12" s="23" t="s">
        <v>343</v>
      </c>
      <c r="B12" s="22">
        <v>584</v>
      </c>
      <c r="C12" s="22">
        <v>881</v>
      </c>
      <c r="D12" s="22">
        <v>1046</v>
      </c>
      <c r="E12" s="22">
        <v>1297</v>
      </c>
      <c r="F12" s="22">
        <v>3808</v>
      </c>
      <c r="G12" s="22">
        <f>Products!CI9</f>
        <v>1464</v>
      </c>
      <c r="H12" s="22">
        <f>Products!CJ9</f>
        <v>1666.6</v>
      </c>
      <c r="I12" s="22">
        <f>Products!CK9</f>
        <v>1889</v>
      </c>
      <c r="J12" s="22">
        <f>Products!CL9</f>
        <v>2150</v>
      </c>
      <c r="K12" s="22">
        <f>Products!CM9</f>
        <v>7169.6</v>
      </c>
      <c r="L12" s="22">
        <f>Products!CN9</f>
        <v>2269</v>
      </c>
      <c r="M12" s="22">
        <f>Products!CO9</f>
        <v>2634</v>
      </c>
      <c r="N12" s="22">
        <f>Products!CP9</f>
        <v>3070</v>
      </c>
      <c r="O12" s="22">
        <f>Products!CQ9</f>
        <v>3111</v>
      </c>
      <c r="P12" s="22">
        <f>Products!CR9</f>
        <v>11084</v>
      </c>
      <c r="Q12" s="22">
        <f>Products!CS9</f>
        <v>3284</v>
      </c>
      <c r="R12" s="22">
        <f>Products!CT9</f>
        <v>3388</v>
      </c>
      <c r="S12" s="22">
        <f>Products!CU9</f>
        <v>3715</v>
      </c>
      <c r="T12" s="22">
        <f>Products!CV9</f>
        <v>3993</v>
      </c>
      <c r="U12" s="22">
        <f>Products!CW9</f>
        <v>14380</v>
      </c>
      <c r="V12" s="22">
        <f>Products!CX9</f>
        <v>3899</v>
      </c>
      <c r="W12" s="22">
        <f>Products!CY9</f>
        <v>4176</v>
      </c>
      <c r="X12" s="22">
        <f>Products!CZ9</f>
        <v>4534</v>
      </c>
      <c r="Y12" s="22">
        <f>Products!DA9</f>
        <v>4577</v>
      </c>
      <c r="Z12" s="22">
        <f>Products!DB9</f>
        <v>17186</v>
      </c>
      <c r="AA12" s="22">
        <f>Products!DC9</f>
        <v>4809</v>
      </c>
      <c r="AB12" s="22">
        <f>Products!DD9</f>
        <v>5252</v>
      </c>
      <c r="AC12" s="22">
        <f>Products!DE9</f>
        <v>5426</v>
      </c>
      <c r="AD12" s="22">
        <f>Products!DF9</f>
        <v>5449</v>
      </c>
      <c r="AE12" s="22">
        <f>Products!DG9</f>
        <v>20936</v>
      </c>
      <c r="AF12" s="22">
        <f>Products!DH9</f>
        <v>5603.08</v>
      </c>
      <c r="AG12" s="22">
        <f>Products!DI9</f>
        <v>5948.4699999999993</v>
      </c>
      <c r="AH12" s="22">
        <f>Products!DJ9</f>
        <v>6114.2</v>
      </c>
      <c r="AI12" s="22">
        <f>Products!DK9</f>
        <v>6142.09</v>
      </c>
      <c r="AJ12" s="219">
        <f>Products!DL9</f>
        <v>23807.84</v>
      </c>
      <c r="AK12" s="219">
        <f>Products!DM9</f>
        <v>25622.531300000002</v>
      </c>
      <c r="AL12" s="219">
        <f>Products!DN9</f>
        <v>26903.657865000005</v>
      </c>
      <c r="AM12" s="219">
        <f>Products!DO9</f>
        <v>27979.804179600003</v>
      </c>
      <c r="AN12" s="219">
        <f>Products!DP9</f>
        <v>28761.524111192306</v>
      </c>
      <c r="AO12" s="22"/>
      <c r="AP12" s="22"/>
      <c r="AQ12" s="28">
        <f t="shared" si="0"/>
        <v>8.719106350011141E-2</v>
      </c>
      <c r="AR12" s="29">
        <f t="shared" si="1"/>
        <v>6.557405430522012E-2</v>
      </c>
    </row>
    <row r="13" spans="1:44" x14ac:dyDescent="0.2">
      <c r="A13" s="21" t="s">
        <v>344</v>
      </c>
      <c r="B13" s="22">
        <v>112</v>
      </c>
      <c r="C13" s="22">
        <v>119</v>
      </c>
      <c r="D13" s="22">
        <v>128</v>
      </c>
      <c r="E13" s="22">
        <v>124</v>
      </c>
      <c r="F13" s="22">
        <v>483</v>
      </c>
      <c r="G13" s="22">
        <f>Products!CI225</f>
        <v>120</v>
      </c>
      <c r="H13" s="22">
        <f>Products!CJ225</f>
        <v>125</v>
      </c>
      <c r="I13" s="22">
        <f>Products!CK225</f>
        <v>103</v>
      </c>
      <c r="J13" s="22">
        <f>Products!CL225</f>
        <v>105</v>
      </c>
      <c r="K13" s="22">
        <f>Products!CM225</f>
        <v>453</v>
      </c>
      <c r="L13" s="22">
        <f>Products!CN225</f>
        <v>103</v>
      </c>
      <c r="M13" s="22">
        <f>Products!CO225</f>
        <v>109</v>
      </c>
      <c r="N13" s="22">
        <f>Products!CP225</f>
        <v>116</v>
      </c>
      <c r="O13" s="22">
        <f>Products!CQ225</f>
        <v>113</v>
      </c>
      <c r="P13" s="22">
        <f>Products!CR225</f>
        <v>441</v>
      </c>
      <c r="Q13" s="22">
        <f>Products!CS225</f>
        <v>102</v>
      </c>
      <c r="R13" s="22">
        <f>Products!CT225</f>
        <v>98</v>
      </c>
      <c r="S13" s="22">
        <f>Products!CU225</f>
        <v>91</v>
      </c>
      <c r="T13" s="22">
        <f>Products!CV225</f>
        <v>94</v>
      </c>
      <c r="U13" s="22">
        <f>Products!CW225</f>
        <v>385</v>
      </c>
      <c r="V13" s="22">
        <f>Products!CX225</f>
        <v>90</v>
      </c>
      <c r="W13" s="22">
        <f>Products!CY225</f>
        <v>0</v>
      </c>
      <c r="X13" s="22">
        <f>Products!CZ225</f>
        <v>0</v>
      </c>
      <c r="Y13" s="22">
        <f>Products!DA225</f>
        <v>0</v>
      </c>
      <c r="Z13" s="22">
        <f>Products!DB225</f>
        <v>0</v>
      </c>
      <c r="AA13" s="22">
        <f>Products!DC225</f>
        <v>0</v>
      </c>
      <c r="AB13" s="22">
        <f>Products!DD225</f>
        <v>0</v>
      </c>
      <c r="AC13" s="22">
        <f>Products!DE225</f>
        <v>0</v>
      </c>
      <c r="AD13" s="22">
        <f>Products!DF225</f>
        <v>0</v>
      </c>
      <c r="AE13" s="22">
        <f>Products!DG225</f>
        <v>0</v>
      </c>
      <c r="AF13" s="22">
        <f>Products!DH225</f>
        <v>0</v>
      </c>
      <c r="AG13" s="22">
        <f>Products!DI225</f>
        <v>0</v>
      </c>
      <c r="AH13" s="22">
        <f>Products!DJ225</f>
        <v>0</v>
      </c>
      <c r="AI13" s="22">
        <f>Products!DK225</f>
        <v>0</v>
      </c>
      <c r="AJ13" s="219">
        <f>Products!DL225</f>
        <v>0</v>
      </c>
      <c r="AK13" s="219">
        <f>Products!DM225</f>
        <v>0</v>
      </c>
      <c r="AL13" s="219">
        <f>Products!DN225</f>
        <v>0</v>
      </c>
      <c r="AM13" s="219">
        <f>Products!DO225</f>
        <v>0</v>
      </c>
      <c r="AN13" s="219">
        <f>Products!DP225</f>
        <v>0</v>
      </c>
      <c r="AO13" s="22"/>
      <c r="AP13" s="22"/>
      <c r="AQ13" s="28"/>
      <c r="AR13" s="29"/>
    </row>
    <row r="14" spans="1:44" x14ac:dyDescent="0.2">
      <c r="A14" s="21" t="s">
        <v>345</v>
      </c>
      <c r="B14" s="22">
        <v>186</v>
      </c>
      <c r="C14" s="22">
        <v>203</v>
      </c>
      <c r="D14" s="22">
        <v>161</v>
      </c>
      <c r="E14" s="22">
        <v>182</v>
      </c>
      <c r="F14" s="22">
        <v>732</v>
      </c>
      <c r="G14" s="22">
        <f>Products!CI219</f>
        <v>175.4</v>
      </c>
      <c r="H14" s="22">
        <f>Products!CJ219</f>
        <v>185</v>
      </c>
      <c r="I14" s="22">
        <f>Products!CK219</f>
        <v>161</v>
      </c>
      <c r="J14" s="22">
        <f>Products!CL219</f>
        <v>187</v>
      </c>
      <c r="K14" s="22">
        <f>Products!CM219</f>
        <v>708.4</v>
      </c>
      <c r="L14" s="22">
        <f>Products!CN219</f>
        <v>191</v>
      </c>
      <c r="M14" s="22">
        <f>Products!CO219</f>
        <v>160</v>
      </c>
      <c r="N14" s="22">
        <f>Products!CP219</f>
        <v>151</v>
      </c>
      <c r="O14" s="22">
        <f>Products!CQ219</f>
        <v>195</v>
      </c>
      <c r="P14" s="22">
        <f>Products!CR219</f>
        <v>697</v>
      </c>
      <c r="Q14" s="22">
        <f>Products!CS219</f>
        <v>155</v>
      </c>
      <c r="R14" s="22">
        <f>Products!CT219</f>
        <v>100</v>
      </c>
      <c r="S14" s="22">
        <f>Products!CU219</f>
        <v>82</v>
      </c>
      <c r="T14" s="22">
        <f>Products!CV219</f>
        <v>124</v>
      </c>
      <c r="U14" s="22">
        <f>Products!CW219</f>
        <v>461</v>
      </c>
      <c r="V14" s="22">
        <f ca="1">Products!CX219</f>
        <v>175.4</v>
      </c>
      <c r="W14" s="22">
        <f>Products!CY219</f>
        <v>0</v>
      </c>
      <c r="X14" s="22">
        <f>Products!CZ219</f>
        <v>0</v>
      </c>
      <c r="Y14" s="22">
        <f>Products!DA219</f>
        <v>0</v>
      </c>
      <c r="Z14" s="22">
        <f>Products!DB219</f>
        <v>0</v>
      </c>
      <c r="AA14" s="22">
        <f>Products!DC219</f>
        <v>0</v>
      </c>
      <c r="AB14" s="22">
        <f>Products!DD219</f>
        <v>0</v>
      </c>
      <c r="AC14" s="22">
        <f>Products!DE219</f>
        <v>0</v>
      </c>
      <c r="AD14" s="22">
        <f>Products!DF219</f>
        <v>0</v>
      </c>
      <c r="AE14" s="22">
        <f>Products!DG219</f>
        <v>0</v>
      </c>
      <c r="AF14" s="22">
        <f>Products!DH219</f>
        <v>0</v>
      </c>
      <c r="AG14" s="22">
        <f>Products!DI219</f>
        <v>0</v>
      </c>
      <c r="AH14" s="22">
        <f>Products!DJ219</f>
        <v>0</v>
      </c>
      <c r="AI14" s="22">
        <f>Products!DK219</f>
        <v>0</v>
      </c>
      <c r="AJ14" s="219">
        <f>Products!DL219</f>
        <v>0</v>
      </c>
      <c r="AK14" s="219">
        <f>Products!DM219</f>
        <v>0</v>
      </c>
      <c r="AL14" s="219">
        <f>Products!DN219</f>
        <v>0</v>
      </c>
      <c r="AM14" s="219">
        <f>Products!DO219</f>
        <v>0</v>
      </c>
      <c r="AN14" s="219">
        <f>Products!DP219</f>
        <v>0</v>
      </c>
      <c r="AO14" s="22"/>
      <c r="AP14" s="22"/>
      <c r="AQ14" s="28"/>
      <c r="AR14" s="29"/>
    </row>
    <row r="15" spans="1:44" s="31" customFormat="1" ht="17" x14ac:dyDescent="0.2">
      <c r="A15" s="34" t="s">
        <v>346</v>
      </c>
      <c r="B15" s="30">
        <v>9434</v>
      </c>
      <c r="C15" s="30">
        <v>9930</v>
      </c>
      <c r="D15" s="30">
        <v>10325</v>
      </c>
      <c r="E15" s="30">
        <v>10433</v>
      </c>
      <c r="F15" s="30">
        <v>40123</v>
      </c>
      <c r="G15" s="30">
        <f>Products!CI505</f>
        <v>10036.800000000001</v>
      </c>
      <c r="H15" s="30">
        <f>Products!CJ505</f>
        <v>10464.800000000001</v>
      </c>
      <c r="I15" s="30">
        <f>Products!CK505</f>
        <v>10793</v>
      </c>
      <c r="J15" s="30">
        <f>Products!CL505</f>
        <v>10998</v>
      </c>
      <c r="K15" s="30">
        <f>Products!CM505</f>
        <v>42292.600000000006</v>
      </c>
      <c r="L15" s="30">
        <f>Products!CN505</f>
        <v>10816</v>
      </c>
      <c r="M15" s="30">
        <f>Products!CO505</f>
        <v>11760</v>
      </c>
      <c r="N15" s="30">
        <f>Products!CP505</f>
        <v>12397</v>
      </c>
      <c r="O15" s="30">
        <f>Products!CQ505</f>
        <v>11868</v>
      </c>
      <c r="P15" s="30">
        <f>Products!CR505</f>
        <v>46840</v>
      </c>
      <c r="Q15" s="30">
        <f>Products!CS505</f>
        <v>12057</v>
      </c>
      <c r="R15" s="30">
        <f>Products!CT505</f>
        <v>10872</v>
      </c>
      <c r="S15" s="30">
        <f>Products!CU505</f>
        <v>12551</v>
      </c>
      <c r="T15" s="30">
        <f>Products!CV505</f>
        <v>12514</v>
      </c>
      <c r="U15" s="30">
        <f>Products!CW505</f>
        <v>47994</v>
      </c>
      <c r="V15" s="30">
        <f>Products!CX505</f>
        <v>12386</v>
      </c>
      <c r="W15" s="30">
        <f>Products!CY505</f>
        <v>11401</v>
      </c>
      <c r="X15" s="30">
        <f>Products!CZ505</f>
        <v>13154</v>
      </c>
      <c r="Y15" s="30">
        <f>Products!DA505</f>
        <v>13521</v>
      </c>
      <c r="Z15" s="30">
        <f>Products!DB505</f>
        <v>50462</v>
      </c>
      <c r="AA15" s="30">
        <f>Products!DC505</f>
        <v>15902</v>
      </c>
      <c r="AB15" s="30">
        <f>Products!DD505</f>
        <v>14593</v>
      </c>
      <c r="AC15" s="30">
        <f>Products!DE505</f>
        <v>14959</v>
      </c>
      <c r="AD15" s="30">
        <f>Products!DF505</f>
        <v>13830</v>
      </c>
      <c r="AE15" s="30">
        <f>Products!DG505</f>
        <v>59284</v>
      </c>
      <c r="AF15" s="30">
        <f>Products!DH505</f>
        <v>13729.460000000001</v>
      </c>
      <c r="AG15" s="30">
        <f>Products!DI505</f>
        <v>14402.549999999996</v>
      </c>
      <c r="AH15" s="30">
        <f>Products!DJ505</f>
        <v>15430.939999999999</v>
      </c>
      <c r="AI15" s="30">
        <f>Products!DK505</f>
        <v>13918.08</v>
      </c>
      <c r="AJ15" s="220">
        <f>Products!DL505</f>
        <v>57481.03</v>
      </c>
      <c r="AK15" s="220">
        <f>Products!DM505</f>
        <v>61387.662723310001</v>
      </c>
      <c r="AL15" s="220">
        <f>Products!DN505</f>
        <v>64565.516867482009</v>
      </c>
      <c r="AM15" s="220">
        <f>Products!DO505</f>
        <v>66022.8617624404</v>
      </c>
      <c r="AN15" s="220">
        <f>Products!DP505</f>
        <v>67788.785416207276</v>
      </c>
      <c r="AO15" s="30"/>
      <c r="AP15" s="30"/>
      <c r="AQ15" s="28">
        <f t="shared" si="0"/>
        <v>2.8855486412087128E-2</v>
      </c>
      <c r="AR15" s="29">
        <f t="shared" si="1"/>
        <v>2.7174125067927379E-2</v>
      </c>
    </row>
    <row r="16" spans="1:44" ht="17" x14ac:dyDescent="0.2">
      <c r="A16" s="32" t="s">
        <v>347</v>
      </c>
      <c r="B16" s="33">
        <v>2097</v>
      </c>
      <c r="C16" s="33">
        <v>2220</v>
      </c>
      <c r="D16" s="33">
        <v>2481</v>
      </c>
      <c r="E16" s="33">
        <v>2652</v>
      </c>
      <c r="F16" s="33">
        <v>9450</v>
      </c>
      <c r="G16" s="33">
        <v>2444</v>
      </c>
      <c r="H16" s="33">
        <v>2681</v>
      </c>
      <c r="I16" s="33">
        <f>3619-1102</f>
        <v>2517</v>
      </c>
      <c r="J16" s="33">
        <f>2751</f>
        <v>2751</v>
      </c>
      <c r="K16" s="33">
        <f>SUM(G16:J16)</f>
        <v>10393</v>
      </c>
      <c r="L16" s="33">
        <f>3052-413-34</f>
        <v>2605</v>
      </c>
      <c r="M16" s="33">
        <v>2889</v>
      </c>
      <c r="N16" s="33">
        <v>2987</v>
      </c>
      <c r="O16" s="33">
        <v>3254</v>
      </c>
      <c r="P16" s="33">
        <f>SUM(L16:O16)</f>
        <v>11735</v>
      </c>
      <c r="Q16" s="33">
        <v>2948</v>
      </c>
      <c r="R16" s="33">
        <v>2852</v>
      </c>
      <c r="S16" s="33">
        <v>3158</v>
      </c>
      <c r="T16" s="33">
        <v>3373</v>
      </c>
      <c r="U16" s="33">
        <f>SUM(Q16:T16)</f>
        <v>12331</v>
      </c>
      <c r="V16" s="33">
        <f>5171-2684</f>
        <v>2487</v>
      </c>
      <c r="W16" s="33">
        <v>2684</v>
      </c>
      <c r="X16" s="33">
        <v>3056</v>
      </c>
      <c r="Y16" s="33">
        <v>3411</v>
      </c>
      <c r="Z16" s="33">
        <f>SUM(V16:Y16)</f>
        <v>11638</v>
      </c>
      <c r="AA16" s="33">
        <v>4654</v>
      </c>
      <c r="AB16" s="33">
        <v>3698</v>
      </c>
      <c r="AC16" s="33">
        <v>3434</v>
      </c>
      <c r="AD16" s="33">
        <v>3361</v>
      </c>
      <c r="AE16" s="33">
        <f t="shared" ref="AE16:AE20" si="2">SUM(AA16:AD16)</f>
        <v>15147</v>
      </c>
      <c r="AF16" s="33">
        <f>AF15*(1-AF39)</f>
        <v>3157.7757999999999</v>
      </c>
      <c r="AG16" s="33">
        <f>AG15*(1-AG39)</f>
        <v>3312.5864999999985</v>
      </c>
      <c r="AH16" s="33">
        <f>AH15*(1-AH39)</f>
        <v>3549.1161999999995</v>
      </c>
      <c r="AI16" s="33">
        <f>AI15*(1-AI39)</f>
        <v>3201.1583999999998</v>
      </c>
      <c r="AJ16" s="221">
        <f t="shared" ref="AJ16:AJ20" si="3">SUM(AF16:AI16)</f>
        <v>13220.636899999998</v>
      </c>
      <c r="AK16" s="221">
        <f>AK15*(1-AK39)</f>
        <v>12891.409171895099</v>
      </c>
      <c r="AL16" s="221">
        <f>AL15*(1-AL39)</f>
        <v>13235.930957833809</v>
      </c>
      <c r="AM16" s="221">
        <f>AM15*(1-AM39)</f>
        <v>13204.572352488078</v>
      </c>
      <c r="AN16" s="221">
        <f>AN15*(1-AN39)</f>
        <v>12879.869229079379</v>
      </c>
      <c r="AO16" s="33"/>
      <c r="AP16" s="33"/>
      <c r="AQ16" s="28">
        <f t="shared" si="0"/>
        <v>-4.3960236248469897E-2</v>
      </c>
      <c r="AR16" s="29">
        <f t="shared" si="1"/>
        <v>-3.1907254655048511E-2</v>
      </c>
    </row>
    <row r="17" spans="1:47" s="31" customFormat="1" ht="17" x14ac:dyDescent="0.2">
      <c r="A17" s="34" t="s">
        <v>348</v>
      </c>
      <c r="B17" s="35">
        <v>7337</v>
      </c>
      <c r="C17" s="35">
        <v>7710</v>
      </c>
      <c r="D17" s="35">
        <v>7844</v>
      </c>
      <c r="E17" s="35">
        <v>7781</v>
      </c>
      <c r="F17" s="35">
        <v>30673</v>
      </c>
      <c r="G17" s="35">
        <f t="shared" ref="G17:P17" si="4">G15-G16</f>
        <v>7592.8000000000011</v>
      </c>
      <c r="H17" s="35">
        <f t="shared" si="4"/>
        <v>7783.8000000000011</v>
      </c>
      <c r="I17" s="35">
        <f t="shared" si="4"/>
        <v>8276</v>
      </c>
      <c r="J17" s="35">
        <f t="shared" si="4"/>
        <v>8247</v>
      </c>
      <c r="K17" s="35">
        <f t="shared" si="4"/>
        <v>31899.600000000006</v>
      </c>
      <c r="L17" s="35">
        <f t="shared" si="4"/>
        <v>8211</v>
      </c>
      <c r="M17" s="35">
        <f t="shared" si="4"/>
        <v>8871</v>
      </c>
      <c r="N17" s="35">
        <f t="shared" si="4"/>
        <v>9410</v>
      </c>
      <c r="O17" s="35">
        <f t="shared" si="4"/>
        <v>8614</v>
      </c>
      <c r="P17" s="35">
        <f t="shared" si="4"/>
        <v>35105</v>
      </c>
      <c r="Q17" s="35">
        <f>Q15-Q16</f>
        <v>9109</v>
      </c>
      <c r="R17" s="35">
        <f>R15-R16</f>
        <v>8020</v>
      </c>
      <c r="S17" s="35">
        <f>S15-S16</f>
        <v>9393</v>
      </c>
      <c r="T17" s="35">
        <f>T15-T16</f>
        <v>9141</v>
      </c>
      <c r="U17" s="35">
        <f t="shared" ref="U17:U27" si="5">SUM(Q17:T17)</f>
        <v>35663</v>
      </c>
      <c r="V17" s="35">
        <f>V15-V16</f>
        <v>9899</v>
      </c>
      <c r="W17" s="35">
        <f>W15-W16</f>
        <v>8717</v>
      </c>
      <c r="X17" s="35">
        <f>X15-X16</f>
        <v>10098</v>
      </c>
      <c r="Y17" s="35">
        <f>Y15-Y16</f>
        <v>10110</v>
      </c>
      <c r="Z17" s="35">
        <f>SUM(V17:Y17)</f>
        <v>38824</v>
      </c>
      <c r="AA17" s="35">
        <f>AA15-AA16</f>
        <v>11248</v>
      </c>
      <c r="AB17" s="35">
        <f>AB15-AB16</f>
        <v>10895</v>
      </c>
      <c r="AC17" s="35">
        <f>AC15-AC16</f>
        <v>11525</v>
      </c>
      <c r="AD17" s="35">
        <f>AD15-AD16</f>
        <v>10469</v>
      </c>
      <c r="AE17" s="35">
        <f t="shared" si="2"/>
        <v>44137</v>
      </c>
      <c r="AF17" s="35">
        <f>AF15-AF16</f>
        <v>10571.684200000002</v>
      </c>
      <c r="AG17" s="35">
        <f>AG15-AG16</f>
        <v>11089.963499999998</v>
      </c>
      <c r="AH17" s="35">
        <f>AH15-AH16</f>
        <v>11881.823799999998</v>
      </c>
      <c r="AI17" s="35">
        <f>AI15-AI16</f>
        <v>10716.9216</v>
      </c>
      <c r="AJ17" s="222">
        <f t="shared" si="3"/>
        <v>44260.393100000001</v>
      </c>
      <c r="AK17" s="222">
        <f>AK15-AK16</f>
        <v>48496.253551414906</v>
      </c>
      <c r="AL17" s="222">
        <f>AL15-AL16</f>
        <v>51329.585909648202</v>
      </c>
      <c r="AM17" s="222">
        <f>AM15-AM16</f>
        <v>52818.289409952326</v>
      </c>
      <c r="AN17" s="222">
        <f>AN15-AN16</f>
        <v>54908.916187127899</v>
      </c>
      <c r="AO17" s="35"/>
      <c r="AP17" s="238"/>
      <c r="AQ17" s="28">
        <f t="shared" si="0"/>
        <v>5.161066844679274E-2</v>
      </c>
      <c r="AR17" s="29">
        <f t="shared" si="1"/>
        <v>4.4643273462547484E-2</v>
      </c>
    </row>
    <row r="18" spans="1:47" ht="17" x14ac:dyDescent="0.2">
      <c r="A18" s="32" t="s">
        <v>349</v>
      </c>
      <c r="B18" s="36">
        <v>2390</v>
      </c>
      <c r="C18" s="36">
        <v>2427</v>
      </c>
      <c r="D18" s="36">
        <v>2390</v>
      </c>
      <c r="E18" s="36">
        <v>2577</v>
      </c>
      <c r="F18" s="36">
        <v>9785</v>
      </c>
      <c r="G18" s="36">
        <v>2499</v>
      </c>
      <c r="H18" s="36">
        <v>2491</v>
      </c>
      <c r="I18" s="36">
        <f>2443-2</f>
        <v>2441</v>
      </c>
      <c r="J18" s="36">
        <v>2636</v>
      </c>
      <c r="K18" s="36">
        <f>SUM(G18:J18)</f>
        <v>10067</v>
      </c>
      <c r="L18" s="36">
        <f>2425+1</f>
        <v>2426</v>
      </c>
      <c r="M18" s="36">
        <v>2619</v>
      </c>
      <c r="N18" s="36">
        <v>2566</v>
      </c>
      <c r="O18" s="36">
        <v>2843</v>
      </c>
      <c r="P18" s="36">
        <f>SUM(L18:O18)</f>
        <v>10454</v>
      </c>
      <c r="Q18" s="36">
        <v>2266</v>
      </c>
      <c r="R18" s="36">
        <v>2204</v>
      </c>
      <c r="S18" s="36">
        <v>2228</v>
      </c>
      <c r="T18" s="36">
        <v>2789</v>
      </c>
      <c r="U18" s="36">
        <f t="shared" si="5"/>
        <v>9487</v>
      </c>
      <c r="V18" s="36">
        <f>4429-2254</f>
        <v>2175</v>
      </c>
      <c r="W18" s="36">
        <v>2254</v>
      </c>
      <c r="X18" s="36">
        <v>2270</v>
      </c>
      <c r="Y18" s="36">
        <v>2594</v>
      </c>
      <c r="Z18" s="36">
        <f t="shared" ref="Z18:Z20" si="6">SUM(V18:Y18)</f>
        <v>9293</v>
      </c>
      <c r="AA18" s="36">
        <v>2252</v>
      </c>
      <c r="AB18" s="36">
        <v>2420</v>
      </c>
      <c r="AC18" s="36">
        <v>2472</v>
      </c>
      <c r="AD18" s="36">
        <v>2628</v>
      </c>
      <c r="AE18" s="36">
        <f t="shared" si="2"/>
        <v>9772</v>
      </c>
      <c r="AF18" s="36">
        <f>AF15*AF40</f>
        <v>2471.3027999999999</v>
      </c>
      <c r="AG18" s="36">
        <f>AG15*AG40</f>
        <v>2592.4589999999989</v>
      </c>
      <c r="AH18" s="36">
        <f>AH15*AH40</f>
        <v>2546.1050999999998</v>
      </c>
      <c r="AI18" s="36">
        <f>AI15*AI40</f>
        <v>2644.4351999999999</v>
      </c>
      <c r="AJ18" s="183">
        <f t="shared" si="3"/>
        <v>10254.302099999997</v>
      </c>
      <c r="AK18" s="183">
        <f>AK15*AK40</f>
        <v>10558.677988409319</v>
      </c>
      <c r="AL18" s="183">
        <f>AL15*AL40</f>
        <v>10847.006833736978</v>
      </c>
      <c r="AM18" s="183">
        <f>AM15*AM40</f>
        <v>11091.840776089988</v>
      </c>
      <c r="AN18" s="183">
        <f>AN15*AN40</f>
        <v>11388.515949922823</v>
      </c>
      <c r="AO18" s="36"/>
      <c r="AP18" s="36"/>
      <c r="AQ18" s="28">
        <f t="shared" si="0"/>
        <v>3.5401568361983715E-2</v>
      </c>
      <c r="AR18" s="29">
        <f t="shared" si="1"/>
        <v>3.1090380653412408E-2</v>
      </c>
      <c r="AT18" s="29"/>
      <c r="AU18" s="29"/>
    </row>
    <row r="19" spans="1:47" x14ac:dyDescent="0.2">
      <c r="A19" s="37" t="s">
        <v>350</v>
      </c>
      <c r="B19" s="38">
        <v>1785</v>
      </c>
      <c r="C19" s="38">
        <v>1733</v>
      </c>
      <c r="D19" s="38">
        <v>1760</v>
      </c>
      <c r="E19" s="38">
        <v>2060</v>
      </c>
      <c r="F19" s="38">
        <v>7338</v>
      </c>
      <c r="G19" s="38">
        <v>1793</v>
      </c>
      <c r="H19" s="38">
        <v>1926</v>
      </c>
      <c r="I19" s="38">
        <f>2068-1</f>
        <v>2067</v>
      </c>
      <c r="J19" s="38">
        <v>2122</v>
      </c>
      <c r="K19" s="38">
        <f>SUM(G19:J19)</f>
        <v>7908</v>
      </c>
      <c r="L19" s="38">
        <f>1931+31</f>
        <v>1962</v>
      </c>
      <c r="M19" s="38">
        <v>2182</v>
      </c>
      <c r="N19" s="38">
        <v>2215</v>
      </c>
      <c r="O19" s="38">
        <v>2371</v>
      </c>
      <c r="P19" s="38">
        <f>SUM(L19:O19)</f>
        <v>8730</v>
      </c>
      <c r="Q19" s="38">
        <v>2155</v>
      </c>
      <c r="R19" s="38">
        <v>2157</v>
      </c>
      <c r="S19" s="38">
        <v>2273</v>
      </c>
      <c r="T19" s="38">
        <v>2648</v>
      </c>
      <c r="U19" s="38">
        <f t="shared" si="5"/>
        <v>9233</v>
      </c>
      <c r="V19" s="38">
        <f>4920-2534</f>
        <v>2386</v>
      </c>
      <c r="W19" s="38">
        <v>2534</v>
      </c>
      <c r="X19" s="38">
        <v>2476</v>
      </c>
      <c r="Y19" s="38">
        <v>2681</v>
      </c>
      <c r="Z19" s="38">
        <f t="shared" si="6"/>
        <v>10077</v>
      </c>
      <c r="AA19" s="38">
        <v>2547</v>
      </c>
      <c r="AB19" s="38">
        <v>2764</v>
      </c>
      <c r="AC19" s="38">
        <v>3496</v>
      </c>
      <c r="AD19" s="38">
        <v>3035</v>
      </c>
      <c r="AE19" s="38">
        <f t="shared" si="2"/>
        <v>11842</v>
      </c>
      <c r="AF19" s="38">
        <f>AF15*AF41</f>
        <v>3075.3990400000002</v>
      </c>
      <c r="AG19" s="38">
        <f>AG15*AG41</f>
        <v>3226.1711999999989</v>
      </c>
      <c r="AH19" s="38">
        <f>AH15*AH41</f>
        <v>3456.5305599999997</v>
      </c>
      <c r="AI19" s="38">
        <f>AI15*AI41</f>
        <v>3117.6499199999998</v>
      </c>
      <c r="AJ19" s="223">
        <f t="shared" si="3"/>
        <v>12875.750719999998</v>
      </c>
      <c r="AK19" s="223">
        <f>AK15*AK41</f>
        <v>12584.47085827855</v>
      </c>
      <c r="AL19" s="223">
        <f>AL15*AL41</f>
        <v>12654.841306026474</v>
      </c>
      <c r="AM19" s="223">
        <f>AM15*AM41</f>
        <v>12676.389458388558</v>
      </c>
      <c r="AN19" s="223">
        <f>AN15*AN41</f>
        <v>12879.869229079382</v>
      </c>
      <c r="AO19" s="38"/>
      <c r="AP19" s="38"/>
      <c r="AQ19" s="28">
        <f t="shared" si="0"/>
        <v>2.237577140549063E-2</v>
      </c>
      <c r="AR19" s="29">
        <f t="shared" si="1"/>
        <v>1.6944564466903289E-2</v>
      </c>
    </row>
    <row r="20" spans="1:47" s="31" customFormat="1" ht="17" x14ac:dyDescent="0.2">
      <c r="A20" s="34" t="s">
        <v>351</v>
      </c>
      <c r="B20" s="39">
        <v>3162</v>
      </c>
      <c r="C20" s="39">
        <v>3550</v>
      </c>
      <c r="D20" s="39">
        <v>3694</v>
      </c>
      <c r="E20" s="39">
        <v>3144</v>
      </c>
      <c r="F20" s="39">
        <v>13550</v>
      </c>
      <c r="G20" s="39">
        <f t="shared" ref="G20:P20" si="7">G17-G18-G19</f>
        <v>3300.8000000000011</v>
      </c>
      <c r="H20" s="39">
        <f t="shared" si="7"/>
        <v>3366.8000000000011</v>
      </c>
      <c r="I20" s="39">
        <f t="shared" si="7"/>
        <v>3768</v>
      </c>
      <c r="J20" s="39">
        <f t="shared" si="7"/>
        <v>3489</v>
      </c>
      <c r="K20" s="39">
        <f t="shared" si="7"/>
        <v>13924.600000000006</v>
      </c>
      <c r="L20" s="39">
        <f t="shared" si="7"/>
        <v>3823</v>
      </c>
      <c r="M20" s="39">
        <f t="shared" si="7"/>
        <v>4070</v>
      </c>
      <c r="N20" s="39">
        <f t="shared" si="7"/>
        <v>4629</v>
      </c>
      <c r="O20" s="39">
        <f t="shared" si="7"/>
        <v>3400</v>
      </c>
      <c r="P20" s="39">
        <f t="shared" si="7"/>
        <v>15921</v>
      </c>
      <c r="Q20" s="39">
        <f>Q17-Q18-Q19</f>
        <v>4688</v>
      </c>
      <c r="R20" s="39">
        <f>R17-R18-R19</f>
        <v>3659</v>
      </c>
      <c r="S20" s="39">
        <f>S17-S18-S19</f>
        <v>4892</v>
      </c>
      <c r="T20" s="39">
        <f>T17-T18-T19</f>
        <v>3704</v>
      </c>
      <c r="U20" s="39">
        <f t="shared" si="5"/>
        <v>16943</v>
      </c>
      <c r="V20" s="39">
        <f>V17-V18-V19</f>
        <v>5338</v>
      </c>
      <c r="W20" s="39">
        <f>W17-W18-W19</f>
        <v>3929</v>
      </c>
      <c r="X20" s="39">
        <f>X17-X18-X19</f>
        <v>5352</v>
      </c>
      <c r="Y20" s="39">
        <f>Y17-Y18-Y19</f>
        <v>4835</v>
      </c>
      <c r="Z20" s="39">
        <f t="shared" si="6"/>
        <v>19454</v>
      </c>
      <c r="AA20" s="39">
        <f>AA17-AA18-AA19</f>
        <v>6449</v>
      </c>
      <c r="AB20" s="39">
        <f>AB17-AB18-AB19</f>
        <v>5711</v>
      </c>
      <c r="AC20" s="39">
        <f>AC17-AC18-AC19</f>
        <v>5557</v>
      </c>
      <c r="AD20" s="39">
        <f>AD17-AD18-AD19</f>
        <v>4806</v>
      </c>
      <c r="AE20" s="39">
        <f t="shared" si="2"/>
        <v>22523</v>
      </c>
      <c r="AF20" s="39">
        <f>AF17-AF18-AF19</f>
        <v>5024.9823600000018</v>
      </c>
      <c r="AG20" s="39">
        <f>AG17-AG18-AG19</f>
        <v>5271.3333000000002</v>
      </c>
      <c r="AH20" s="39">
        <f>AH17-AH18-AH19</f>
        <v>5879.1881399999984</v>
      </c>
      <c r="AI20" s="39">
        <f>AI17-AI18-AI19</f>
        <v>4954.8364799999999</v>
      </c>
      <c r="AJ20" s="187">
        <f t="shared" si="3"/>
        <v>21130.34028</v>
      </c>
      <c r="AK20" s="187">
        <f>AK17-AK18-AK19</f>
        <v>25353.104704727037</v>
      </c>
      <c r="AL20" s="187">
        <f>AL17-AL18-AL19</f>
        <v>27827.737769884756</v>
      </c>
      <c r="AM20" s="187">
        <f>AM17-AM18-AM19</f>
        <v>29050.059175473783</v>
      </c>
      <c r="AN20" s="187">
        <f>AN17-AN18-AN19</f>
        <v>30640.53100812569</v>
      </c>
      <c r="AO20" s="39"/>
      <c r="AP20" s="36"/>
      <c r="AQ20" s="28">
        <f t="shared" si="0"/>
        <v>7.3043237229122093E-2</v>
      </c>
      <c r="AR20" s="29">
        <f t="shared" si="1"/>
        <v>6.3491468140485452E-2</v>
      </c>
    </row>
    <row r="21" spans="1:47" ht="17" x14ac:dyDescent="0.2">
      <c r="A21" s="32" t="s">
        <v>352</v>
      </c>
      <c r="B21" s="40">
        <v>13</v>
      </c>
      <c r="C21" s="40">
        <v>-5</v>
      </c>
      <c r="D21" s="40">
        <v>0</v>
      </c>
      <c r="E21" s="40">
        <v>-32</v>
      </c>
      <c r="F21" s="36">
        <v>-24</v>
      </c>
      <c r="G21" s="36">
        <v>0</v>
      </c>
      <c r="H21" s="36">
        <v>0</v>
      </c>
      <c r="I21" s="36">
        <v>0</v>
      </c>
      <c r="J21" s="36">
        <v>0</v>
      </c>
      <c r="K21" s="36">
        <f>SUM(G21:J21)</f>
        <v>0</v>
      </c>
      <c r="L21" s="36">
        <v>0</v>
      </c>
      <c r="M21" s="36">
        <v>0</v>
      </c>
      <c r="N21" s="36">
        <v>0</v>
      </c>
      <c r="O21" s="36">
        <v>0</v>
      </c>
      <c r="P21" s="36">
        <f>SUM(L21:O21)</f>
        <v>0</v>
      </c>
      <c r="Q21" s="36">
        <f>SUM(M21:P21)</f>
        <v>0</v>
      </c>
      <c r="R21" s="36">
        <f>SUM(N21:Q21)</f>
        <v>0</v>
      </c>
      <c r="S21" s="36">
        <f>SUM(O21:R21)</f>
        <v>0</v>
      </c>
      <c r="T21" s="36">
        <f>SUM(P21:S21)</f>
        <v>0</v>
      </c>
      <c r="U21" s="36">
        <f t="shared" si="5"/>
        <v>0</v>
      </c>
      <c r="V21" s="36">
        <f>SUM(R21:U21)</f>
        <v>0</v>
      </c>
      <c r="W21" s="36">
        <f>SUM(S21:V21)</f>
        <v>0</v>
      </c>
      <c r="X21" s="36">
        <f>SUM(T21:W21)</f>
        <v>0</v>
      </c>
      <c r="Y21" s="36">
        <v>0</v>
      </c>
      <c r="Z21" s="36">
        <v>0</v>
      </c>
      <c r="AA21" s="36">
        <v>0</v>
      </c>
      <c r="AB21" s="36">
        <v>0</v>
      </c>
      <c r="AC21" s="36">
        <v>0</v>
      </c>
      <c r="AD21" s="36">
        <v>0</v>
      </c>
      <c r="AE21" s="36">
        <v>0</v>
      </c>
      <c r="AF21" s="36">
        <v>0</v>
      </c>
      <c r="AG21" s="36">
        <v>0</v>
      </c>
      <c r="AH21" s="36">
        <v>0</v>
      </c>
      <c r="AI21" s="36">
        <v>0</v>
      </c>
      <c r="AJ21" s="183">
        <v>0</v>
      </c>
      <c r="AK21" s="183">
        <v>0</v>
      </c>
      <c r="AL21" s="183">
        <v>0</v>
      </c>
      <c r="AM21" s="183">
        <v>0</v>
      </c>
      <c r="AN21" s="183">
        <v>0</v>
      </c>
      <c r="AO21" s="39"/>
      <c r="AP21" s="36"/>
      <c r="AQ21" s="28"/>
      <c r="AR21" s="29"/>
    </row>
    <row r="22" spans="1:47" ht="12.75" customHeight="1" x14ac:dyDescent="0.2">
      <c r="A22" s="41" t="s">
        <v>353</v>
      </c>
      <c r="B22" s="40">
        <v>-97</v>
      </c>
      <c r="C22" s="40">
        <v>-96</v>
      </c>
      <c r="D22" s="40">
        <v>-90</v>
      </c>
      <c r="E22" s="40">
        <v>-101</v>
      </c>
      <c r="F22" s="36">
        <v>-384</v>
      </c>
      <c r="G22" s="36">
        <v>-85</v>
      </c>
      <c r="H22" s="36">
        <v>-81</v>
      </c>
      <c r="I22" s="36">
        <v>-92</v>
      </c>
      <c r="J22" s="36">
        <f>-86</f>
        <v>-86</v>
      </c>
      <c r="K22" s="36">
        <f>J22+I22+H22+G22</f>
        <v>-344</v>
      </c>
      <c r="L22" s="36">
        <v>-89</v>
      </c>
      <c r="M22" s="36">
        <v>-90</v>
      </c>
      <c r="N22" s="36">
        <v>-90</v>
      </c>
      <c r="O22" s="36">
        <v>-50</v>
      </c>
      <c r="P22" s="36">
        <f t="shared" ref="P22:P27" si="8">SUM(L22:O22)</f>
        <v>-319</v>
      </c>
      <c r="Q22" s="36">
        <v>-25</v>
      </c>
      <c r="R22" s="36">
        <v>-14</v>
      </c>
      <c r="S22" s="36">
        <v>-9</v>
      </c>
      <c r="T22" s="36">
        <v>-11</v>
      </c>
      <c r="U22" s="36">
        <f>SUM(Q22:T22)</f>
        <v>-59</v>
      </c>
      <c r="V22" s="36">
        <v>-11</v>
      </c>
      <c r="W22" s="36">
        <v>-9</v>
      </c>
      <c r="X22" s="36">
        <v>-7</v>
      </c>
      <c r="Y22" s="36">
        <v>-32</v>
      </c>
      <c r="Z22" s="36">
        <f>SUM(V22:Y22)</f>
        <v>-59</v>
      </c>
      <c r="AA22" s="36">
        <v>-7</v>
      </c>
      <c r="AB22" s="36">
        <v>-15</v>
      </c>
      <c r="AC22" s="36">
        <v>-40</v>
      </c>
      <c r="AD22" s="36">
        <v>-95</v>
      </c>
      <c r="AE22" s="36">
        <f>SUM(AA22:AD22)</f>
        <v>-157</v>
      </c>
      <c r="AF22" s="36">
        <v>-12</v>
      </c>
      <c r="AG22" s="36">
        <v>-12</v>
      </c>
      <c r="AH22" s="36">
        <v>-12</v>
      </c>
      <c r="AI22" s="36">
        <f>AJ22-AH22-AG22-AF22</f>
        <v>-14</v>
      </c>
      <c r="AJ22" s="183">
        <f>'Financial Statements'!N36*-1</f>
        <v>-50</v>
      </c>
      <c r="AK22" s="183">
        <f>'Financial Statements'!O36*-1</f>
        <v>-53</v>
      </c>
      <c r="AL22" s="183">
        <f>'Financial Statements'!P36*-1</f>
        <v>-56.18</v>
      </c>
      <c r="AM22" s="183">
        <f>'Financial Statements'!Q36*-1</f>
        <v>-59.550800000000002</v>
      </c>
      <c r="AN22" s="183">
        <f>'Financial Statements'!R36*-1</f>
        <v>-63.123848000000002</v>
      </c>
      <c r="AO22" s="39"/>
      <c r="AP22" s="36"/>
      <c r="AQ22" s="28"/>
      <c r="AR22" s="29"/>
    </row>
    <row r="23" spans="1:47" ht="12.75" customHeight="1" x14ac:dyDescent="0.2">
      <c r="A23" s="41" t="s">
        <v>354</v>
      </c>
      <c r="B23" s="40">
        <v>182</v>
      </c>
      <c r="C23" s="40">
        <v>193</v>
      </c>
      <c r="D23" s="40">
        <v>189</v>
      </c>
      <c r="E23" s="40">
        <v>191</v>
      </c>
      <c r="F23" s="36">
        <v>755</v>
      </c>
      <c r="G23" s="36">
        <v>185</v>
      </c>
      <c r="H23" s="36">
        <v>194</v>
      </c>
      <c r="I23" s="36">
        <v>190</v>
      </c>
      <c r="J23" s="36">
        <f>203</f>
        <v>203</v>
      </c>
      <c r="K23" s="36">
        <f>J23+I23+H23+G23</f>
        <v>772</v>
      </c>
      <c r="L23" s="36">
        <v>209</v>
      </c>
      <c r="M23" s="36">
        <v>200</v>
      </c>
      <c r="N23" s="36">
        <v>200</v>
      </c>
      <c r="O23" s="36">
        <v>220</v>
      </c>
      <c r="P23" s="36">
        <f t="shared" si="8"/>
        <v>829</v>
      </c>
      <c r="Q23" s="36">
        <v>212</v>
      </c>
      <c r="R23" s="36">
        <v>209</v>
      </c>
      <c r="S23" s="36">
        <v>203</v>
      </c>
      <c r="T23" s="36">
        <v>206</v>
      </c>
      <c r="U23" s="36">
        <f>SUM(Q23:T23)</f>
        <v>830</v>
      </c>
      <c r="V23" s="36">
        <v>200</v>
      </c>
      <c r="W23" s="36">
        <v>202</v>
      </c>
      <c r="X23" s="36">
        <v>196</v>
      </c>
      <c r="Y23" s="36">
        <v>232</v>
      </c>
      <c r="Z23" s="36">
        <f>SUM(V23:Y23)</f>
        <v>830</v>
      </c>
      <c r="AA23" s="36">
        <v>243</v>
      </c>
      <c r="AB23" s="36">
        <v>240</v>
      </c>
      <c r="AC23" s="36">
        <v>244</v>
      </c>
      <c r="AD23" s="36">
        <v>235</v>
      </c>
      <c r="AE23" s="36">
        <f>SUM(AA23:AD23)</f>
        <v>962</v>
      </c>
      <c r="AF23" s="36">
        <v>250</v>
      </c>
      <c r="AG23" s="36">
        <v>250</v>
      </c>
      <c r="AH23" s="36">
        <v>250</v>
      </c>
      <c r="AI23" s="36">
        <f>AJ23-AH23-AG23-AF23</f>
        <v>175</v>
      </c>
      <c r="AJ23" s="183">
        <f>'Financial Statements'!N34</f>
        <v>925</v>
      </c>
      <c r="AK23" s="183">
        <f>'Financial Statements'!O34</f>
        <v>999.00000000000011</v>
      </c>
      <c r="AL23" s="183">
        <f>'Financial Statements'!P34</f>
        <v>1078.9200000000003</v>
      </c>
      <c r="AM23" s="183">
        <f>'Financial Statements'!Q34</f>
        <v>1165.2336000000005</v>
      </c>
      <c r="AN23" s="183">
        <f>'Financial Statements'!R34</f>
        <v>1258.4522880000006</v>
      </c>
      <c r="AO23" s="39"/>
      <c r="AP23" s="36"/>
      <c r="AQ23" s="28"/>
      <c r="AR23" s="29"/>
    </row>
    <row r="24" spans="1:47" ht="12.75" customHeight="1" x14ac:dyDescent="0.2">
      <c r="A24" s="41" t="s">
        <v>355</v>
      </c>
      <c r="B24" s="40">
        <v>-8</v>
      </c>
      <c r="C24" s="40">
        <v>19</v>
      </c>
      <c r="D24" s="40">
        <v>-6</v>
      </c>
      <c r="E24" s="40">
        <v>-17</v>
      </c>
      <c r="F24" s="36">
        <v>-12</v>
      </c>
      <c r="G24" s="36">
        <v>7</v>
      </c>
      <c r="H24" s="36">
        <v>71</v>
      </c>
      <c r="I24" s="36">
        <v>42</v>
      </c>
      <c r="J24" s="36">
        <f>25</f>
        <v>25</v>
      </c>
      <c r="K24" s="36">
        <f>SUM(G24:J24)</f>
        <v>145</v>
      </c>
      <c r="L24" s="36">
        <v>101</v>
      </c>
      <c r="M24" s="36">
        <v>0</v>
      </c>
      <c r="N24" s="36">
        <v>0</v>
      </c>
      <c r="O24" s="36">
        <v>21</v>
      </c>
      <c r="P24" s="36">
        <f t="shared" si="8"/>
        <v>122</v>
      </c>
      <c r="Q24" s="36">
        <v>0</v>
      </c>
      <c r="R24" s="36">
        <v>0</v>
      </c>
      <c r="S24" s="36">
        <v>0</v>
      </c>
      <c r="T24" s="36">
        <v>0</v>
      </c>
      <c r="U24" s="36">
        <f t="shared" si="5"/>
        <v>0</v>
      </c>
      <c r="V24" s="36">
        <v>0</v>
      </c>
      <c r="W24" s="36">
        <v>0</v>
      </c>
      <c r="X24" s="36">
        <v>0</v>
      </c>
      <c r="Y24" s="36">
        <v>0</v>
      </c>
      <c r="Z24" s="36">
        <v>0</v>
      </c>
      <c r="AA24" s="36">
        <v>0</v>
      </c>
      <c r="AB24" s="36">
        <v>0</v>
      </c>
      <c r="AC24" s="36">
        <v>0</v>
      </c>
      <c r="AD24" s="36">
        <v>0</v>
      </c>
      <c r="AE24" s="36">
        <v>0</v>
      </c>
      <c r="AF24" s="36">
        <v>0</v>
      </c>
      <c r="AG24" s="36">
        <v>0</v>
      </c>
      <c r="AH24" s="36">
        <v>0</v>
      </c>
      <c r="AI24" s="36">
        <v>0</v>
      </c>
      <c r="AJ24" s="183">
        <v>0</v>
      </c>
      <c r="AK24" s="183">
        <v>0</v>
      </c>
      <c r="AL24" s="183">
        <v>0</v>
      </c>
      <c r="AM24" s="183">
        <v>0</v>
      </c>
      <c r="AN24" s="183">
        <v>0</v>
      </c>
      <c r="AO24" s="39"/>
      <c r="AP24" s="36"/>
      <c r="AQ24" s="28"/>
      <c r="AR24" s="29"/>
    </row>
    <row r="25" spans="1:47" ht="12.75" customHeight="1" x14ac:dyDescent="0.2">
      <c r="A25" s="41" t="s">
        <v>356</v>
      </c>
      <c r="B25" s="40">
        <v>0</v>
      </c>
      <c r="C25" s="40">
        <v>0</v>
      </c>
      <c r="D25" s="40">
        <v>0</v>
      </c>
      <c r="E25" s="40">
        <v>0</v>
      </c>
      <c r="F25" s="36">
        <v>0</v>
      </c>
      <c r="G25" s="36">
        <v>0</v>
      </c>
      <c r="H25" s="36">
        <v>-64</v>
      </c>
      <c r="I25" s="36">
        <v>-81</v>
      </c>
      <c r="J25" s="36">
        <f>-34</f>
        <v>-34</v>
      </c>
      <c r="K25" s="36">
        <f>SUM(G25:J25)</f>
        <v>-179</v>
      </c>
      <c r="L25" s="36">
        <v>25</v>
      </c>
      <c r="M25" s="36">
        <v>0</v>
      </c>
      <c r="N25" s="36">
        <v>0</v>
      </c>
      <c r="O25" s="36">
        <v>0</v>
      </c>
      <c r="P25" s="36">
        <f t="shared" si="8"/>
        <v>25</v>
      </c>
      <c r="Q25" s="36">
        <v>0</v>
      </c>
      <c r="R25" s="36">
        <v>0</v>
      </c>
      <c r="S25" s="36">
        <v>0</v>
      </c>
      <c r="T25" s="36">
        <v>0</v>
      </c>
      <c r="U25" s="36">
        <f t="shared" si="5"/>
        <v>0</v>
      </c>
      <c r="V25" s="36">
        <v>0</v>
      </c>
      <c r="W25" s="36">
        <v>0</v>
      </c>
      <c r="X25" s="36">
        <v>0</v>
      </c>
      <c r="Y25" s="36">
        <v>0</v>
      </c>
      <c r="Z25" s="36">
        <v>0</v>
      </c>
      <c r="AA25" s="36">
        <v>0</v>
      </c>
      <c r="AB25" s="36">
        <v>0</v>
      </c>
      <c r="AC25" s="36">
        <v>0</v>
      </c>
      <c r="AD25" s="36">
        <v>0</v>
      </c>
      <c r="AE25" s="36">
        <v>0</v>
      </c>
      <c r="AF25" s="36">
        <v>0</v>
      </c>
      <c r="AG25" s="36">
        <v>0</v>
      </c>
      <c r="AH25" s="36">
        <v>0</v>
      </c>
      <c r="AI25" s="36">
        <v>0</v>
      </c>
      <c r="AJ25" s="183">
        <v>0</v>
      </c>
      <c r="AK25" s="183">
        <v>0</v>
      </c>
      <c r="AL25" s="183">
        <v>0</v>
      </c>
      <c r="AM25" s="183">
        <v>0</v>
      </c>
      <c r="AN25" s="183">
        <v>0</v>
      </c>
      <c r="AO25" s="39"/>
      <c r="AP25" s="36"/>
      <c r="AQ25" s="28"/>
      <c r="AR25" s="29"/>
    </row>
    <row r="26" spans="1:47" ht="12.75" customHeight="1" x14ac:dyDescent="0.2">
      <c r="A26" s="41" t="s">
        <v>357</v>
      </c>
      <c r="B26" s="40">
        <v>0</v>
      </c>
      <c r="C26" s="40">
        <v>0</v>
      </c>
      <c r="D26" s="40">
        <v>0</v>
      </c>
      <c r="E26" s="40">
        <v>0</v>
      </c>
      <c r="F26" s="36">
        <v>0</v>
      </c>
      <c r="G26" s="36">
        <v>0</v>
      </c>
      <c r="H26" s="36">
        <f>C26*1.05</f>
        <v>0</v>
      </c>
      <c r="I26" s="36">
        <f>D26*1.05</f>
        <v>0</v>
      </c>
      <c r="J26" s="36">
        <v>0</v>
      </c>
      <c r="K26" s="36">
        <f>SUM(G26:J26)</f>
        <v>0</v>
      </c>
      <c r="L26" s="36">
        <v>0</v>
      </c>
      <c r="M26" s="36">
        <f>H26*1.05</f>
        <v>0</v>
      </c>
      <c r="N26" s="36">
        <f>I26*1.05</f>
        <v>0</v>
      </c>
      <c r="O26" s="36">
        <f>J26*1.05</f>
        <v>0</v>
      </c>
      <c r="P26" s="36">
        <f t="shared" si="8"/>
        <v>0</v>
      </c>
      <c r="Q26" s="36">
        <v>0</v>
      </c>
      <c r="R26" s="36">
        <v>0</v>
      </c>
      <c r="S26" s="36">
        <v>0</v>
      </c>
      <c r="T26" s="36">
        <v>0</v>
      </c>
      <c r="U26" s="36">
        <f t="shared" si="5"/>
        <v>0</v>
      </c>
      <c r="V26" s="36">
        <v>0</v>
      </c>
      <c r="W26" s="36">
        <v>0</v>
      </c>
      <c r="X26" s="36">
        <v>0</v>
      </c>
      <c r="Y26" s="36">
        <v>0</v>
      </c>
      <c r="Z26" s="36">
        <f t="shared" ref="Z26:AJ26" si="9">U26*1.05</f>
        <v>0</v>
      </c>
      <c r="AA26" s="36">
        <f t="shared" si="9"/>
        <v>0</v>
      </c>
      <c r="AB26" s="36">
        <f t="shared" si="9"/>
        <v>0</v>
      </c>
      <c r="AC26" s="36">
        <f t="shared" si="9"/>
        <v>0</v>
      </c>
      <c r="AD26" s="36">
        <f t="shared" si="9"/>
        <v>0</v>
      </c>
      <c r="AE26" s="36">
        <f t="shared" si="9"/>
        <v>0</v>
      </c>
      <c r="AF26" s="36">
        <f t="shared" si="9"/>
        <v>0</v>
      </c>
      <c r="AG26" s="36">
        <f t="shared" si="9"/>
        <v>0</v>
      </c>
      <c r="AH26" s="36">
        <f t="shared" si="9"/>
        <v>0</v>
      </c>
      <c r="AI26" s="36">
        <f t="shared" si="9"/>
        <v>0</v>
      </c>
      <c r="AJ26" s="183">
        <f t="shared" si="9"/>
        <v>0</v>
      </c>
      <c r="AK26" s="183">
        <f t="shared" ref="AK26:AN27" si="10">AJ26*1.05</f>
        <v>0</v>
      </c>
      <c r="AL26" s="183">
        <f t="shared" si="10"/>
        <v>0</v>
      </c>
      <c r="AM26" s="183">
        <f t="shared" si="10"/>
        <v>0</v>
      </c>
      <c r="AN26" s="183">
        <f t="shared" si="10"/>
        <v>0</v>
      </c>
      <c r="AO26" s="39"/>
      <c r="AP26" s="36"/>
      <c r="AQ26" s="28"/>
      <c r="AR26" s="29"/>
    </row>
    <row r="27" spans="1:47" ht="12.75" customHeight="1" x14ac:dyDescent="0.2">
      <c r="A27" s="41" t="s">
        <v>358</v>
      </c>
      <c r="B27" s="40">
        <v>-32</v>
      </c>
      <c r="C27" s="40">
        <v>-53</v>
      </c>
      <c r="D27" s="40">
        <v>-161</v>
      </c>
      <c r="E27" s="40">
        <v>-54</v>
      </c>
      <c r="F27" s="36">
        <v>-300</v>
      </c>
      <c r="G27" s="36">
        <f>52-135-315+32</f>
        <v>-366</v>
      </c>
      <c r="H27" s="36">
        <f>-130-38-73</f>
        <v>-241</v>
      </c>
      <c r="I27" s="36">
        <f>-119-112+10</f>
        <v>-221</v>
      </c>
      <c r="J27" s="36">
        <f>-128+130-176</f>
        <v>-174</v>
      </c>
      <c r="K27" s="36">
        <f>SUM(G27:J27)</f>
        <v>-1002</v>
      </c>
      <c r="L27" s="36">
        <f>83-141-167</f>
        <v>-225</v>
      </c>
      <c r="M27" s="36">
        <f>-110-56</f>
        <v>-166</v>
      </c>
      <c r="N27" s="36">
        <f>-110+29</f>
        <v>-81</v>
      </c>
      <c r="O27" s="36">
        <f>-159-136-119+30</f>
        <v>-384</v>
      </c>
      <c r="P27" s="36">
        <f t="shared" si="8"/>
        <v>-856</v>
      </c>
      <c r="Q27" s="36">
        <f>-187+82</f>
        <v>-105</v>
      </c>
      <c r="R27" s="36">
        <f>-437-R22-R23</f>
        <v>-632</v>
      </c>
      <c r="S27" s="36">
        <f>10-360-88-68+1</f>
        <v>-505</v>
      </c>
      <c r="T27" s="36">
        <f>-54-80-375+56+5</f>
        <v>-448</v>
      </c>
      <c r="U27" s="36">
        <f t="shared" si="5"/>
        <v>-1690</v>
      </c>
      <c r="V27" s="36">
        <f>172-38-V22-V23</f>
        <v>-55</v>
      </c>
      <c r="W27" s="36">
        <f>38-W22-W23</f>
        <v>-155</v>
      </c>
      <c r="X27" s="36">
        <f>244-X22-X23</f>
        <v>55</v>
      </c>
      <c r="Y27" s="36">
        <f>51-Y22-Y23</f>
        <v>-149</v>
      </c>
      <c r="Z27" s="36">
        <f>SUM(V27:Y27)</f>
        <v>-304</v>
      </c>
      <c r="AA27" s="36">
        <f>139-AA23-AA22</f>
        <v>-97</v>
      </c>
      <c r="AB27" s="36">
        <f>202-AB23-AB22</f>
        <v>-23</v>
      </c>
      <c r="AC27" s="36">
        <f>105-AC23-AC22</f>
        <v>-99</v>
      </c>
      <c r="AD27" s="36">
        <f>-86-AD23-AD22</f>
        <v>-226</v>
      </c>
      <c r="AE27" s="36">
        <f>SUM(AA27:AD27)</f>
        <v>-445</v>
      </c>
      <c r="AF27" s="36">
        <f>AA27*1.05</f>
        <v>-101.85000000000001</v>
      </c>
      <c r="AG27" s="36">
        <f>AB27*1.05</f>
        <v>-24.150000000000002</v>
      </c>
      <c r="AH27" s="36">
        <f>AC27*1.05</f>
        <v>-103.95</v>
      </c>
      <c r="AI27" s="36">
        <f>AD27*1.05</f>
        <v>-237.3</v>
      </c>
      <c r="AJ27" s="183">
        <f>SUM(AF27:AI27)</f>
        <v>-467.25</v>
      </c>
      <c r="AK27" s="183">
        <f t="shared" si="10"/>
        <v>-490.61250000000001</v>
      </c>
      <c r="AL27" s="183">
        <f t="shared" si="10"/>
        <v>-515.14312500000005</v>
      </c>
      <c r="AM27" s="183">
        <f t="shared" si="10"/>
        <v>-540.90028125000003</v>
      </c>
      <c r="AN27" s="183">
        <f t="shared" si="10"/>
        <v>-567.94529531250009</v>
      </c>
      <c r="AO27" s="39"/>
      <c r="AP27" s="36"/>
      <c r="AQ27" s="28"/>
      <c r="AR27" s="29"/>
    </row>
    <row r="28" spans="1:47" ht="17" x14ac:dyDescent="0.2">
      <c r="A28" s="42" t="s">
        <v>359</v>
      </c>
      <c r="B28" s="40">
        <v>57</v>
      </c>
      <c r="C28" s="40">
        <v>24</v>
      </c>
      <c r="D28" s="40">
        <v>-68</v>
      </c>
      <c r="E28" s="40">
        <v>19</v>
      </c>
      <c r="F28" s="40">
        <v>32</v>
      </c>
      <c r="G28" s="40">
        <f>G27+G25+G26+G24+G23+G22</f>
        <v>-259</v>
      </c>
      <c r="H28" s="40">
        <f>H27+H25+H26+H24+H23+H22</f>
        <v>-121</v>
      </c>
      <c r="I28" s="40">
        <f>I27+I25+I26+I24+I23+I22</f>
        <v>-162</v>
      </c>
      <c r="J28" s="40">
        <f>J27+J25+J26+J24+J23+J22</f>
        <v>-66</v>
      </c>
      <c r="K28" s="40">
        <f>SUM(G28:J28)</f>
        <v>-608</v>
      </c>
      <c r="L28" s="40">
        <f>L27+L25+L26+L24+L23+L22</f>
        <v>21</v>
      </c>
      <c r="M28" s="40">
        <v>-56</v>
      </c>
      <c r="N28" s="40">
        <v>29</v>
      </c>
      <c r="O28" s="40">
        <f t="shared" ref="O28:T28" si="11">O27+O25+O26+O24+O23+O22</f>
        <v>-193</v>
      </c>
      <c r="P28" s="40">
        <f t="shared" si="11"/>
        <v>-199</v>
      </c>
      <c r="Q28" s="40">
        <f t="shared" si="11"/>
        <v>82</v>
      </c>
      <c r="R28" s="40">
        <f t="shared" si="11"/>
        <v>-437</v>
      </c>
      <c r="S28" s="40">
        <f>S27+S25+S26+S24+S23+S22</f>
        <v>-311</v>
      </c>
      <c r="T28" s="40">
        <f t="shared" si="11"/>
        <v>-253</v>
      </c>
      <c r="U28" s="40">
        <f>SUM(Q28:T28)+1</f>
        <v>-918</v>
      </c>
      <c r="V28" s="40">
        <f t="shared" ref="V28:AJ28" si="12">V27+V25+V26+V24+V23+V22</f>
        <v>134</v>
      </c>
      <c r="W28" s="40">
        <f t="shared" si="12"/>
        <v>38</v>
      </c>
      <c r="X28" s="40">
        <f t="shared" si="12"/>
        <v>244</v>
      </c>
      <c r="Y28" s="40">
        <f t="shared" si="12"/>
        <v>51</v>
      </c>
      <c r="Z28" s="40">
        <f t="shared" si="12"/>
        <v>467</v>
      </c>
      <c r="AA28" s="40">
        <f t="shared" si="12"/>
        <v>139</v>
      </c>
      <c r="AB28" s="40">
        <f t="shared" si="12"/>
        <v>202</v>
      </c>
      <c r="AC28" s="40">
        <f t="shared" si="12"/>
        <v>105</v>
      </c>
      <c r="AD28" s="40">
        <f t="shared" si="12"/>
        <v>-86</v>
      </c>
      <c r="AE28" s="40">
        <f t="shared" si="12"/>
        <v>360</v>
      </c>
      <c r="AF28" s="40">
        <f t="shared" si="12"/>
        <v>136.14999999999998</v>
      </c>
      <c r="AG28" s="40">
        <f t="shared" si="12"/>
        <v>213.85</v>
      </c>
      <c r="AH28" s="40">
        <f t="shared" si="12"/>
        <v>134.05000000000001</v>
      </c>
      <c r="AI28" s="40">
        <f t="shared" si="12"/>
        <v>-76.300000000000011</v>
      </c>
      <c r="AJ28" s="224">
        <f t="shared" si="12"/>
        <v>407.75</v>
      </c>
      <c r="AK28" s="224">
        <f>AK27+AK25+AK26+AK24+AK23+AK22</f>
        <v>455.3875000000001</v>
      </c>
      <c r="AL28" s="224">
        <f>AL27+AL25+AL26+AL24+AL23+AL22</f>
        <v>507.59687500000024</v>
      </c>
      <c r="AM28" s="224">
        <f>AM27+AM25+AM26+AM24+AM23+AM22</f>
        <v>564.78251875000046</v>
      </c>
      <c r="AN28" s="224">
        <f>AN27+AN25+AN26+AN24+AN23+AN22</f>
        <v>627.38314468750059</v>
      </c>
      <c r="AO28" s="39"/>
      <c r="AP28" s="40"/>
      <c r="AQ28" s="28"/>
      <c r="AR28" s="29"/>
    </row>
    <row r="29" spans="1:47" s="31" customFormat="1" ht="17" x14ac:dyDescent="0.2">
      <c r="A29" s="34" t="s">
        <v>360</v>
      </c>
      <c r="B29" s="39">
        <v>3092</v>
      </c>
      <c r="C29" s="39">
        <v>3531</v>
      </c>
      <c r="D29" s="39">
        <v>3762</v>
      </c>
      <c r="E29" s="39">
        <v>3157</v>
      </c>
      <c r="F29" s="39">
        <v>13542</v>
      </c>
      <c r="G29" s="39">
        <f>G20-G21-G28</f>
        <v>3559.8000000000011</v>
      </c>
      <c r="H29" s="39">
        <f>H20-H21-H28</f>
        <v>3487.8000000000011</v>
      </c>
      <c r="I29" s="39">
        <f>I20-I21-I28</f>
        <v>3930</v>
      </c>
      <c r="J29" s="39">
        <f>J20-J21-J28</f>
        <v>3555</v>
      </c>
      <c r="K29" s="39">
        <f>K20-K28-K21</f>
        <v>14532.600000000006</v>
      </c>
      <c r="L29" s="39">
        <f>L20-L21-L28</f>
        <v>3802</v>
      </c>
      <c r="M29" s="39">
        <f>M20-M21-M28</f>
        <v>4126</v>
      </c>
      <c r="N29" s="39">
        <f>N20-N21-N28</f>
        <v>4600</v>
      </c>
      <c r="O29" s="39">
        <f>O20-O21-O28</f>
        <v>3593</v>
      </c>
      <c r="P29" s="39">
        <f>P20-P28-P21</f>
        <v>16120</v>
      </c>
      <c r="Q29" s="39">
        <f>Q20-Q21-Q28</f>
        <v>4606</v>
      </c>
      <c r="R29" s="39">
        <f>R20-R21-R28</f>
        <v>4096</v>
      </c>
      <c r="S29" s="39">
        <f>S20-S21-S28</f>
        <v>5203</v>
      </c>
      <c r="T29" s="39">
        <f>T20-T21-T28</f>
        <v>3957</v>
      </c>
      <c r="U29" s="39">
        <f>U20-U28-U21</f>
        <v>17861</v>
      </c>
      <c r="V29" s="39">
        <f t="shared" ref="V29:AN29" si="13">V20-V21-V28</f>
        <v>5204</v>
      </c>
      <c r="W29" s="39">
        <f t="shared" si="13"/>
        <v>3891</v>
      </c>
      <c r="X29" s="39">
        <f t="shared" si="13"/>
        <v>5108</v>
      </c>
      <c r="Y29" s="39">
        <f t="shared" si="13"/>
        <v>4784</v>
      </c>
      <c r="Z29" s="39">
        <f t="shared" si="13"/>
        <v>18987</v>
      </c>
      <c r="AA29" s="39">
        <f t="shared" si="13"/>
        <v>6310</v>
      </c>
      <c r="AB29" s="39">
        <f t="shared" si="13"/>
        <v>5509</v>
      </c>
      <c r="AC29" s="39">
        <f t="shared" si="13"/>
        <v>5452</v>
      </c>
      <c r="AD29" s="39">
        <f t="shared" si="13"/>
        <v>4892</v>
      </c>
      <c r="AE29" s="39">
        <f t="shared" si="13"/>
        <v>22163</v>
      </c>
      <c r="AF29" s="39">
        <f t="shared" si="13"/>
        <v>4888.8323600000022</v>
      </c>
      <c r="AG29" s="39">
        <f t="shared" si="13"/>
        <v>5057.4832999999999</v>
      </c>
      <c r="AH29" s="39">
        <f t="shared" si="13"/>
        <v>5745.1381399999982</v>
      </c>
      <c r="AI29" s="39">
        <f t="shared" si="13"/>
        <v>5031.1364800000001</v>
      </c>
      <c r="AJ29" s="187">
        <f t="shared" si="13"/>
        <v>20722.59028</v>
      </c>
      <c r="AK29" s="187">
        <f t="shared" si="13"/>
        <v>24897.717204727036</v>
      </c>
      <c r="AL29" s="187">
        <f t="shared" si="13"/>
        <v>27320.140894884757</v>
      </c>
      <c r="AM29" s="187">
        <f t="shared" si="13"/>
        <v>28485.276656723781</v>
      </c>
      <c r="AN29" s="187">
        <f t="shared" si="13"/>
        <v>30013.147863438189</v>
      </c>
      <c r="AO29" s="39"/>
      <c r="AP29" s="36"/>
      <c r="AQ29" s="28">
        <f>(AL29/AE29)^(1/3)-1</f>
        <v>7.2222202948793779E-2</v>
      </c>
      <c r="AR29" s="29">
        <f>(AN29/AE29)^(1/5)-1</f>
        <v>6.251874413334102E-2</v>
      </c>
    </row>
    <row r="30" spans="1:47" ht="17" x14ac:dyDescent="0.2">
      <c r="A30" s="32" t="s">
        <v>361</v>
      </c>
      <c r="B30" s="36">
        <v>650</v>
      </c>
      <c r="C30" s="36">
        <v>748</v>
      </c>
      <c r="D30" s="36">
        <v>703</v>
      </c>
      <c r="E30" s="36">
        <v>484</v>
      </c>
      <c r="F30" s="36">
        <v>2585</v>
      </c>
      <c r="G30" s="36">
        <v>711</v>
      </c>
      <c r="H30" s="36">
        <v>625</v>
      </c>
      <c r="I30" s="36">
        <f>707+38</f>
        <v>745</v>
      </c>
      <c r="J30" s="36">
        <v>801</v>
      </c>
      <c r="K30" s="36">
        <f>SUM(G30:J30)</f>
        <v>2882</v>
      </c>
      <c r="L30" s="36">
        <f>205+98+31+292</f>
        <v>626</v>
      </c>
      <c r="M30" s="36">
        <v>760</v>
      </c>
      <c r="N30" s="36">
        <v>721</v>
      </c>
      <c r="O30" s="36">
        <v>608</v>
      </c>
      <c r="P30" s="36">
        <f>SUM(L30:O30)</f>
        <v>2715</v>
      </c>
      <c r="Q30" s="36">
        <v>784</v>
      </c>
      <c r="R30" s="36">
        <v>604</v>
      </c>
      <c r="S30" s="36">
        <v>772</v>
      </c>
      <c r="T30" s="36">
        <v>605</v>
      </c>
      <c r="U30" s="36">
        <f>SUM(Q30:T30)-1</f>
        <v>2764</v>
      </c>
      <c r="V30" s="36">
        <f>1064-570</f>
        <v>494</v>
      </c>
      <c r="W30" s="36">
        <v>570</v>
      </c>
      <c r="X30" s="36">
        <v>665</v>
      </c>
      <c r="Y30" s="36">
        <v>205</v>
      </c>
      <c r="Z30" s="36">
        <f>SUM(V30:Y30)</f>
        <v>1934</v>
      </c>
      <c r="AA30" s="36">
        <v>883</v>
      </c>
      <c r="AB30" s="36">
        <v>761</v>
      </c>
      <c r="AC30" s="36">
        <v>744</v>
      </c>
      <c r="AD30" s="36">
        <v>762</v>
      </c>
      <c r="AE30" s="36">
        <f>SUM(AA30:AD30)</f>
        <v>3150</v>
      </c>
      <c r="AF30" s="36">
        <f>AF29*AF52</f>
        <v>831.10150120000037</v>
      </c>
      <c r="AG30" s="36">
        <f>AG29*AG52</f>
        <v>859.7721610000001</v>
      </c>
      <c r="AH30" s="36">
        <f>AH29*AH52</f>
        <v>976.67348379999976</v>
      </c>
      <c r="AI30" s="36">
        <f>AI29*AI52</f>
        <v>855.29320160000009</v>
      </c>
      <c r="AJ30" s="183">
        <f>SUM(AF30:AI30)</f>
        <v>3522.8403476000003</v>
      </c>
      <c r="AK30" s="183">
        <f>AK29*AK52</f>
        <v>4357.1005108272311</v>
      </c>
      <c r="AL30" s="183">
        <f>AL29*AL52</f>
        <v>4781.0246566048318</v>
      </c>
      <c r="AM30" s="183">
        <f>AM29*AM52</f>
        <v>4984.9234149266613</v>
      </c>
      <c r="AN30" s="183">
        <f>AN29*AN52</f>
        <v>5252.3008761016827</v>
      </c>
      <c r="AO30" s="39"/>
      <c r="AP30" s="36"/>
      <c r="AQ30" s="28"/>
      <c r="AR30" s="29"/>
    </row>
    <row r="31" spans="1:47" ht="17" x14ac:dyDescent="0.2">
      <c r="A31" s="32" t="s">
        <v>362</v>
      </c>
      <c r="B31" s="29">
        <v>0.21021992238033635</v>
      </c>
      <c r="C31" s="29">
        <v>0.21183800623052959</v>
      </c>
      <c r="D31" s="29">
        <v>0.18686868686868688</v>
      </c>
      <c r="E31" s="29">
        <v>0.15331010452961671</v>
      </c>
      <c r="F31" s="29">
        <v>0.1908876089203958</v>
      </c>
      <c r="G31" s="29">
        <f t="shared" ref="G31:O31" si="14">G52</f>
        <v>0.19973032192819815</v>
      </c>
      <c r="H31" s="29">
        <f t="shared" si="14"/>
        <v>0.17919605481965703</v>
      </c>
      <c r="I31" s="29">
        <f t="shared" si="14"/>
        <v>0.192</v>
      </c>
      <c r="J31" s="29">
        <f t="shared" si="14"/>
        <v>0.192</v>
      </c>
      <c r="K31" s="29">
        <f t="shared" si="14"/>
        <v>0.1983127589006784</v>
      </c>
      <c r="L31" s="29">
        <f t="shared" si="14"/>
        <v>0.16465018411362442</v>
      </c>
      <c r="M31" s="29">
        <f t="shared" si="14"/>
        <v>0.18419777023751818</v>
      </c>
      <c r="N31" s="29">
        <f t="shared" si="14"/>
        <v>0.1567391304347826</v>
      </c>
      <c r="O31" s="29">
        <f t="shared" si="14"/>
        <v>0.16921792374060673</v>
      </c>
      <c r="P31" s="29">
        <f>P52</f>
        <v>0.168424317617866</v>
      </c>
      <c r="Q31" s="29">
        <f>Q52</f>
        <v>0.1702127659574468</v>
      </c>
      <c r="R31" s="29">
        <f>R52</f>
        <v>0.1474609375</v>
      </c>
      <c r="S31" s="29">
        <f>S52</f>
        <v>0.14837593695944648</v>
      </c>
      <c r="T31" s="29">
        <f>T52</f>
        <v>0.15289360626737428</v>
      </c>
      <c r="U31" s="29">
        <f t="shared" ref="U31:AJ31" si="15">U52</f>
        <v>0.15475057387604277</v>
      </c>
      <c r="V31" s="29">
        <f t="shared" si="15"/>
        <v>9.4926979246733281E-2</v>
      </c>
      <c r="W31" s="29">
        <f t="shared" si="15"/>
        <v>0.14649190439475712</v>
      </c>
      <c r="X31" s="29">
        <f t="shared" si="15"/>
        <v>0.13018794048551291</v>
      </c>
      <c r="Y31" s="29">
        <f t="shared" si="15"/>
        <v>4.2851170568561872E-2</v>
      </c>
      <c r="Z31" s="29">
        <f t="shared" si="15"/>
        <v>0.1018591667983357</v>
      </c>
      <c r="AA31" s="29">
        <f t="shared" si="15"/>
        <v>0.13993660855784468</v>
      </c>
      <c r="AB31" s="29">
        <f t="shared" si="15"/>
        <v>0.13813759302958795</v>
      </c>
      <c r="AC31" s="29">
        <f t="shared" si="15"/>
        <v>0.13646368305209097</v>
      </c>
      <c r="AD31" s="29">
        <f t="shared" si="15"/>
        <v>0.15576451349141454</v>
      </c>
      <c r="AE31" s="29">
        <f t="shared" si="15"/>
        <v>0.14212877318052611</v>
      </c>
      <c r="AF31" s="29">
        <f t="shared" si="15"/>
        <v>0.17</v>
      </c>
      <c r="AG31" s="29">
        <f t="shared" si="15"/>
        <v>0.17</v>
      </c>
      <c r="AH31" s="29">
        <f t="shared" si="15"/>
        <v>0.17</v>
      </c>
      <c r="AI31" s="29">
        <f t="shared" si="15"/>
        <v>0.17</v>
      </c>
      <c r="AJ31" s="225">
        <f t="shared" si="15"/>
        <v>0.17</v>
      </c>
      <c r="AK31" s="225">
        <f>AK52</f>
        <v>0.17499999999999999</v>
      </c>
      <c r="AL31" s="225">
        <f>AL52</f>
        <v>0.17499999999999999</v>
      </c>
      <c r="AM31" s="225">
        <f>AM52</f>
        <v>0.17499999999999999</v>
      </c>
      <c r="AN31" s="225">
        <f>AN52</f>
        <v>0.17499999999999999</v>
      </c>
      <c r="AO31" s="39"/>
      <c r="AP31" s="29"/>
      <c r="AQ31" s="28"/>
      <c r="AR31" s="29"/>
    </row>
    <row r="32" spans="1:47" ht="17" x14ac:dyDescent="0.2">
      <c r="A32" s="32" t="s">
        <v>363</v>
      </c>
      <c r="B32" s="44">
        <v>5</v>
      </c>
      <c r="C32" s="44">
        <v>5</v>
      </c>
      <c r="D32" s="44">
        <v>5</v>
      </c>
      <c r="E32" s="44">
        <v>8</v>
      </c>
      <c r="F32" s="44">
        <v>24</v>
      </c>
      <c r="G32" s="44">
        <v>5</v>
      </c>
      <c r="H32" s="44">
        <v>9</v>
      </c>
      <c r="I32" s="44">
        <v>8</v>
      </c>
      <c r="J32" s="44">
        <v>9</v>
      </c>
      <c r="K32" s="44">
        <f>J32+I32+H32+G32</f>
        <v>31</v>
      </c>
      <c r="L32" s="44">
        <f>-53+53</f>
        <v>0</v>
      </c>
      <c r="M32" s="44">
        <v>10</v>
      </c>
      <c r="N32" s="44">
        <v>6</v>
      </c>
      <c r="O32" s="44">
        <v>7</v>
      </c>
      <c r="P32" s="44">
        <f>O32+N32+M32+L32</f>
        <v>23</v>
      </c>
      <c r="Q32" s="44">
        <v>0</v>
      </c>
      <c r="R32" s="44">
        <v>8</v>
      </c>
      <c r="S32" s="44">
        <v>4</v>
      </c>
      <c r="T32" s="44">
        <v>2</v>
      </c>
      <c r="U32" s="44">
        <f>T32+S32+R32+1</f>
        <v>15</v>
      </c>
      <c r="V32" s="44">
        <v>7</v>
      </c>
      <c r="W32" s="44">
        <v>1</v>
      </c>
      <c r="X32" s="44">
        <v>4</v>
      </c>
      <c r="Y32" s="44">
        <f>15/4</f>
        <v>3.75</v>
      </c>
      <c r="Z32" s="44">
        <f>SUM(V32:Y32)</f>
        <v>15.75</v>
      </c>
      <c r="AA32" s="44">
        <v>-3</v>
      </c>
      <c r="AB32" s="44">
        <v>5</v>
      </c>
      <c r="AC32" s="44">
        <v>5</v>
      </c>
      <c r="AD32" s="44">
        <v>1</v>
      </c>
      <c r="AE32" s="44">
        <f>SUM(AA32:AD32)</f>
        <v>8</v>
      </c>
      <c r="AF32" s="44">
        <f>AA32*1.02</f>
        <v>-3.06</v>
      </c>
      <c r="AG32" s="44">
        <f>AB32*1.02</f>
        <v>5.0999999999999996</v>
      </c>
      <c r="AH32" s="44">
        <f>AC32*1.02</f>
        <v>5.0999999999999996</v>
      </c>
      <c r="AI32" s="44">
        <f>AD32*1.02</f>
        <v>1.02</v>
      </c>
      <c r="AJ32" s="226">
        <f>SUM(AF32:AI32)</f>
        <v>8.1599999999999984</v>
      </c>
      <c r="AK32" s="226">
        <f>AJ32*1.02</f>
        <v>8.3231999999999982</v>
      </c>
      <c r="AL32" s="226">
        <f>AK32*1.02</f>
        <v>8.4896639999999977</v>
      </c>
      <c r="AM32" s="226">
        <f>AL32*1.02</f>
        <v>8.659457279999998</v>
      </c>
      <c r="AN32" s="226">
        <f>AM32*1.02</f>
        <v>8.8326464255999984</v>
      </c>
      <c r="AO32" s="39"/>
      <c r="AP32" s="44"/>
      <c r="AQ32" s="28"/>
      <c r="AR32" s="29"/>
    </row>
    <row r="33" spans="1:44" s="31" customFormat="1" ht="17" x14ac:dyDescent="0.2">
      <c r="A33" s="34" t="s">
        <v>364</v>
      </c>
      <c r="B33" s="39">
        <v>2437</v>
      </c>
      <c r="C33" s="39">
        <v>2778</v>
      </c>
      <c r="D33" s="39">
        <v>3054</v>
      </c>
      <c r="E33" s="39">
        <v>2665</v>
      </c>
      <c r="F33" s="39">
        <v>10933</v>
      </c>
      <c r="G33" s="39">
        <f t="shared" ref="G33:T33" si="16">G29-G30-G32</f>
        <v>2843.8000000000011</v>
      </c>
      <c r="H33" s="39">
        <f t="shared" si="16"/>
        <v>2853.8000000000011</v>
      </c>
      <c r="I33" s="39">
        <f t="shared" si="16"/>
        <v>3177</v>
      </c>
      <c r="J33" s="39">
        <f t="shared" si="16"/>
        <v>2745</v>
      </c>
      <c r="K33" s="39">
        <f t="shared" si="16"/>
        <v>11619.600000000006</v>
      </c>
      <c r="L33" s="39">
        <f t="shared" si="16"/>
        <v>3176</v>
      </c>
      <c r="M33" s="39">
        <f t="shared" si="16"/>
        <v>3356</v>
      </c>
      <c r="N33" s="39">
        <f t="shared" si="16"/>
        <v>3873</v>
      </c>
      <c r="O33" s="39">
        <f t="shared" si="16"/>
        <v>2978</v>
      </c>
      <c r="P33" s="39">
        <f>P29-P30-P32</f>
        <v>13382</v>
      </c>
      <c r="Q33" s="39">
        <f t="shared" si="16"/>
        <v>3822</v>
      </c>
      <c r="R33" s="39">
        <f>R29-R30-R32</f>
        <v>3484</v>
      </c>
      <c r="S33" s="39">
        <f t="shared" si="16"/>
        <v>4427</v>
      </c>
      <c r="T33" s="39">
        <f t="shared" si="16"/>
        <v>3350</v>
      </c>
      <c r="U33" s="39">
        <f>U29-U30-U32</f>
        <v>15082</v>
      </c>
      <c r="V33" s="39">
        <f>V29-V30-V32</f>
        <v>4703</v>
      </c>
      <c r="W33" s="39">
        <f>W29-W30-W32</f>
        <v>3320</v>
      </c>
      <c r="X33" s="39">
        <f>X29-X30-X32</f>
        <v>4439</v>
      </c>
      <c r="Y33" s="39">
        <f>Y29-Y30-Y32</f>
        <v>4575.25</v>
      </c>
      <c r="Z33" s="39">
        <f t="shared" ref="Z33:AJ33" si="17">Z29-Z30-Z32</f>
        <v>17037.25</v>
      </c>
      <c r="AA33" s="39">
        <f>AA29-AA30-AA32</f>
        <v>5430</v>
      </c>
      <c r="AB33" s="39">
        <f t="shared" si="17"/>
        <v>4743</v>
      </c>
      <c r="AC33" s="39">
        <f t="shared" si="17"/>
        <v>4703</v>
      </c>
      <c r="AD33" s="39">
        <f t="shared" si="17"/>
        <v>4129</v>
      </c>
      <c r="AE33" s="39">
        <f t="shared" si="17"/>
        <v>19005</v>
      </c>
      <c r="AF33" s="39">
        <f t="shared" si="17"/>
        <v>4060.7908588000018</v>
      </c>
      <c r="AG33" s="39">
        <f t="shared" si="17"/>
        <v>4192.6111389999996</v>
      </c>
      <c r="AH33" s="39">
        <f t="shared" si="17"/>
        <v>4763.3646561999976</v>
      </c>
      <c r="AI33" s="39">
        <f t="shared" si="17"/>
        <v>4174.8232783999993</v>
      </c>
      <c r="AJ33" s="187">
        <f t="shared" si="17"/>
        <v>17191.589932400002</v>
      </c>
      <c r="AK33" s="187">
        <f>AK29-AK30-AK32</f>
        <v>20532.293493899808</v>
      </c>
      <c r="AL33" s="187">
        <f>AL29-AL30-AL32</f>
        <v>22530.626574279922</v>
      </c>
      <c r="AM33" s="187">
        <f>AM29-AM30-AM32</f>
        <v>23491.693784517123</v>
      </c>
      <c r="AN33" s="187">
        <f>AN29-AN30-AN32</f>
        <v>24752.014340910908</v>
      </c>
      <c r="AO33" s="39"/>
      <c r="AP33" s="36"/>
      <c r="AQ33" s="28">
        <f>(AL33/AE33)^(1/3)-1</f>
        <v>5.8364177585396471E-2</v>
      </c>
      <c r="AR33" s="29">
        <f>(AN33/AE33)^(1/5)-1</f>
        <v>5.4261955800585238E-2</v>
      </c>
    </row>
    <row r="34" spans="1:44" s="31" customFormat="1" ht="17" x14ac:dyDescent="0.2">
      <c r="A34" s="34" t="s">
        <v>365</v>
      </c>
      <c r="B34" s="45">
        <v>0.88105567606652202</v>
      </c>
      <c r="C34" s="45">
        <v>1.0094476744186047</v>
      </c>
      <c r="D34" s="45">
        <v>1.11991199119912</v>
      </c>
      <c r="E34" s="45">
        <v>0.98158379373848992</v>
      </c>
      <c r="F34" s="45">
        <v>3.9785298398835516</v>
      </c>
      <c r="G34" s="45">
        <f t="shared" ref="G34:U34" si="18">G33/G36</f>
        <v>1.0493726937269376</v>
      </c>
      <c r="H34" s="45">
        <f t="shared" si="18"/>
        <v>1.05853115727003</v>
      </c>
      <c r="I34" s="45">
        <f t="shared" si="18"/>
        <v>1.1863330843913369</v>
      </c>
      <c r="J34" s="45">
        <f t="shared" si="18"/>
        <v>1.042141230068337</v>
      </c>
      <c r="K34" s="45">
        <f t="shared" si="18"/>
        <v>4.3372900335946269</v>
      </c>
      <c r="L34" s="45">
        <f t="shared" si="18"/>
        <v>1.2168582375478927</v>
      </c>
      <c r="M34" s="45">
        <f t="shared" si="18"/>
        <v>1.2967542503863987</v>
      </c>
      <c r="N34" s="45">
        <f t="shared" si="18"/>
        <v>1.4971008890606881</v>
      </c>
      <c r="O34" s="45">
        <f t="shared" si="18"/>
        <v>1.1637358343102775</v>
      </c>
      <c r="P34" s="45">
        <f t="shared" si="18"/>
        <v>5.1868217054263566</v>
      </c>
      <c r="Q34" s="45">
        <f t="shared" si="18"/>
        <v>1.5005889281507656</v>
      </c>
      <c r="R34" s="45">
        <f t="shared" si="18"/>
        <v>1.3738170347003154</v>
      </c>
      <c r="S34" s="45">
        <f t="shared" si="18"/>
        <v>1.7422274695001967</v>
      </c>
      <c r="T34" s="45">
        <f t="shared" si="18"/>
        <v>1.3188976377952757</v>
      </c>
      <c r="U34" s="45">
        <f t="shared" si="18"/>
        <v>5.9354584809130264</v>
      </c>
      <c r="V34" s="45">
        <f>V33/V36</f>
        <v>1.8508461235733964</v>
      </c>
      <c r="W34" s="45">
        <f>W33/W36</f>
        <v>1.3070866141732282</v>
      </c>
      <c r="X34" s="45">
        <f>X33/X36</f>
        <v>1.7503943217665616</v>
      </c>
      <c r="Y34" s="45">
        <f>Y33/Y36</f>
        <v>1.8048323471400394</v>
      </c>
      <c r="Z34" s="45">
        <f t="shared" ref="Z34:AJ34" si="19">Z33/Z36</f>
        <v>6.7128644602048855</v>
      </c>
      <c r="AA34" s="45">
        <f t="shared" si="19"/>
        <v>2.1403232163973196</v>
      </c>
      <c r="AB34" s="45">
        <f t="shared" si="19"/>
        <v>1.8673228346456694</v>
      </c>
      <c r="AC34" s="45">
        <f t="shared" si="19"/>
        <v>1.8501180173092053</v>
      </c>
      <c r="AD34" s="45">
        <f t="shared" si="19"/>
        <v>1.6281545741324921</v>
      </c>
      <c r="AE34" s="45">
        <f t="shared" si="19"/>
        <v>7.4881796690307327</v>
      </c>
      <c r="AF34" s="45">
        <f t="shared" si="19"/>
        <v>1.6093047488229799</v>
      </c>
      <c r="AG34" s="45">
        <f t="shared" si="19"/>
        <v>1.6698950337980978</v>
      </c>
      <c r="AH34" s="45">
        <f t="shared" si="19"/>
        <v>1.9067569518606009</v>
      </c>
      <c r="AI34" s="45">
        <f t="shared" si="19"/>
        <v>1.6795638718084254</v>
      </c>
      <c r="AJ34" s="227">
        <f t="shared" si="19"/>
        <v>6.864395097661447</v>
      </c>
      <c r="AK34" s="227">
        <f>AK33/AK36</f>
        <v>8.3656100523496821</v>
      </c>
      <c r="AL34" s="227">
        <f>AL33/AL36</f>
        <v>9.367147247450907</v>
      </c>
      <c r="AM34" s="227">
        <f>AM33/AM36</f>
        <v>9.9660332799204543</v>
      </c>
      <c r="AN34" s="227">
        <f>AN33/AN36</f>
        <v>10.715007373144834</v>
      </c>
      <c r="AO34" s="45"/>
      <c r="AP34" s="46"/>
      <c r="AQ34" s="28">
        <f>(AL34/AE34)^(1/3)-1</f>
        <v>7.7482843382848943E-2</v>
      </c>
      <c r="AR34" s="29">
        <f>(AN34/AE34)^(1/5)-1</f>
        <v>7.4294231118769538E-2</v>
      </c>
    </row>
    <row r="35" spans="1:44" ht="12.75" customHeight="1" x14ac:dyDescent="0.2">
      <c r="A35" s="32" t="s">
        <v>366</v>
      </c>
      <c r="B35" s="46">
        <v>0.88105567606652202</v>
      </c>
      <c r="C35" s="46">
        <v>1.0094476744186047</v>
      </c>
      <c r="D35" s="46">
        <v>1.11991199119912</v>
      </c>
      <c r="E35" s="46">
        <v>0.98158379373848992</v>
      </c>
      <c r="F35" s="46">
        <v>3.9785298398835516</v>
      </c>
      <c r="G35" s="46">
        <f t="shared" ref="G35:O35" si="20">G34</f>
        <v>1.0493726937269376</v>
      </c>
      <c r="H35" s="46">
        <f t="shared" si="20"/>
        <v>1.05853115727003</v>
      </c>
      <c r="I35" s="46">
        <f t="shared" si="20"/>
        <v>1.1863330843913369</v>
      </c>
      <c r="J35" s="46">
        <f t="shared" si="20"/>
        <v>1.042141230068337</v>
      </c>
      <c r="K35" s="46">
        <f t="shared" si="20"/>
        <v>4.3372900335946269</v>
      </c>
      <c r="L35" s="46">
        <f t="shared" si="20"/>
        <v>1.2168582375478927</v>
      </c>
      <c r="M35" s="46">
        <f t="shared" si="20"/>
        <v>1.2967542503863987</v>
      </c>
      <c r="N35" s="46">
        <f t="shared" si="20"/>
        <v>1.4971008890606881</v>
      </c>
      <c r="O35" s="46">
        <f t="shared" si="20"/>
        <v>1.1637358343102775</v>
      </c>
      <c r="P35" s="46">
        <f>P34</f>
        <v>5.1868217054263566</v>
      </c>
      <c r="Q35" s="46"/>
      <c r="R35" s="46"/>
      <c r="S35" s="46"/>
      <c r="T35" s="46"/>
      <c r="U35" s="46">
        <f t="shared" ref="U35:AJ35" si="21">U34</f>
        <v>5.9354584809130264</v>
      </c>
      <c r="V35" s="46"/>
      <c r="W35" s="46"/>
      <c r="X35" s="46"/>
      <c r="Y35" s="46"/>
      <c r="Z35" s="46">
        <f t="shared" si="21"/>
        <v>6.7128644602048855</v>
      </c>
      <c r="AA35" s="46">
        <f t="shared" si="21"/>
        <v>2.1403232163973196</v>
      </c>
      <c r="AB35" s="46">
        <f t="shared" si="21"/>
        <v>1.8673228346456694</v>
      </c>
      <c r="AC35" s="46">
        <f t="shared" si="21"/>
        <v>1.8501180173092053</v>
      </c>
      <c r="AD35" s="46">
        <f t="shared" si="21"/>
        <v>1.6281545741324921</v>
      </c>
      <c r="AE35" s="46">
        <f t="shared" si="21"/>
        <v>7.4881796690307327</v>
      </c>
      <c r="AF35" s="46">
        <f t="shared" si="21"/>
        <v>1.6093047488229799</v>
      </c>
      <c r="AG35" s="46">
        <f t="shared" si="21"/>
        <v>1.6698950337980978</v>
      </c>
      <c r="AH35" s="46">
        <f t="shared" si="21"/>
        <v>1.9067569518606009</v>
      </c>
      <c r="AI35" s="46">
        <f t="shared" si="21"/>
        <v>1.6795638718084254</v>
      </c>
      <c r="AJ35" s="228">
        <f t="shared" si="21"/>
        <v>6.864395097661447</v>
      </c>
      <c r="AK35" s="228">
        <f>AK34</f>
        <v>8.3656100523496821</v>
      </c>
      <c r="AL35" s="228">
        <f>AL34</f>
        <v>9.367147247450907</v>
      </c>
      <c r="AM35" s="228">
        <f>AM34</f>
        <v>9.9660332799204543</v>
      </c>
      <c r="AN35" s="228">
        <f>AN34</f>
        <v>10.715007373144834</v>
      </c>
      <c r="AO35" s="46"/>
      <c r="AP35" s="46"/>
      <c r="AQ35" s="46"/>
    </row>
    <row r="36" spans="1:44" ht="17" x14ac:dyDescent="0.2">
      <c r="A36" s="47" t="s">
        <v>367</v>
      </c>
      <c r="B36" s="22">
        <v>2766</v>
      </c>
      <c r="C36" s="22">
        <v>2752</v>
      </c>
      <c r="D36" s="22">
        <v>2727</v>
      </c>
      <c r="E36" s="22">
        <v>2715</v>
      </c>
      <c r="F36" s="22">
        <v>2748</v>
      </c>
      <c r="G36" s="22">
        <v>2710</v>
      </c>
      <c r="H36" s="22">
        <v>2696</v>
      </c>
      <c r="I36" s="22">
        <v>2678</v>
      </c>
      <c r="J36" s="22">
        <v>2634</v>
      </c>
      <c r="K36" s="22">
        <v>2679</v>
      </c>
      <c r="L36" s="22">
        <v>2610</v>
      </c>
      <c r="M36" s="22">
        <v>2588</v>
      </c>
      <c r="N36" s="22">
        <v>2587</v>
      </c>
      <c r="O36" s="22">
        <v>2559</v>
      </c>
      <c r="P36" s="22">
        <v>2580</v>
      </c>
      <c r="Q36" s="22">
        <v>2547</v>
      </c>
      <c r="R36" s="22">
        <v>2536</v>
      </c>
      <c r="S36" s="22">
        <v>2541</v>
      </c>
      <c r="T36" s="22">
        <v>2540</v>
      </c>
      <c r="U36" s="22">
        <v>2541</v>
      </c>
      <c r="V36" s="22">
        <v>2541</v>
      </c>
      <c r="W36" s="22">
        <v>2540</v>
      </c>
      <c r="X36" s="22">
        <v>2536</v>
      </c>
      <c r="Y36" s="22">
        <v>2535</v>
      </c>
      <c r="Z36" s="22">
        <v>2538</v>
      </c>
      <c r="AA36" s="22">
        <v>2537</v>
      </c>
      <c r="AB36" s="22">
        <v>2540</v>
      </c>
      <c r="AC36" s="22">
        <v>2542</v>
      </c>
      <c r="AD36" s="22">
        <v>2536</v>
      </c>
      <c r="AE36" s="22">
        <v>2538</v>
      </c>
      <c r="AF36" s="22">
        <f>AD36*0.995</f>
        <v>2523.3200000000002</v>
      </c>
      <c r="AG36" s="22">
        <f>AF36*0.995</f>
        <v>2510.7034000000003</v>
      </c>
      <c r="AH36" s="22">
        <f>AG36*0.995</f>
        <v>2498.1498830000005</v>
      </c>
      <c r="AI36" s="22">
        <f>AH36*0.995</f>
        <v>2485.6591335850003</v>
      </c>
      <c r="AJ36" s="219">
        <f>(AI36+AH36+AG36+AF36)/4</f>
        <v>2504.4581041462502</v>
      </c>
      <c r="AK36" s="219">
        <f>AJ36*0.98</f>
        <v>2454.368942063325</v>
      </c>
      <c r="AL36" s="219">
        <f>AK36*0.98</f>
        <v>2405.2815632220586</v>
      </c>
      <c r="AM36" s="219">
        <f>AL36*0.98</f>
        <v>2357.1759319576172</v>
      </c>
      <c r="AN36" s="219">
        <f>AM36*0.98</f>
        <v>2310.0324133184649</v>
      </c>
      <c r="AO36" s="22"/>
      <c r="AP36" s="22"/>
      <c r="AQ36" s="22"/>
    </row>
    <row r="37" spans="1:44" x14ac:dyDescent="0.2">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227"/>
      <c r="AK37" s="227"/>
      <c r="AL37" s="227"/>
      <c r="AM37" s="227"/>
      <c r="AN37" s="227"/>
      <c r="AO37" s="45"/>
      <c r="AP37" s="46"/>
      <c r="AQ37" s="48"/>
      <c r="AR37" s="48"/>
    </row>
    <row r="38" spans="1:44" x14ac:dyDescent="0.2">
      <c r="A38" s="31" t="s">
        <v>368</v>
      </c>
      <c r="AJ38" s="229"/>
      <c r="AK38" s="229"/>
      <c r="AL38" s="229"/>
      <c r="AM38" s="229"/>
      <c r="AN38" s="229"/>
    </row>
    <row r="39" spans="1:44" s="31" customFormat="1" x14ac:dyDescent="0.2">
      <c r="A39" s="31" t="s">
        <v>369</v>
      </c>
      <c r="B39" s="49">
        <v>0.77771888912444354</v>
      </c>
      <c r="C39" s="49">
        <v>0.77643504531722052</v>
      </c>
      <c r="D39" s="49">
        <v>0.75970944309927357</v>
      </c>
      <c r="E39" s="49">
        <v>0.74580657528994532</v>
      </c>
      <c r="F39" s="50">
        <v>0.76447424170675171</v>
      </c>
      <c r="G39" s="49">
        <f t="shared" ref="G39:H39" si="22">G17/G15</f>
        <v>0.75649609437270848</v>
      </c>
      <c r="H39" s="49">
        <f t="shared" si="22"/>
        <v>0.74380781285834419</v>
      </c>
      <c r="I39" s="50">
        <v>0.76300000000000001</v>
      </c>
      <c r="J39" s="50">
        <v>0.755</v>
      </c>
      <c r="K39" s="50">
        <f t="shared" ref="K39:AE39" si="23">K17/K15</f>
        <v>0.75425961042830192</v>
      </c>
      <c r="L39" s="50">
        <f t="shared" si="23"/>
        <v>0.75915310650887569</v>
      </c>
      <c r="M39" s="50">
        <f t="shared" si="23"/>
        <v>0.75433673469387752</v>
      </c>
      <c r="N39" s="50">
        <f t="shared" si="23"/>
        <v>0.75905460998628704</v>
      </c>
      <c r="O39" s="50">
        <f t="shared" si="23"/>
        <v>0.72581732389619147</v>
      </c>
      <c r="P39" s="50">
        <f t="shared" si="23"/>
        <v>0.749466268146883</v>
      </c>
      <c r="Q39" s="50">
        <f t="shared" si="23"/>
        <v>0.75549473334992123</v>
      </c>
      <c r="R39" s="50">
        <f t="shared" si="23"/>
        <v>0.73767476085356876</v>
      </c>
      <c r="S39" s="50">
        <f t="shared" si="23"/>
        <v>0.74838658274241099</v>
      </c>
      <c r="T39" s="50">
        <f t="shared" si="23"/>
        <v>0.73046188269138568</v>
      </c>
      <c r="U39" s="50">
        <f t="shared" si="23"/>
        <v>0.74307205067300075</v>
      </c>
      <c r="V39" s="50">
        <f t="shared" si="23"/>
        <v>0.7992087841110932</v>
      </c>
      <c r="W39" s="50">
        <f t="shared" si="23"/>
        <v>0.76458205420577141</v>
      </c>
      <c r="X39" s="50">
        <f t="shared" si="23"/>
        <v>0.76767523186863307</v>
      </c>
      <c r="Y39" s="50">
        <f t="shared" si="23"/>
        <v>0.74772575992899937</v>
      </c>
      <c r="Z39" s="50">
        <f t="shared" si="23"/>
        <v>0.76937101185050139</v>
      </c>
      <c r="AA39" s="50">
        <f t="shared" si="23"/>
        <v>0.70733241101748212</v>
      </c>
      <c r="AB39" s="50">
        <f t="shared" si="23"/>
        <v>0.74659083122044811</v>
      </c>
      <c r="AC39" s="50">
        <f t="shared" si="23"/>
        <v>0.77043920048131564</v>
      </c>
      <c r="AD39" s="50">
        <f t="shared" si="23"/>
        <v>0.75697758496023138</v>
      </c>
      <c r="AE39" s="50">
        <f t="shared" si="23"/>
        <v>0.74450104581337295</v>
      </c>
      <c r="AF39" s="50">
        <v>0.77</v>
      </c>
      <c r="AG39" s="50">
        <v>0.77</v>
      </c>
      <c r="AH39" s="50">
        <v>0.77</v>
      </c>
      <c r="AI39" s="50">
        <v>0.77</v>
      </c>
      <c r="AJ39" s="230">
        <f>AJ17/AJ15</f>
        <v>0.77</v>
      </c>
      <c r="AK39" s="230">
        <f>AJ39+0.02</f>
        <v>0.79</v>
      </c>
      <c r="AL39" s="230">
        <f>AK39+0.005</f>
        <v>0.79500000000000004</v>
      </c>
      <c r="AM39" s="230">
        <f>AL39+0.005</f>
        <v>0.8</v>
      </c>
      <c r="AN39" s="230">
        <f>AM39+0.01</f>
        <v>0.81</v>
      </c>
      <c r="AO39" s="50"/>
      <c r="AP39" s="52"/>
      <c r="AQ39" s="52"/>
      <c r="AR39" s="21"/>
    </row>
    <row r="40" spans="1:44" ht="17" x14ac:dyDescent="0.2">
      <c r="A40" s="32" t="s">
        <v>349</v>
      </c>
      <c r="B40" s="51">
        <v>0.25333898664405341</v>
      </c>
      <c r="C40" s="51">
        <v>0.24441087613293053</v>
      </c>
      <c r="D40" s="51">
        <v>0.2314769975786925</v>
      </c>
      <c r="E40" s="51">
        <v>0.24700469663567526</v>
      </c>
      <c r="F40" s="52">
        <v>0.24387508411634226</v>
      </c>
      <c r="G40" s="51">
        <f t="shared" ref="G40:H40" si="24">G18/G15</f>
        <v>0.24898373983739835</v>
      </c>
      <c r="H40" s="51">
        <f t="shared" si="24"/>
        <v>0.23803608286828221</v>
      </c>
      <c r="I40" s="52">
        <v>0.23</v>
      </c>
      <c r="J40" s="52">
        <v>0.24399999999999999</v>
      </c>
      <c r="K40" s="52">
        <f t="shared" ref="K40:AE40" si="25">K18/K15</f>
        <v>0.23803218529955592</v>
      </c>
      <c r="L40" s="52">
        <f t="shared" si="25"/>
        <v>0.2242973372781065</v>
      </c>
      <c r="M40" s="52">
        <f t="shared" si="25"/>
        <v>0.22270408163265307</v>
      </c>
      <c r="N40" s="52">
        <f t="shared" si="25"/>
        <v>0.20698556102282811</v>
      </c>
      <c r="O40" s="52">
        <f t="shared" si="25"/>
        <v>0.23955173576002697</v>
      </c>
      <c r="P40" s="52">
        <f t="shared" si="25"/>
        <v>0.22318531169940223</v>
      </c>
      <c r="Q40" s="52">
        <f t="shared" si="25"/>
        <v>0.18794061541013518</v>
      </c>
      <c r="R40" s="52">
        <f t="shared" si="25"/>
        <v>0.20272259013980867</v>
      </c>
      <c r="S40" s="52">
        <f t="shared" si="25"/>
        <v>0.17751573579794439</v>
      </c>
      <c r="T40" s="52">
        <f t="shared" si="25"/>
        <v>0.22287038516861116</v>
      </c>
      <c r="U40" s="52">
        <f t="shared" si="25"/>
        <v>0.19767054215110222</v>
      </c>
      <c r="V40" s="52">
        <f t="shared" si="25"/>
        <v>0.17560148554819957</v>
      </c>
      <c r="W40" s="52">
        <f t="shared" si="25"/>
        <v>0.19770195596877466</v>
      </c>
      <c r="X40" s="52">
        <f t="shared" si="25"/>
        <v>0.17257108103998783</v>
      </c>
      <c r="Y40" s="52">
        <f t="shared" si="25"/>
        <v>0.19184971525774722</v>
      </c>
      <c r="Z40" s="52">
        <f t="shared" si="25"/>
        <v>0.18415837660021403</v>
      </c>
      <c r="AA40" s="52">
        <f t="shared" si="25"/>
        <v>0.14161740661552005</v>
      </c>
      <c r="AB40" s="52">
        <f t="shared" si="25"/>
        <v>0.16583293359830056</v>
      </c>
      <c r="AC40" s="52">
        <f t="shared" si="25"/>
        <v>0.16525168794705528</v>
      </c>
      <c r="AD40" s="52">
        <f t="shared" si="25"/>
        <v>0.19002169197396962</v>
      </c>
      <c r="AE40" s="52">
        <f t="shared" si="25"/>
        <v>0.16483368193779097</v>
      </c>
      <c r="AF40" s="52">
        <v>0.18</v>
      </c>
      <c r="AG40" s="52">
        <v>0.18</v>
      </c>
      <c r="AH40" s="52">
        <v>0.16500000000000001</v>
      </c>
      <c r="AI40" s="52">
        <v>0.19</v>
      </c>
      <c r="AJ40" s="231">
        <f>AJ18/AJ15</f>
        <v>0.17839454338239932</v>
      </c>
      <c r="AK40" s="231">
        <v>0.17199999999999999</v>
      </c>
      <c r="AL40" s="231">
        <v>0.16800000000000001</v>
      </c>
      <c r="AM40" s="231">
        <v>0.16800000000000001</v>
      </c>
      <c r="AN40" s="231">
        <v>0.16800000000000001</v>
      </c>
      <c r="AO40" s="52"/>
      <c r="AP40" s="52"/>
      <c r="AQ40" s="52"/>
    </row>
    <row r="41" spans="1:44" x14ac:dyDescent="0.2">
      <c r="A41" s="37" t="s">
        <v>350</v>
      </c>
      <c r="B41" s="51">
        <v>0.18920924316302734</v>
      </c>
      <c r="C41" s="51">
        <v>0.17452165156092647</v>
      </c>
      <c r="D41" s="51">
        <v>0.17046004842615012</v>
      </c>
      <c r="E41" s="51">
        <v>0.19745039777628678</v>
      </c>
      <c r="F41" s="52">
        <v>0.18288762056675723</v>
      </c>
      <c r="G41" s="51">
        <f t="shared" ref="G41:H41" si="26">G19/G15</f>
        <v>0.17864259524948189</v>
      </c>
      <c r="H41" s="51">
        <f t="shared" si="26"/>
        <v>0.18404556226588178</v>
      </c>
      <c r="I41" s="52">
        <v>0.17</v>
      </c>
      <c r="J41" s="52">
        <v>0.192</v>
      </c>
      <c r="K41" s="52">
        <f t="shared" ref="K41:AE41" si="27">K19/K15</f>
        <v>0.18698306559539965</v>
      </c>
      <c r="L41" s="52">
        <f t="shared" si="27"/>
        <v>0.18139792899408283</v>
      </c>
      <c r="M41" s="52">
        <f t="shared" si="27"/>
        <v>0.18554421768707482</v>
      </c>
      <c r="N41" s="52">
        <f t="shared" si="27"/>
        <v>0.17867225941760104</v>
      </c>
      <c r="O41" s="52">
        <f t="shared" si="27"/>
        <v>0.19978092349174251</v>
      </c>
      <c r="P41" s="52">
        <f t="shared" si="27"/>
        <v>0.18637916310845432</v>
      </c>
      <c r="Q41" s="52">
        <f t="shared" si="27"/>
        <v>0.17873434519366344</v>
      </c>
      <c r="R41" s="52">
        <f t="shared" si="27"/>
        <v>0.19839955849889623</v>
      </c>
      <c r="S41" s="52">
        <f t="shared" si="27"/>
        <v>0.18110110748147559</v>
      </c>
      <c r="T41" s="52">
        <f t="shared" si="27"/>
        <v>0.21160300463480902</v>
      </c>
      <c r="U41" s="52">
        <f t="shared" si="27"/>
        <v>0.19237821394340959</v>
      </c>
      <c r="V41" s="52">
        <f t="shared" si="27"/>
        <v>0.19263684805425479</v>
      </c>
      <c r="W41" s="52">
        <f t="shared" si="27"/>
        <v>0.22226120515744233</v>
      </c>
      <c r="X41" s="52">
        <f t="shared" si="27"/>
        <v>0.18823171658811008</v>
      </c>
      <c r="Y41" s="52">
        <f t="shared" si="27"/>
        <v>0.19828415058057836</v>
      </c>
      <c r="Z41" s="52">
        <f t="shared" si="27"/>
        <v>0.19969481986445245</v>
      </c>
      <c r="AA41" s="52">
        <f t="shared" si="27"/>
        <v>0.16016853226009306</v>
      </c>
      <c r="AB41" s="52">
        <f t="shared" si="27"/>
        <v>0.18940587953128213</v>
      </c>
      <c r="AC41" s="52">
        <f t="shared" si="27"/>
        <v>0.23370546159502639</v>
      </c>
      <c r="AD41" s="52">
        <f t="shared" si="27"/>
        <v>0.21945046999276935</v>
      </c>
      <c r="AE41" s="52">
        <f t="shared" si="27"/>
        <v>0.19975035422711018</v>
      </c>
      <c r="AF41" s="52">
        <v>0.224</v>
      </c>
      <c r="AG41" s="52">
        <v>0.224</v>
      </c>
      <c r="AH41" s="52">
        <v>0.224</v>
      </c>
      <c r="AI41" s="52">
        <v>0.224</v>
      </c>
      <c r="AJ41" s="231">
        <f>AJ19/AJ15</f>
        <v>0.22399999999999998</v>
      </c>
      <c r="AK41" s="231">
        <v>0.20499999999999999</v>
      </c>
      <c r="AL41" s="231">
        <v>0.19600000000000001</v>
      </c>
      <c r="AM41" s="231">
        <v>0.192</v>
      </c>
      <c r="AN41" s="231">
        <v>0.19</v>
      </c>
      <c r="AO41" s="52"/>
      <c r="AP41" s="52"/>
      <c r="AQ41" s="52"/>
    </row>
    <row r="42" spans="1:44" s="31" customFormat="1" x14ac:dyDescent="0.2">
      <c r="A42" s="31" t="s">
        <v>370</v>
      </c>
      <c r="B42" s="53">
        <v>0.33517065931736273</v>
      </c>
      <c r="C42" s="53">
        <v>0.35750251762336355</v>
      </c>
      <c r="D42" s="53">
        <v>0.35777239709443098</v>
      </c>
      <c r="E42" s="53">
        <v>0.3013514808779833</v>
      </c>
      <c r="F42" s="53">
        <v>0.33771153702365225</v>
      </c>
      <c r="G42" s="53">
        <f t="shared" ref="G42:AN42" si="28">G20/G15</f>
        <v>0.32886975928582823</v>
      </c>
      <c r="H42" s="53">
        <f t="shared" si="28"/>
        <v>0.32172616772418017</v>
      </c>
      <c r="I42" s="53">
        <f t="shared" si="28"/>
        <v>0.34911516723802466</v>
      </c>
      <c r="J42" s="53">
        <f t="shared" si="28"/>
        <v>0.3172394980905619</v>
      </c>
      <c r="K42" s="53">
        <f t="shared" si="28"/>
        <v>0.32924435953334635</v>
      </c>
      <c r="L42" s="53">
        <f t="shared" si="28"/>
        <v>0.35345784023668642</v>
      </c>
      <c r="M42" s="53">
        <f t="shared" si="28"/>
        <v>0.34608843537414968</v>
      </c>
      <c r="N42" s="53">
        <f t="shared" si="28"/>
        <v>0.37339678954585787</v>
      </c>
      <c r="O42" s="53">
        <f t="shared" si="28"/>
        <v>0.28648466464442196</v>
      </c>
      <c r="P42" s="53">
        <f t="shared" si="28"/>
        <v>0.33990179333902648</v>
      </c>
      <c r="Q42" s="53">
        <f t="shared" si="28"/>
        <v>0.38881977274612256</v>
      </c>
      <c r="R42" s="53">
        <f t="shared" si="28"/>
        <v>0.33655261221486388</v>
      </c>
      <c r="S42" s="53">
        <f t="shared" si="28"/>
        <v>0.38976973946299098</v>
      </c>
      <c r="T42" s="53">
        <f t="shared" si="28"/>
        <v>0.29598849288796547</v>
      </c>
      <c r="U42" s="53">
        <f t="shared" si="28"/>
        <v>0.35302329457848897</v>
      </c>
      <c r="V42" s="53">
        <f t="shared" si="28"/>
        <v>0.4309704505086388</v>
      </c>
      <c r="W42" s="53">
        <f t="shared" si="28"/>
        <v>0.3446188930795544</v>
      </c>
      <c r="X42" s="53">
        <f t="shared" si="28"/>
        <v>0.40687243424053521</v>
      </c>
      <c r="Y42" s="53">
        <f t="shared" si="28"/>
        <v>0.35759189409067377</v>
      </c>
      <c r="Z42" s="53">
        <f t="shared" si="28"/>
        <v>0.38551781538583491</v>
      </c>
      <c r="AA42" s="53">
        <f t="shared" si="28"/>
        <v>0.40554647214186895</v>
      </c>
      <c r="AB42" s="53">
        <f t="shared" si="28"/>
        <v>0.39135201809086551</v>
      </c>
      <c r="AC42" s="53">
        <f t="shared" si="28"/>
        <v>0.37148205093923392</v>
      </c>
      <c r="AD42" s="53">
        <f t="shared" si="28"/>
        <v>0.34750542299349241</v>
      </c>
      <c r="AE42" s="53">
        <f t="shared" si="28"/>
        <v>0.37991700964847175</v>
      </c>
      <c r="AF42" s="53">
        <f t="shared" si="28"/>
        <v>0.3660000000000001</v>
      </c>
      <c r="AG42" s="53">
        <f t="shared" si="28"/>
        <v>0.3660000000000001</v>
      </c>
      <c r="AH42" s="53">
        <f t="shared" si="28"/>
        <v>0.38099999999999995</v>
      </c>
      <c r="AI42" s="53">
        <f t="shared" si="28"/>
        <v>0.35599999999999998</v>
      </c>
      <c r="AJ42" s="232">
        <f t="shared" si="28"/>
        <v>0.36760545661760063</v>
      </c>
      <c r="AK42" s="232">
        <f t="shared" si="28"/>
        <v>0.41300000000000009</v>
      </c>
      <c r="AL42" s="232">
        <f t="shared" si="28"/>
        <v>0.43100000000000016</v>
      </c>
      <c r="AM42" s="232">
        <f t="shared" si="28"/>
        <v>0.44000000000000011</v>
      </c>
      <c r="AN42" s="232">
        <f t="shared" si="28"/>
        <v>0.45200000000000001</v>
      </c>
      <c r="AO42" s="53"/>
      <c r="AP42" s="54"/>
      <c r="AQ42" s="52"/>
      <c r="AR42" s="21"/>
    </row>
    <row r="43" spans="1:44" s="31" customFormat="1" ht="17" x14ac:dyDescent="0.2">
      <c r="A43" s="32" t="s">
        <v>352</v>
      </c>
      <c r="B43" s="54">
        <v>1.3779944880220479E-3</v>
      </c>
      <c r="C43" s="54">
        <v>-5.0352467270896274E-4</v>
      </c>
      <c r="D43" s="54">
        <v>0</v>
      </c>
      <c r="E43" s="54">
        <v>-3.0671906450685325E-3</v>
      </c>
      <c r="F43" s="54">
        <v>-5.9816065598285271E-4</v>
      </c>
      <c r="G43" s="54">
        <f t="shared" ref="G43:AN50" si="29">G21/G$15</f>
        <v>0</v>
      </c>
      <c r="H43" s="54">
        <f t="shared" si="29"/>
        <v>0</v>
      </c>
      <c r="I43" s="54">
        <f t="shared" si="29"/>
        <v>0</v>
      </c>
      <c r="J43" s="54">
        <f t="shared" si="29"/>
        <v>0</v>
      </c>
      <c r="K43" s="54">
        <f t="shared" si="29"/>
        <v>0</v>
      </c>
      <c r="L43" s="54">
        <f t="shared" si="29"/>
        <v>0</v>
      </c>
      <c r="M43" s="54">
        <f t="shared" si="29"/>
        <v>0</v>
      </c>
      <c r="N43" s="54">
        <f t="shared" si="29"/>
        <v>0</v>
      </c>
      <c r="O43" s="54">
        <f t="shared" si="29"/>
        <v>0</v>
      </c>
      <c r="P43" s="54">
        <f t="shared" si="29"/>
        <v>0</v>
      </c>
      <c r="Q43" s="54">
        <f t="shared" si="29"/>
        <v>0</v>
      </c>
      <c r="R43" s="54">
        <f t="shared" si="29"/>
        <v>0</v>
      </c>
      <c r="S43" s="54">
        <f t="shared" si="29"/>
        <v>0</v>
      </c>
      <c r="T43" s="54">
        <f t="shared" si="29"/>
        <v>0</v>
      </c>
      <c r="U43" s="54">
        <f t="shared" si="29"/>
        <v>0</v>
      </c>
      <c r="V43" s="54">
        <f t="shared" si="29"/>
        <v>0</v>
      </c>
      <c r="W43" s="54">
        <f t="shared" si="29"/>
        <v>0</v>
      </c>
      <c r="X43" s="54">
        <f t="shared" si="29"/>
        <v>0</v>
      </c>
      <c r="Y43" s="54">
        <f t="shared" si="29"/>
        <v>0</v>
      </c>
      <c r="Z43" s="54">
        <f t="shared" si="29"/>
        <v>0</v>
      </c>
      <c r="AA43" s="54">
        <f t="shared" si="29"/>
        <v>0</v>
      </c>
      <c r="AB43" s="54">
        <f t="shared" si="29"/>
        <v>0</v>
      </c>
      <c r="AC43" s="54">
        <f t="shared" si="29"/>
        <v>0</v>
      </c>
      <c r="AD43" s="54">
        <f t="shared" si="29"/>
        <v>0</v>
      </c>
      <c r="AE43" s="54">
        <f t="shared" si="29"/>
        <v>0</v>
      </c>
      <c r="AF43" s="54">
        <f t="shared" si="29"/>
        <v>0</v>
      </c>
      <c r="AG43" s="54">
        <f t="shared" si="29"/>
        <v>0</v>
      </c>
      <c r="AH43" s="54">
        <f t="shared" si="29"/>
        <v>0</v>
      </c>
      <c r="AI43" s="54">
        <f t="shared" si="29"/>
        <v>0</v>
      </c>
      <c r="AJ43" s="233">
        <f t="shared" si="29"/>
        <v>0</v>
      </c>
      <c r="AK43" s="233">
        <f t="shared" si="29"/>
        <v>0</v>
      </c>
      <c r="AL43" s="233">
        <f t="shared" si="29"/>
        <v>0</v>
      </c>
      <c r="AM43" s="233">
        <f t="shared" si="29"/>
        <v>0</v>
      </c>
      <c r="AN43" s="233">
        <f t="shared" si="29"/>
        <v>0</v>
      </c>
      <c r="AO43" s="54"/>
      <c r="AP43" s="54"/>
      <c r="AQ43" s="54"/>
      <c r="AR43" s="21"/>
    </row>
    <row r="44" spans="1:44" s="31" customFormat="1" ht="12.75" customHeight="1" x14ac:dyDescent="0.2">
      <c r="A44" s="41" t="s">
        <v>371</v>
      </c>
      <c r="B44" s="54">
        <v>-1.0281958872164512E-2</v>
      </c>
      <c r="C44" s="54">
        <v>-9.6676737160120846E-3</v>
      </c>
      <c r="D44" s="54">
        <v>-8.7167070217917669E-3</v>
      </c>
      <c r="E44" s="54">
        <v>-9.6808204734975551E-3</v>
      </c>
      <c r="F44" s="52">
        <v>-9.5705704957256433E-3</v>
      </c>
      <c r="G44" s="52">
        <f t="shared" si="29"/>
        <v>-8.4688346883468827E-3</v>
      </c>
      <c r="H44" s="52">
        <f t="shared" si="29"/>
        <v>-7.7402339270697951E-3</v>
      </c>
      <c r="I44" s="52">
        <f t="shared" si="29"/>
        <v>-8.5240433614379683E-3</v>
      </c>
      <c r="J44" s="52">
        <f t="shared" si="29"/>
        <v>-7.8196035642844157E-3</v>
      </c>
      <c r="K44" s="52">
        <f t="shared" si="29"/>
        <v>-8.1338106429966455E-3</v>
      </c>
      <c r="L44" s="52">
        <f t="shared" si="29"/>
        <v>-8.2285502958579886E-3</v>
      </c>
      <c r="M44" s="52">
        <f t="shared" si="29"/>
        <v>-7.6530612244897957E-3</v>
      </c>
      <c r="N44" s="52">
        <f t="shared" si="29"/>
        <v>-7.2598209244171975E-3</v>
      </c>
      <c r="O44" s="52">
        <f t="shared" si="29"/>
        <v>-4.2130097741826765E-3</v>
      </c>
      <c r="P44" s="52">
        <f t="shared" si="29"/>
        <v>-6.8104184457728435E-3</v>
      </c>
      <c r="Q44" s="52">
        <f t="shared" si="29"/>
        <v>-2.0734842829891347E-3</v>
      </c>
      <c r="R44" s="52">
        <f t="shared" si="29"/>
        <v>-1.2877115526122149E-3</v>
      </c>
      <c r="S44" s="52">
        <f t="shared" si="29"/>
        <v>-7.1707433670623857E-4</v>
      </c>
      <c r="T44" s="52">
        <f t="shared" si="29"/>
        <v>-8.7901550263704649E-4</v>
      </c>
      <c r="U44" s="52">
        <f t="shared" si="29"/>
        <v>-1.2293203317081303E-3</v>
      </c>
      <c r="V44" s="52">
        <f t="shared" si="29"/>
        <v>-8.8809946714031975E-4</v>
      </c>
      <c r="W44" s="52">
        <f t="shared" si="29"/>
        <v>-7.8940443820717482E-4</v>
      </c>
      <c r="X44" s="52">
        <f t="shared" si="29"/>
        <v>-5.321575186255132E-4</v>
      </c>
      <c r="Y44" s="52">
        <f t="shared" si="29"/>
        <v>-2.3666888543746765E-3</v>
      </c>
      <c r="Z44" s="52">
        <f t="shared" si="29"/>
        <v>-1.169196623201617E-3</v>
      </c>
      <c r="AA44" s="52">
        <f t="shared" si="29"/>
        <v>-4.4019620173563076E-4</v>
      </c>
      <c r="AB44" s="52">
        <f t="shared" si="29"/>
        <v>-1.0278900842869869E-3</v>
      </c>
      <c r="AC44" s="52">
        <f t="shared" si="29"/>
        <v>-2.6739755331238717E-3</v>
      </c>
      <c r="AD44" s="52">
        <f t="shared" si="29"/>
        <v>-6.8691250903832246E-3</v>
      </c>
      <c r="AE44" s="52">
        <f t="shared" si="29"/>
        <v>-2.6482693475473988E-3</v>
      </c>
      <c r="AF44" s="52">
        <f t="shared" si="29"/>
        <v>-8.7403291899317232E-4</v>
      </c>
      <c r="AG44" s="52">
        <f t="shared" si="29"/>
        <v>-8.3318579001635156E-4</v>
      </c>
      <c r="AH44" s="52">
        <f t="shared" si="29"/>
        <v>-7.7765839281339962E-4</v>
      </c>
      <c r="AI44" s="52">
        <f t="shared" si="29"/>
        <v>-1.0058858693153079E-3</v>
      </c>
      <c r="AJ44" s="231">
        <f t="shared" si="29"/>
        <v>-8.6985219297566524E-4</v>
      </c>
      <c r="AK44" s="231">
        <f t="shared" si="29"/>
        <v>-8.6336566092904765E-4</v>
      </c>
      <c r="AL44" s="231">
        <f t="shared" si="29"/>
        <v>-8.7012391018733847E-4</v>
      </c>
      <c r="AM44" s="231">
        <f t="shared" si="29"/>
        <v>-9.0197241395370304E-4</v>
      </c>
      <c r="AN44" s="231">
        <f t="shared" si="29"/>
        <v>-9.3118423073129794E-4</v>
      </c>
      <c r="AO44" s="52"/>
      <c r="AP44" s="52"/>
      <c r="AQ44" s="52"/>
      <c r="AR44" s="21"/>
    </row>
    <row r="45" spans="1:44" s="31" customFormat="1" ht="12.75" customHeight="1" x14ac:dyDescent="0.2">
      <c r="A45" s="41" t="s">
        <v>372</v>
      </c>
      <c r="B45" s="54">
        <v>1.9291922832308669E-2</v>
      </c>
      <c r="C45" s="54">
        <v>1.943605236656596E-2</v>
      </c>
      <c r="D45" s="54">
        <v>1.8305084745762711E-2</v>
      </c>
      <c r="E45" s="54">
        <v>1.8307294162752803E-2</v>
      </c>
      <c r="F45" s="52">
        <v>1.8817137302793909E-2</v>
      </c>
      <c r="G45" s="52">
        <f t="shared" si="29"/>
        <v>1.8432169615813804E-2</v>
      </c>
      <c r="H45" s="52">
        <f t="shared" si="29"/>
        <v>1.8538338047549879E-2</v>
      </c>
      <c r="I45" s="52">
        <f t="shared" si="29"/>
        <v>1.7604002594274068E-2</v>
      </c>
      <c r="J45" s="52">
        <f t="shared" si="29"/>
        <v>1.8457901436624839E-2</v>
      </c>
      <c r="K45" s="52">
        <f t="shared" si="29"/>
        <v>1.8253784349980845E-2</v>
      </c>
      <c r="L45" s="52">
        <f t="shared" si="29"/>
        <v>1.9323224852071007E-2</v>
      </c>
      <c r="M45" s="52">
        <f t="shared" si="29"/>
        <v>1.7006802721088437E-2</v>
      </c>
      <c r="N45" s="52">
        <f t="shared" si="29"/>
        <v>1.6132935387593774E-2</v>
      </c>
      <c r="O45" s="52">
        <f t="shared" si="29"/>
        <v>1.8537243006403775E-2</v>
      </c>
      <c r="P45" s="52">
        <f t="shared" si="29"/>
        <v>1.7698548249359521E-2</v>
      </c>
      <c r="Q45" s="52">
        <f t="shared" si="29"/>
        <v>1.7583146719747863E-2</v>
      </c>
      <c r="R45" s="52">
        <f t="shared" si="29"/>
        <v>1.9223693892568065E-2</v>
      </c>
      <c r="S45" s="52">
        <f t="shared" si="29"/>
        <v>1.6174010039040714E-2</v>
      </c>
      <c r="T45" s="52">
        <f t="shared" si="29"/>
        <v>1.6461563049384689E-2</v>
      </c>
      <c r="U45" s="52">
        <f t="shared" si="29"/>
        <v>1.7293828395216069E-2</v>
      </c>
      <c r="V45" s="52">
        <f t="shared" si="29"/>
        <v>1.6147263038914905E-2</v>
      </c>
      <c r="W45" s="52">
        <f t="shared" si="29"/>
        <v>1.7717744057538811E-2</v>
      </c>
      <c r="X45" s="52">
        <f t="shared" si="29"/>
        <v>1.4900410521514367E-2</v>
      </c>
      <c r="Y45" s="52">
        <f t="shared" si="29"/>
        <v>1.7158494194216403E-2</v>
      </c>
      <c r="Z45" s="52">
        <f t="shared" si="29"/>
        <v>1.6448020292497326E-2</v>
      </c>
      <c r="AA45" s="52">
        <f t="shared" si="29"/>
        <v>1.5281096717394039E-2</v>
      </c>
      <c r="AB45" s="52">
        <f t="shared" si="29"/>
        <v>1.6446241348591791E-2</v>
      </c>
      <c r="AC45" s="52">
        <f t="shared" si="29"/>
        <v>1.6311250752055619E-2</v>
      </c>
      <c r="AD45" s="52">
        <f t="shared" si="29"/>
        <v>1.6992046276211134E-2</v>
      </c>
      <c r="AE45" s="52">
        <f t="shared" si="29"/>
        <v>1.6226975237838202E-2</v>
      </c>
      <c r="AF45" s="52">
        <f t="shared" si="29"/>
        <v>1.8209019145691088E-2</v>
      </c>
      <c r="AG45" s="52">
        <f t="shared" si="29"/>
        <v>1.7358037292007324E-2</v>
      </c>
      <c r="AH45" s="52">
        <f t="shared" si="29"/>
        <v>1.6201216516945827E-2</v>
      </c>
      <c r="AI45" s="52">
        <f t="shared" si="29"/>
        <v>1.2573573366441349E-2</v>
      </c>
      <c r="AJ45" s="231">
        <f t="shared" si="29"/>
        <v>1.6092265570049807E-2</v>
      </c>
      <c r="AK45" s="231">
        <f t="shared" si="29"/>
        <v>1.6273628212606014E-2</v>
      </c>
      <c r="AL45" s="231">
        <f t="shared" si="29"/>
        <v>1.6710467945520176E-2</v>
      </c>
      <c r="AM45" s="231">
        <f t="shared" si="29"/>
        <v>1.76489411227383E-2</v>
      </c>
      <c r="AN45" s="231">
        <f t="shared" si="29"/>
        <v>1.8564313850342622E-2</v>
      </c>
      <c r="AO45" s="52"/>
      <c r="AP45" s="52"/>
      <c r="AQ45" s="52"/>
      <c r="AR45" s="21"/>
    </row>
    <row r="46" spans="1:44" s="31" customFormat="1" ht="12.75" customHeight="1" x14ac:dyDescent="0.2">
      <c r="A46" s="41" t="s">
        <v>373</v>
      </c>
      <c r="B46" s="54">
        <v>-8.4799660801356794E-4</v>
      </c>
      <c r="C46" s="54">
        <v>1.9133937562940584E-3</v>
      </c>
      <c r="D46" s="54">
        <v>-5.8111380145278453E-4</v>
      </c>
      <c r="E46" s="54">
        <v>-1.6294450301926578E-3</v>
      </c>
      <c r="F46" s="52">
        <v>-2.9908032799142635E-4</v>
      </c>
      <c r="G46" s="52">
        <f t="shared" si="29"/>
        <v>6.9743344492268443E-4</v>
      </c>
      <c r="H46" s="52">
        <f t="shared" si="29"/>
        <v>6.7846494916290797E-3</v>
      </c>
      <c r="I46" s="52">
        <f t="shared" si="29"/>
        <v>3.8914110997868988E-3</v>
      </c>
      <c r="J46" s="52">
        <f t="shared" si="29"/>
        <v>2.2731405710129113E-3</v>
      </c>
      <c r="K46" s="52">
        <f t="shared" si="29"/>
        <v>3.4284957652166094E-3</v>
      </c>
      <c r="L46" s="52">
        <f t="shared" si="29"/>
        <v>9.3380177514792908E-3</v>
      </c>
      <c r="M46" s="52">
        <f t="shared" si="29"/>
        <v>0</v>
      </c>
      <c r="N46" s="52">
        <f t="shared" si="29"/>
        <v>0</v>
      </c>
      <c r="O46" s="52">
        <f t="shared" si="29"/>
        <v>1.7694641051567239E-3</v>
      </c>
      <c r="P46" s="52">
        <f t="shared" si="29"/>
        <v>2.6046114432109308E-3</v>
      </c>
      <c r="Q46" s="52">
        <f t="shared" si="29"/>
        <v>0</v>
      </c>
      <c r="R46" s="52">
        <f t="shared" si="29"/>
        <v>0</v>
      </c>
      <c r="S46" s="52">
        <f t="shared" si="29"/>
        <v>0</v>
      </c>
      <c r="T46" s="52">
        <f t="shared" si="29"/>
        <v>0</v>
      </c>
      <c r="U46" s="52">
        <f t="shared" si="29"/>
        <v>0</v>
      </c>
      <c r="V46" s="52">
        <f t="shared" si="29"/>
        <v>0</v>
      </c>
      <c r="W46" s="52">
        <f t="shared" si="29"/>
        <v>0</v>
      </c>
      <c r="X46" s="52">
        <f t="shared" si="29"/>
        <v>0</v>
      </c>
      <c r="Y46" s="52">
        <f t="shared" si="29"/>
        <v>0</v>
      </c>
      <c r="Z46" s="52">
        <f t="shared" si="29"/>
        <v>0</v>
      </c>
      <c r="AA46" s="52">
        <f t="shared" si="29"/>
        <v>0</v>
      </c>
      <c r="AB46" s="52">
        <f t="shared" si="29"/>
        <v>0</v>
      </c>
      <c r="AC46" s="52">
        <f t="shared" si="29"/>
        <v>0</v>
      </c>
      <c r="AD46" s="52">
        <f t="shared" si="29"/>
        <v>0</v>
      </c>
      <c r="AE46" s="52">
        <f t="shared" si="29"/>
        <v>0</v>
      </c>
      <c r="AF46" s="52">
        <f t="shared" si="29"/>
        <v>0</v>
      </c>
      <c r="AG46" s="52">
        <f t="shared" si="29"/>
        <v>0</v>
      </c>
      <c r="AH46" s="52">
        <f t="shared" si="29"/>
        <v>0</v>
      </c>
      <c r="AI46" s="52">
        <f t="shared" si="29"/>
        <v>0</v>
      </c>
      <c r="AJ46" s="231">
        <f t="shared" si="29"/>
        <v>0</v>
      </c>
      <c r="AK46" s="231">
        <f t="shared" si="29"/>
        <v>0</v>
      </c>
      <c r="AL46" s="231">
        <f t="shared" si="29"/>
        <v>0</v>
      </c>
      <c r="AM46" s="231">
        <f t="shared" si="29"/>
        <v>0</v>
      </c>
      <c r="AN46" s="231">
        <f t="shared" si="29"/>
        <v>0</v>
      </c>
      <c r="AO46" s="52"/>
      <c r="AP46" s="52"/>
      <c r="AQ46" s="52"/>
      <c r="AR46" s="21"/>
    </row>
    <row r="47" spans="1:44" s="31" customFormat="1" ht="12.75" customHeight="1" x14ac:dyDescent="0.2">
      <c r="A47" s="41" t="s">
        <v>374</v>
      </c>
      <c r="B47" s="54">
        <v>0</v>
      </c>
      <c r="C47" s="54">
        <v>0</v>
      </c>
      <c r="D47" s="54">
        <v>0</v>
      </c>
      <c r="E47" s="54">
        <v>0</v>
      </c>
      <c r="F47" s="52">
        <v>0</v>
      </c>
      <c r="G47" s="52">
        <f t="shared" si="29"/>
        <v>0</v>
      </c>
      <c r="H47" s="52">
        <f t="shared" si="29"/>
        <v>-6.1157403868205788E-3</v>
      </c>
      <c r="I47" s="52">
        <f t="shared" si="29"/>
        <v>-7.5048642638747337E-3</v>
      </c>
      <c r="J47" s="52">
        <f t="shared" si="29"/>
        <v>-3.0914711765775596E-3</v>
      </c>
      <c r="K47" s="52">
        <f t="shared" si="29"/>
        <v>-4.2324189101639528E-3</v>
      </c>
      <c r="L47" s="52">
        <f t="shared" si="29"/>
        <v>2.3113905325443788E-3</v>
      </c>
      <c r="M47" s="52">
        <f t="shared" si="29"/>
        <v>0</v>
      </c>
      <c r="N47" s="52">
        <f t="shared" si="29"/>
        <v>0</v>
      </c>
      <c r="O47" s="52">
        <f t="shared" si="29"/>
        <v>0</v>
      </c>
      <c r="P47" s="52">
        <f t="shared" si="29"/>
        <v>5.33731853116994E-4</v>
      </c>
      <c r="Q47" s="52">
        <f t="shared" si="29"/>
        <v>0</v>
      </c>
      <c r="R47" s="52">
        <f t="shared" si="29"/>
        <v>0</v>
      </c>
      <c r="S47" s="52">
        <f t="shared" si="29"/>
        <v>0</v>
      </c>
      <c r="T47" s="52">
        <f t="shared" si="29"/>
        <v>0</v>
      </c>
      <c r="U47" s="52">
        <f t="shared" si="29"/>
        <v>0</v>
      </c>
      <c r="V47" s="52">
        <f t="shared" si="29"/>
        <v>0</v>
      </c>
      <c r="W47" s="52">
        <f t="shared" si="29"/>
        <v>0</v>
      </c>
      <c r="X47" s="52">
        <f t="shared" si="29"/>
        <v>0</v>
      </c>
      <c r="Y47" s="52">
        <f t="shared" si="29"/>
        <v>0</v>
      </c>
      <c r="Z47" s="52">
        <f t="shared" si="29"/>
        <v>0</v>
      </c>
      <c r="AA47" s="52">
        <f t="shared" si="29"/>
        <v>0</v>
      </c>
      <c r="AB47" s="52">
        <f t="shared" si="29"/>
        <v>0</v>
      </c>
      <c r="AC47" s="52">
        <f t="shared" si="29"/>
        <v>0</v>
      </c>
      <c r="AD47" s="52">
        <f t="shared" si="29"/>
        <v>0</v>
      </c>
      <c r="AE47" s="52">
        <f t="shared" si="29"/>
        <v>0</v>
      </c>
      <c r="AF47" s="52">
        <f t="shared" si="29"/>
        <v>0</v>
      </c>
      <c r="AG47" s="52">
        <f t="shared" si="29"/>
        <v>0</v>
      </c>
      <c r="AH47" s="52">
        <f t="shared" si="29"/>
        <v>0</v>
      </c>
      <c r="AI47" s="52">
        <f t="shared" si="29"/>
        <v>0</v>
      </c>
      <c r="AJ47" s="231">
        <f t="shared" si="29"/>
        <v>0</v>
      </c>
      <c r="AK47" s="231">
        <f t="shared" si="29"/>
        <v>0</v>
      </c>
      <c r="AL47" s="231">
        <f t="shared" si="29"/>
        <v>0</v>
      </c>
      <c r="AM47" s="231">
        <f t="shared" si="29"/>
        <v>0</v>
      </c>
      <c r="AN47" s="231">
        <f t="shared" si="29"/>
        <v>0</v>
      </c>
      <c r="AO47" s="52"/>
      <c r="AP47" s="52"/>
      <c r="AQ47" s="52"/>
    </row>
    <row r="48" spans="1:44" s="31" customFormat="1" ht="12.75" customHeight="1" x14ac:dyDescent="0.2">
      <c r="A48" s="41" t="s">
        <v>375</v>
      </c>
      <c r="B48" s="54">
        <v>0</v>
      </c>
      <c r="C48" s="54">
        <v>0</v>
      </c>
      <c r="D48" s="54">
        <v>0</v>
      </c>
      <c r="E48" s="54">
        <v>0</v>
      </c>
      <c r="F48" s="52">
        <v>0</v>
      </c>
      <c r="G48" s="52">
        <f t="shared" si="29"/>
        <v>0</v>
      </c>
      <c r="H48" s="52">
        <f t="shared" si="29"/>
        <v>0</v>
      </c>
      <c r="I48" s="52">
        <f t="shared" si="29"/>
        <v>0</v>
      </c>
      <c r="J48" s="52">
        <f t="shared" si="29"/>
        <v>0</v>
      </c>
      <c r="K48" s="52">
        <f t="shared" si="29"/>
        <v>0</v>
      </c>
      <c r="L48" s="52">
        <f t="shared" si="29"/>
        <v>0</v>
      </c>
      <c r="M48" s="52">
        <f t="shared" si="29"/>
        <v>0</v>
      </c>
      <c r="N48" s="52">
        <f t="shared" si="29"/>
        <v>0</v>
      </c>
      <c r="O48" s="52">
        <f t="shared" si="29"/>
        <v>0</v>
      </c>
      <c r="P48" s="52">
        <f t="shared" si="29"/>
        <v>0</v>
      </c>
      <c r="Q48" s="52">
        <f t="shared" si="29"/>
        <v>0</v>
      </c>
      <c r="R48" s="52">
        <f t="shared" si="29"/>
        <v>0</v>
      </c>
      <c r="S48" s="52">
        <f t="shared" si="29"/>
        <v>0</v>
      </c>
      <c r="T48" s="52">
        <f t="shared" si="29"/>
        <v>0</v>
      </c>
      <c r="U48" s="52">
        <f t="shared" si="29"/>
        <v>0</v>
      </c>
      <c r="V48" s="52">
        <f t="shared" si="29"/>
        <v>0</v>
      </c>
      <c r="W48" s="52">
        <f t="shared" si="29"/>
        <v>0</v>
      </c>
      <c r="X48" s="52">
        <f t="shared" si="29"/>
        <v>0</v>
      </c>
      <c r="Y48" s="52">
        <f t="shared" si="29"/>
        <v>0</v>
      </c>
      <c r="Z48" s="52">
        <f t="shared" si="29"/>
        <v>0</v>
      </c>
      <c r="AA48" s="52">
        <f t="shared" si="29"/>
        <v>0</v>
      </c>
      <c r="AB48" s="52">
        <f t="shared" si="29"/>
        <v>0</v>
      </c>
      <c r="AC48" s="52">
        <f t="shared" si="29"/>
        <v>0</v>
      </c>
      <c r="AD48" s="52">
        <f t="shared" si="29"/>
        <v>0</v>
      </c>
      <c r="AE48" s="52">
        <f t="shared" si="29"/>
        <v>0</v>
      </c>
      <c r="AF48" s="52">
        <f t="shared" si="29"/>
        <v>0</v>
      </c>
      <c r="AG48" s="52">
        <f t="shared" si="29"/>
        <v>0</v>
      </c>
      <c r="AH48" s="52">
        <f t="shared" si="29"/>
        <v>0</v>
      </c>
      <c r="AI48" s="52">
        <f t="shared" si="29"/>
        <v>0</v>
      </c>
      <c r="AJ48" s="231">
        <f t="shared" si="29"/>
        <v>0</v>
      </c>
      <c r="AK48" s="231">
        <f t="shared" si="29"/>
        <v>0</v>
      </c>
      <c r="AL48" s="231">
        <f t="shared" si="29"/>
        <v>0</v>
      </c>
      <c r="AM48" s="231">
        <f t="shared" si="29"/>
        <v>0</v>
      </c>
      <c r="AN48" s="231">
        <f t="shared" si="29"/>
        <v>0</v>
      </c>
      <c r="AO48" s="52"/>
      <c r="AP48" s="52"/>
      <c r="AQ48" s="52"/>
    </row>
    <row r="49" spans="1:43" s="31" customFormat="1" ht="17" collapsed="1" x14ac:dyDescent="0.2">
      <c r="A49" s="41" t="s">
        <v>376</v>
      </c>
      <c r="B49" s="54">
        <v>-3.3919864320542717E-3</v>
      </c>
      <c r="C49" s="54">
        <v>-5.3373615307150055E-3</v>
      </c>
      <c r="D49" s="54">
        <v>-1.5593220338983051E-2</v>
      </c>
      <c r="E49" s="54">
        <v>-5.1758842135531486E-3</v>
      </c>
      <c r="F49" s="52">
        <v>-7.4770081997856588E-3</v>
      </c>
      <c r="G49" s="52">
        <f t="shared" si="29"/>
        <v>-3.6465805834528929E-2</v>
      </c>
      <c r="H49" s="52">
        <f t="shared" si="29"/>
        <v>-2.3029584894121241E-2</v>
      </c>
      <c r="I49" s="52">
        <f t="shared" si="29"/>
        <v>-2.0476234596497729E-2</v>
      </c>
      <c r="J49" s="52">
        <f t="shared" si="29"/>
        <v>-1.5821058374249863E-2</v>
      </c>
      <c r="K49" s="52">
        <f t="shared" si="29"/>
        <v>-2.3692087977565814E-2</v>
      </c>
      <c r="L49" s="52">
        <f t="shared" si="29"/>
        <v>-2.0802514792899407E-2</v>
      </c>
      <c r="M49" s="52">
        <f t="shared" si="29"/>
        <v>-1.4115646258503402E-2</v>
      </c>
      <c r="N49" s="52">
        <f t="shared" si="29"/>
        <v>-6.5338388319754782E-3</v>
      </c>
      <c r="O49" s="52">
        <f t="shared" si="29"/>
        <v>-3.2355915065722954E-2</v>
      </c>
      <c r="P49" s="52">
        <f t="shared" si="29"/>
        <v>-1.8274978650725877E-2</v>
      </c>
      <c r="Q49" s="52">
        <f t="shared" si="29"/>
        <v>-8.7086339885543672E-3</v>
      </c>
      <c r="R49" s="52">
        <f t="shared" si="29"/>
        <v>-5.8130978660779986E-2</v>
      </c>
      <c r="S49" s="52">
        <f t="shared" si="29"/>
        <v>-4.0235837781850053E-2</v>
      </c>
      <c r="T49" s="52">
        <f t="shared" si="29"/>
        <v>-3.5799904107399715E-2</v>
      </c>
      <c r="U49" s="52">
        <f t="shared" si="29"/>
        <v>-3.5212734925198982E-2</v>
      </c>
      <c r="V49" s="52">
        <f t="shared" si="29"/>
        <v>-4.4404973357015983E-3</v>
      </c>
      <c r="W49" s="52">
        <f t="shared" si="29"/>
        <v>-1.3595298658012456E-2</v>
      </c>
      <c r="X49" s="52">
        <f t="shared" si="29"/>
        <v>4.1812376463433174E-3</v>
      </c>
      <c r="Y49" s="52">
        <f t="shared" si="29"/>
        <v>-1.1019894978182088E-2</v>
      </c>
      <c r="Z49" s="52">
        <f t="shared" si="29"/>
        <v>-6.0243351432761284E-3</v>
      </c>
      <c r="AA49" s="52">
        <f t="shared" si="29"/>
        <v>-6.0998616526223119E-3</v>
      </c>
      <c r="AB49" s="52">
        <f t="shared" si="29"/>
        <v>-1.5760981292400466E-3</v>
      </c>
      <c r="AC49" s="52">
        <f t="shared" si="29"/>
        <v>-6.6180894444815832E-3</v>
      </c>
      <c r="AD49" s="52">
        <f t="shared" si="29"/>
        <v>-1.6341287057122199E-2</v>
      </c>
      <c r="AE49" s="52">
        <f t="shared" si="29"/>
        <v>-7.5062411443222454E-3</v>
      </c>
      <c r="AF49" s="52">
        <f t="shared" si="29"/>
        <v>-7.4183543999545506E-3</v>
      </c>
      <c r="AG49" s="52">
        <f t="shared" si="29"/>
        <v>-1.6767864024079075E-3</v>
      </c>
      <c r="AH49" s="52">
        <f t="shared" si="29"/>
        <v>-6.7364658277460744E-3</v>
      </c>
      <c r="AI49" s="52">
        <f t="shared" si="29"/>
        <v>-1.704976548489447E-2</v>
      </c>
      <c r="AJ49" s="231">
        <f t="shared" si="29"/>
        <v>-8.1287687433575905E-3</v>
      </c>
      <c r="AK49" s="231">
        <f t="shared" si="29"/>
        <v>-7.9920374589160827E-3</v>
      </c>
      <c r="AL49" s="231">
        <f t="shared" si="29"/>
        <v>-7.9786107196711444E-3</v>
      </c>
      <c r="AM49" s="231">
        <f t="shared" si="29"/>
        <v>-8.1926209620575945E-3</v>
      </c>
      <c r="AN49" s="231">
        <f t="shared" si="29"/>
        <v>-8.3781600721335968E-3</v>
      </c>
      <c r="AO49" s="52"/>
      <c r="AP49" s="52"/>
      <c r="AQ49" s="52"/>
    </row>
    <row r="50" spans="1:43" s="31" customFormat="1" ht="17" x14ac:dyDescent="0.2">
      <c r="A50" s="42" t="s">
        <v>377</v>
      </c>
      <c r="B50" s="54">
        <v>6.0419758320966717E-3</v>
      </c>
      <c r="C50" s="54">
        <v>2.4169184290030211E-3</v>
      </c>
      <c r="D50" s="54">
        <v>-6.5859564164648908E-3</v>
      </c>
      <c r="E50" s="54">
        <v>1.8211444455094412E-3</v>
      </c>
      <c r="F50" s="52">
        <v>7.9754754131047031E-4</v>
      </c>
      <c r="G50" s="52">
        <f t="shared" si="29"/>
        <v>-2.5805037462139323E-2</v>
      </c>
      <c r="H50" s="52">
        <f t="shared" si="29"/>
        <v>-1.1562571668832657E-2</v>
      </c>
      <c r="I50" s="52">
        <f t="shared" si="29"/>
        <v>-1.5009728527749467E-2</v>
      </c>
      <c r="J50" s="52">
        <f t="shared" si="29"/>
        <v>-6.0010911074740861E-3</v>
      </c>
      <c r="K50" s="52">
        <f t="shared" si="29"/>
        <v>-1.4376037415528956E-2</v>
      </c>
      <c r="L50" s="52">
        <f t="shared" si="29"/>
        <v>1.941568047337278E-3</v>
      </c>
      <c r="M50" s="52">
        <f t="shared" si="29"/>
        <v>-4.7619047619047623E-3</v>
      </c>
      <c r="N50" s="52">
        <f t="shared" si="29"/>
        <v>2.3392756312010971E-3</v>
      </c>
      <c r="O50" s="52">
        <f t="shared" si="29"/>
        <v>-1.626221772834513E-2</v>
      </c>
      <c r="P50" s="52">
        <f t="shared" si="29"/>
        <v>-4.2485055508112721E-3</v>
      </c>
      <c r="Q50" s="52">
        <f t="shared" si="29"/>
        <v>6.8010284482043623E-3</v>
      </c>
      <c r="R50" s="52">
        <f t="shared" si="29"/>
        <v>-4.0194996320824135E-2</v>
      </c>
      <c r="S50" s="52">
        <f t="shared" si="29"/>
        <v>-2.4778902079515577E-2</v>
      </c>
      <c r="T50" s="52">
        <f t="shared" si="29"/>
        <v>-2.0217356560652069E-2</v>
      </c>
      <c r="U50" s="52">
        <f t="shared" si="29"/>
        <v>-1.9127390923865482E-2</v>
      </c>
      <c r="V50" s="52">
        <f t="shared" si="29"/>
        <v>1.0818666236072985E-2</v>
      </c>
      <c r="W50" s="52">
        <f t="shared" si="29"/>
        <v>3.3330409613191825E-3</v>
      </c>
      <c r="X50" s="52">
        <f t="shared" ref="X50:AN50" si="30">X28/X$15</f>
        <v>1.8549490649232173E-2</v>
      </c>
      <c r="Y50" s="52">
        <f t="shared" si="30"/>
        <v>3.7719103616596404E-3</v>
      </c>
      <c r="Z50" s="52">
        <f t="shared" si="30"/>
        <v>9.2544885260195785E-3</v>
      </c>
      <c r="AA50" s="52">
        <f t="shared" si="30"/>
        <v>8.7410388630360953E-3</v>
      </c>
      <c r="AB50" s="52">
        <f t="shared" si="30"/>
        <v>1.3842253135064757E-2</v>
      </c>
      <c r="AC50" s="52">
        <f t="shared" si="30"/>
        <v>7.0191857744501636E-3</v>
      </c>
      <c r="AD50" s="52">
        <f t="shared" si="30"/>
        <v>-6.2183658712942876E-3</v>
      </c>
      <c r="AE50" s="52">
        <f t="shared" si="30"/>
        <v>6.0724647459685583E-3</v>
      </c>
      <c r="AF50" s="52">
        <f t="shared" si="30"/>
        <v>9.9166318267433651E-3</v>
      </c>
      <c r="AG50" s="52">
        <f t="shared" si="30"/>
        <v>1.4848065099583065E-2</v>
      </c>
      <c r="AH50" s="52">
        <f t="shared" si="30"/>
        <v>8.6870922963863534E-3</v>
      </c>
      <c r="AI50" s="52">
        <f t="shared" si="30"/>
        <v>-5.4820779877684288E-3</v>
      </c>
      <c r="AJ50" s="231">
        <f t="shared" si="30"/>
        <v>7.0936446337165494E-3</v>
      </c>
      <c r="AK50" s="231">
        <f t="shared" si="30"/>
        <v>7.4182250927608828E-3</v>
      </c>
      <c r="AL50" s="231">
        <f t="shared" si="30"/>
        <v>7.8617333156616922E-3</v>
      </c>
      <c r="AM50" s="231">
        <f t="shared" si="30"/>
        <v>8.5543477467270035E-3</v>
      </c>
      <c r="AN50" s="231">
        <f t="shared" si="30"/>
        <v>9.2549695474777264E-3</v>
      </c>
      <c r="AO50" s="52"/>
      <c r="AP50" s="52"/>
      <c r="AQ50" s="52"/>
    </row>
    <row r="51" spans="1:43" s="31" customFormat="1" x14ac:dyDescent="0.2">
      <c r="A51" s="31" t="s">
        <v>378</v>
      </c>
      <c r="B51" s="53">
        <v>0.32775068899724402</v>
      </c>
      <c r="C51" s="53">
        <v>0.35558912386706948</v>
      </c>
      <c r="D51" s="53">
        <v>0.3643583535108959</v>
      </c>
      <c r="E51" s="53">
        <v>0.30259752707754239</v>
      </c>
      <c r="F51" s="53">
        <v>0.33751215013832464</v>
      </c>
      <c r="G51" s="53">
        <f t="shared" ref="G51:AN51" si="31">G29/G15</f>
        <v>0.35467479674796754</v>
      </c>
      <c r="H51" s="53">
        <f t="shared" si="31"/>
        <v>0.33328873939301285</v>
      </c>
      <c r="I51" s="53">
        <f t="shared" si="31"/>
        <v>0.36412489576577411</v>
      </c>
      <c r="J51" s="53">
        <f t="shared" si="31"/>
        <v>0.323240589198036</v>
      </c>
      <c r="K51" s="53">
        <f t="shared" si="31"/>
        <v>0.34362039694887531</v>
      </c>
      <c r="L51" s="53">
        <f t="shared" si="31"/>
        <v>0.35151627218934911</v>
      </c>
      <c r="M51" s="53">
        <f t="shared" si="31"/>
        <v>0.35085034013605443</v>
      </c>
      <c r="N51" s="53">
        <f t="shared" si="31"/>
        <v>0.37105751391465674</v>
      </c>
      <c r="O51" s="53">
        <f t="shared" si="31"/>
        <v>0.30274688237276709</v>
      </c>
      <c r="P51" s="53">
        <f t="shared" si="31"/>
        <v>0.34415029888983772</v>
      </c>
      <c r="Q51" s="53">
        <f t="shared" si="31"/>
        <v>0.38201874429791821</v>
      </c>
      <c r="R51" s="53">
        <f t="shared" si="31"/>
        <v>0.37674760853568801</v>
      </c>
      <c r="S51" s="53">
        <f t="shared" si="31"/>
        <v>0.41454864154250659</v>
      </c>
      <c r="T51" s="53">
        <f t="shared" si="31"/>
        <v>0.31620584944861757</v>
      </c>
      <c r="U51" s="53">
        <f t="shared" si="31"/>
        <v>0.37215068550235447</v>
      </c>
      <c r="V51" s="53">
        <f t="shared" si="31"/>
        <v>0.42015178427256578</v>
      </c>
      <c r="W51" s="53">
        <f t="shared" si="31"/>
        <v>0.34128585211823526</v>
      </c>
      <c r="X51" s="53">
        <f t="shared" si="31"/>
        <v>0.38832294359130304</v>
      </c>
      <c r="Y51" s="53">
        <f t="shared" si="31"/>
        <v>0.35381998372901413</v>
      </c>
      <c r="Z51" s="53">
        <f t="shared" si="31"/>
        <v>0.37626332685981528</v>
      </c>
      <c r="AA51" s="53">
        <f t="shared" si="31"/>
        <v>0.39680543327883283</v>
      </c>
      <c r="AB51" s="53">
        <f t="shared" si="31"/>
        <v>0.37750976495580074</v>
      </c>
      <c r="AC51" s="53">
        <f t="shared" si="31"/>
        <v>0.36446286516478377</v>
      </c>
      <c r="AD51" s="53">
        <f t="shared" si="31"/>
        <v>0.35372378886478667</v>
      </c>
      <c r="AE51" s="53">
        <f t="shared" si="31"/>
        <v>0.37384454490250318</v>
      </c>
      <c r="AF51" s="53">
        <f t="shared" si="31"/>
        <v>0.35608336817325675</v>
      </c>
      <c r="AG51" s="53">
        <f t="shared" si="31"/>
        <v>0.35115193490041702</v>
      </c>
      <c r="AH51" s="53">
        <f t="shared" si="31"/>
        <v>0.37231290770361358</v>
      </c>
      <c r="AI51" s="53">
        <f t="shared" si="31"/>
        <v>0.36148207798776844</v>
      </c>
      <c r="AJ51" s="232">
        <f t="shared" si="31"/>
        <v>0.3605118119838841</v>
      </c>
      <c r="AK51" s="232">
        <f t="shared" si="31"/>
        <v>0.40558177490723923</v>
      </c>
      <c r="AL51" s="232">
        <f t="shared" si="31"/>
        <v>0.42313826668433846</v>
      </c>
      <c r="AM51" s="232">
        <f t="shared" si="31"/>
        <v>0.43144565225327308</v>
      </c>
      <c r="AN51" s="232">
        <f t="shared" si="31"/>
        <v>0.44274503045252228</v>
      </c>
      <c r="AO51" s="53"/>
      <c r="AP51" s="53"/>
      <c r="AQ51" s="50"/>
    </row>
    <row r="52" spans="1:43" x14ac:dyDescent="0.2">
      <c r="A52" s="21" t="s">
        <v>362</v>
      </c>
      <c r="B52" s="51">
        <v>0.21021992238033635</v>
      </c>
      <c r="C52" s="51">
        <v>0.21183800623052959</v>
      </c>
      <c r="D52" s="51">
        <v>0.18686868686868688</v>
      </c>
      <c r="E52" s="51">
        <v>0.15331010452961671</v>
      </c>
      <c r="F52" s="52">
        <v>0.1908876089203958</v>
      </c>
      <c r="G52" s="51">
        <f>G30/G29</f>
        <v>0.19973032192819815</v>
      </c>
      <c r="H52" s="51">
        <f>H30/H29</f>
        <v>0.17919605481965703</v>
      </c>
      <c r="I52" s="52">
        <v>0.192</v>
      </c>
      <c r="J52" s="52">
        <v>0.192</v>
      </c>
      <c r="K52" s="52">
        <f t="shared" ref="K52:AB52" si="32">K30/K29</f>
        <v>0.1983127589006784</v>
      </c>
      <c r="L52" s="52">
        <f t="shared" si="32"/>
        <v>0.16465018411362442</v>
      </c>
      <c r="M52" s="52">
        <f t="shared" si="32"/>
        <v>0.18419777023751818</v>
      </c>
      <c r="N52" s="52">
        <f t="shared" si="32"/>
        <v>0.1567391304347826</v>
      </c>
      <c r="O52" s="52">
        <f t="shared" si="32"/>
        <v>0.16921792374060673</v>
      </c>
      <c r="P52" s="52">
        <f t="shared" si="32"/>
        <v>0.168424317617866</v>
      </c>
      <c r="Q52" s="52">
        <f t="shared" si="32"/>
        <v>0.1702127659574468</v>
      </c>
      <c r="R52" s="52">
        <f t="shared" si="32"/>
        <v>0.1474609375</v>
      </c>
      <c r="S52" s="52">
        <f t="shared" si="32"/>
        <v>0.14837593695944648</v>
      </c>
      <c r="T52" s="52">
        <f t="shared" si="32"/>
        <v>0.15289360626737428</v>
      </c>
      <c r="U52" s="52">
        <f t="shared" si="32"/>
        <v>0.15475057387604277</v>
      </c>
      <c r="V52" s="52">
        <f t="shared" si="32"/>
        <v>9.4926979246733281E-2</v>
      </c>
      <c r="W52" s="52">
        <f t="shared" si="32"/>
        <v>0.14649190439475712</v>
      </c>
      <c r="X52" s="52">
        <f t="shared" si="32"/>
        <v>0.13018794048551291</v>
      </c>
      <c r="Y52" s="52">
        <f t="shared" si="32"/>
        <v>4.2851170568561872E-2</v>
      </c>
      <c r="Z52" s="52">
        <f t="shared" si="32"/>
        <v>0.1018591667983357</v>
      </c>
      <c r="AA52" s="52">
        <f t="shared" si="32"/>
        <v>0.13993660855784468</v>
      </c>
      <c r="AB52" s="52">
        <f t="shared" si="32"/>
        <v>0.13813759302958795</v>
      </c>
      <c r="AC52" s="52">
        <f>AC30/AC29</f>
        <v>0.13646368305209097</v>
      </c>
      <c r="AD52" s="52">
        <f>AD30/AD29</f>
        <v>0.15576451349141454</v>
      </c>
      <c r="AE52" s="52">
        <f>AE30/AE29</f>
        <v>0.14212877318052611</v>
      </c>
      <c r="AF52" s="52">
        <v>0.17</v>
      </c>
      <c r="AG52" s="52">
        <v>0.17</v>
      </c>
      <c r="AH52" s="52">
        <v>0.17</v>
      </c>
      <c r="AI52" s="52">
        <v>0.17</v>
      </c>
      <c r="AJ52" s="231">
        <f>AJ30/AJ29</f>
        <v>0.17</v>
      </c>
      <c r="AK52" s="231">
        <v>0.17499999999999999</v>
      </c>
      <c r="AL52" s="231">
        <v>0.17499999999999999</v>
      </c>
      <c r="AM52" s="231">
        <v>0.17499999999999999</v>
      </c>
      <c r="AN52" s="231">
        <v>0.17499999999999999</v>
      </c>
      <c r="AO52" s="52"/>
      <c r="AP52" s="52"/>
      <c r="AQ52" s="52"/>
    </row>
    <row r="53" spans="1:43" s="31" customFormat="1" x14ac:dyDescent="0.2">
      <c r="A53" s="31" t="s">
        <v>379</v>
      </c>
      <c r="B53" s="53">
        <v>0.25832096671613314</v>
      </c>
      <c r="C53" s="53">
        <v>0.27975830815709968</v>
      </c>
      <c r="D53" s="53">
        <v>0.29578692493946729</v>
      </c>
      <c r="E53" s="53">
        <v>0.25543947090961372</v>
      </c>
      <c r="F53" s="53">
        <v>0.27248710216085537</v>
      </c>
      <c r="G53" s="53">
        <f t="shared" ref="G53:AN53" si="33">G33/G15</f>
        <v>0.28333731866730438</v>
      </c>
      <c r="H53" s="53">
        <f t="shared" si="33"/>
        <v>0.27270468618607147</v>
      </c>
      <c r="I53" s="53">
        <f t="shared" si="33"/>
        <v>0.29435745390530899</v>
      </c>
      <c r="J53" s="53">
        <f t="shared" si="33"/>
        <v>0.24959083469721768</v>
      </c>
      <c r="K53" s="53">
        <f t="shared" si="33"/>
        <v>0.27474309926559265</v>
      </c>
      <c r="L53" s="53">
        <f t="shared" si="33"/>
        <v>0.29363905325443784</v>
      </c>
      <c r="M53" s="53">
        <f t="shared" si="33"/>
        <v>0.28537414965986396</v>
      </c>
      <c r="N53" s="53">
        <f t="shared" si="33"/>
        <v>0.31241429378075342</v>
      </c>
      <c r="O53" s="53">
        <f t="shared" si="33"/>
        <v>0.25092686215032017</v>
      </c>
      <c r="P53" s="53">
        <f t="shared" si="33"/>
        <v>0.28569598633646454</v>
      </c>
      <c r="Q53" s="53">
        <f t="shared" si="33"/>
        <v>0.31699427718337897</v>
      </c>
      <c r="R53" s="53">
        <f t="shared" si="33"/>
        <v>0.32045621780721117</v>
      </c>
      <c r="S53" s="53">
        <f t="shared" si="33"/>
        <v>0.3527208987331687</v>
      </c>
      <c r="T53" s="53">
        <f t="shared" si="33"/>
        <v>0.26770017580310052</v>
      </c>
      <c r="U53" s="53">
        <f t="shared" si="33"/>
        <v>0.31424761428511899</v>
      </c>
      <c r="V53" s="53">
        <f t="shared" si="33"/>
        <v>0.37970289036008398</v>
      </c>
      <c r="W53" s="53">
        <f t="shared" si="33"/>
        <v>0.29120252609420227</v>
      </c>
      <c r="X53" s="53">
        <f t="shared" si="33"/>
        <v>0.33746388931123611</v>
      </c>
      <c r="Y53" s="53">
        <f t="shared" si="33"/>
        <v>0.33838103690555432</v>
      </c>
      <c r="Z53" s="53">
        <f t="shared" si="33"/>
        <v>0.3376253418413856</v>
      </c>
      <c r="AA53" s="53">
        <f t="shared" si="33"/>
        <v>0.3414664822034964</v>
      </c>
      <c r="AB53" s="53">
        <f t="shared" si="33"/>
        <v>0.32501884465154524</v>
      </c>
      <c r="AC53" s="53">
        <f t="shared" si="33"/>
        <v>0.31439267330703924</v>
      </c>
      <c r="AD53" s="53">
        <f t="shared" si="33"/>
        <v>0.29855386840202458</v>
      </c>
      <c r="AE53" s="53">
        <f t="shared" si="33"/>
        <v>0.32057553471425682</v>
      </c>
      <c r="AF53" s="53">
        <f t="shared" si="33"/>
        <v>0.29577207397814637</v>
      </c>
      <c r="AG53" s="53">
        <f t="shared" si="33"/>
        <v>0.2911020020065892</v>
      </c>
      <c r="AH53" s="53">
        <f t="shared" si="33"/>
        <v>0.30868920857705351</v>
      </c>
      <c r="AI53" s="53">
        <f t="shared" si="33"/>
        <v>0.29995683875936907</v>
      </c>
      <c r="AJ53" s="232">
        <f t="shared" si="33"/>
        <v>0.2990828440687302</v>
      </c>
      <c r="AK53" s="232">
        <f t="shared" si="33"/>
        <v>0.33446938005188664</v>
      </c>
      <c r="AL53" s="232">
        <f t="shared" si="33"/>
        <v>0.34895758087901751</v>
      </c>
      <c r="AM53" s="232">
        <f t="shared" si="33"/>
        <v>0.35581150464279421</v>
      </c>
      <c r="AN53" s="232">
        <f t="shared" si="33"/>
        <v>0.36513435355035989</v>
      </c>
      <c r="AO53" s="53"/>
      <c r="AP53" s="53"/>
      <c r="AQ53" s="50"/>
    </row>
    <row r="54" spans="1:43" x14ac:dyDescent="0.2">
      <c r="A54" s="21"/>
      <c r="AJ54" s="229"/>
      <c r="AK54" s="229"/>
      <c r="AL54" s="229"/>
      <c r="AM54" s="229"/>
      <c r="AN54" s="229"/>
    </row>
    <row r="55" spans="1:43" x14ac:dyDescent="0.2">
      <c r="A55" s="31" t="s">
        <v>380</v>
      </c>
      <c r="AJ55" s="229"/>
      <c r="AK55" s="229"/>
      <c r="AL55" s="229"/>
      <c r="AM55" s="229"/>
      <c r="AN55" s="229"/>
    </row>
    <row r="56" spans="1:43" s="31" customFormat="1" x14ac:dyDescent="0.2">
      <c r="A56" s="31" t="s">
        <v>381</v>
      </c>
      <c r="B56" s="43">
        <v>1.3101374570446689E-2</v>
      </c>
      <c r="C56" s="43">
        <v>8.7362860625761485E-3</v>
      </c>
      <c r="D56" s="43">
        <v>-2.0026575550493586E-2</v>
      </c>
      <c r="E56" s="43">
        <v>3.1438457736035597E-2</v>
      </c>
      <c r="F56" s="43">
        <v>7.9383023086392335E-3</v>
      </c>
      <c r="G56" s="43">
        <f t="shared" ref="G56:AJ61" si="34">G15/B15-1</f>
        <v>6.389654441382242E-2</v>
      </c>
      <c r="H56" s="43">
        <f t="shared" si="34"/>
        <v>5.3856998992950711E-2</v>
      </c>
      <c r="I56" s="43">
        <f t="shared" si="34"/>
        <v>4.5326876513317238E-2</v>
      </c>
      <c r="J56" s="43">
        <f t="shared" si="34"/>
        <v>5.4155084826991384E-2</v>
      </c>
      <c r="K56" s="43">
        <f t="shared" si="34"/>
        <v>5.4073723300850141E-2</v>
      </c>
      <c r="L56" s="43">
        <f t="shared" si="34"/>
        <v>7.7634305754822108E-2</v>
      </c>
      <c r="M56" s="43">
        <f t="shared" si="34"/>
        <v>0.12376729607828141</v>
      </c>
      <c r="N56" s="43">
        <f t="shared" si="34"/>
        <v>0.14861484295376637</v>
      </c>
      <c r="O56" s="43">
        <f t="shared" si="34"/>
        <v>7.9105291871249372E-2</v>
      </c>
      <c r="P56" s="43">
        <f t="shared" si="34"/>
        <v>0.107522356156869</v>
      </c>
      <c r="Q56" s="43">
        <f t="shared" si="34"/>
        <v>0.11473742603550297</v>
      </c>
      <c r="R56" s="43">
        <f t="shared" si="34"/>
        <v>-7.551020408163267E-2</v>
      </c>
      <c r="S56" s="43">
        <f t="shared" si="34"/>
        <v>1.2422360248447228E-2</v>
      </c>
      <c r="T56" s="43">
        <f t="shared" si="34"/>
        <v>5.4432086282440117E-2</v>
      </c>
      <c r="U56" s="43">
        <f t="shared" si="34"/>
        <v>2.4637062339880389E-2</v>
      </c>
      <c r="V56" s="43">
        <f t="shared" si="34"/>
        <v>2.7287053164136932E-2</v>
      </c>
      <c r="W56" s="43">
        <f t="shared" si="34"/>
        <v>4.8657100809418763E-2</v>
      </c>
      <c r="X56" s="43">
        <f t="shared" si="34"/>
        <v>4.8043980559318022E-2</v>
      </c>
      <c r="Y56" s="43">
        <f t="shared" si="34"/>
        <v>8.046987374140957E-2</v>
      </c>
      <c r="Z56" s="43">
        <f t="shared" si="34"/>
        <v>5.1423094553485926E-2</v>
      </c>
      <c r="AA56" s="43">
        <f t="shared" si="34"/>
        <v>0.28386888422412393</v>
      </c>
      <c r="AB56" s="43">
        <f t="shared" si="34"/>
        <v>0.27997544075081127</v>
      </c>
      <c r="AC56" s="43">
        <f t="shared" si="34"/>
        <v>0.1372206173027215</v>
      </c>
      <c r="AD56" s="43">
        <f t="shared" si="34"/>
        <v>2.2853339250055393E-2</v>
      </c>
      <c r="AE56" s="43">
        <f t="shared" si="34"/>
        <v>0.17482462050651981</v>
      </c>
      <c r="AF56" s="43">
        <f t="shared" si="34"/>
        <v>-0.13662055087410385</v>
      </c>
      <c r="AG56" s="43">
        <f t="shared" si="34"/>
        <v>-1.3050777770164057E-2</v>
      </c>
      <c r="AH56" s="43">
        <f t="shared" si="34"/>
        <v>3.1548900327561968E-2</v>
      </c>
      <c r="AI56" s="43">
        <f t="shared" si="34"/>
        <v>6.3687635574838364E-3</v>
      </c>
      <c r="AJ56" s="234">
        <f t="shared" si="34"/>
        <v>-3.0412421563997039E-2</v>
      </c>
      <c r="AK56" s="234">
        <f t="shared" ref="AK56:AN61" si="35">AK15/AJ15-1</f>
        <v>6.7963860830434042E-2</v>
      </c>
      <c r="AL56" s="234">
        <f t="shared" si="35"/>
        <v>5.1766983839984571E-2</v>
      </c>
      <c r="AM56" s="234">
        <f t="shared" si="35"/>
        <v>2.2571567078902621E-2</v>
      </c>
      <c r="AN56" s="234">
        <f t="shared" si="35"/>
        <v>2.6747154040685395E-2</v>
      </c>
      <c r="AO56" s="43"/>
      <c r="AP56" s="43"/>
      <c r="AQ56" s="43"/>
    </row>
    <row r="57" spans="1:43" x14ac:dyDescent="0.2">
      <c r="A57" s="21" t="s">
        <v>382</v>
      </c>
      <c r="B57" s="29">
        <v>-1.9635343618513379E-2</v>
      </c>
      <c r="C57" s="29">
        <v>-7.1906354515050119E-2</v>
      </c>
      <c r="D57" s="29">
        <v>-4.5769230769230784E-2</v>
      </c>
      <c r="E57" s="29">
        <v>4.2452830188679291E-2</v>
      </c>
      <c r="F57" s="29">
        <v>-2.3255813953488413E-2</v>
      </c>
      <c r="G57" s="29">
        <f t="shared" si="34"/>
        <v>0.16547448736289927</v>
      </c>
      <c r="H57" s="29">
        <f t="shared" si="34"/>
        <v>0.20765765765765765</v>
      </c>
      <c r="I57" s="29">
        <f t="shared" si="34"/>
        <v>1.4510278113663899E-2</v>
      </c>
      <c r="J57" s="29">
        <f t="shared" si="34"/>
        <v>3.7330316742081537E-2</v>
      </c>
      <c r="K57" s="29">
        <f t="shared" si="34"/>
        <v>9.978835978835976E-2</v>
      </c>
      <c r="L57" s="29">
        <f t="shared" si="34"/>
        <v>6.5875613747954143E-2</v>
      </c>
      <c r="M57" s="29">
        <f t="shared" si="34"/>
        <v>7.7582991421111469E-2</v>
      </c>
      <c r="N57" s="29">
        <f t="shared" si="34"/>
        <v>0.18673023440603886</v>
      </c>
      <c r="O57" s="29">
        <f t="shared" si="34"/>
        <v>0.18284260268993102</v>
      </c>
      <c r="P57" s="29">
        <f t="shared" si="34"/>
        <v>0.12912537284710868</v>
      </c>
      <c r="Q57" s="29">
        <f t="shared" si="34"/>
        <v>0.13166986564299421</v>
      </c>
      <c r="R57" s="29">
        <f t="shared" si="34"/>
        <v>-1.2807199723087526E-2</v>
      </c>
      <c r="S57" s="29">
        <f t="shared" si="34"/>
        <v>5.7248074991630427E-2</v>
      </c>
      <c r="T57" s="29">
        <f t="shared" si="34"/>
        <v>3.6570374923171389E-2</v>
      </c>
      <c r="U57" s="29">
        <f t="shared" si="34"/>
        <v>5.0788240306774535E-2</v>
      </c>
      <c r="V57" s="29">
        <f t="shared" si="34"/>
        <v>-0.15637720488466755</v>
      </c>
      <c r="W57" s="29">
        <f t="shared" si="34"/>
        <v>-5.8906030855540026E-2</v>
      </c>
      <c r="X57" s="29">
        <f t="shared" si="34"/>
        <v>-3.2298923369221022E-2</v>
      </c>
      <c r="Y57" s="29">
        <f t="shared" si="34"/>
        <v>1.1265935369107583E-2</v>
      </c>
      <c r="Z57" s="29">
        <f t="shared" si="34"/>
        <v>-5.619982158786796E-2</v>
      </c>
      <c r="AA57" s="29">
        <f t="shared" si="34"/>
        <v>0.87133092078809815</v>
      </c>
      <c r="AB57" s="29">
        <f t="shared" si="34"/>
        <v>0.37779433681073016</v>
      </c>
      <c r="AC57" s="29">
        <f t="shared" si="34"/>
        <v>0.12369109947643975</v>
      </c>
      <c r="AD57" s="29">
        <f t="shared" si="34"/>
        <v>-1.4658457930225688E-2</v>
      </c>
      <c r="AE57" s="29">
        <f t="shared" si="34"/>
        <v>0.30151228733459368</v>
      </c>
      <c r="AF57" s="29">
        <f t="shared" si="34"/>
        <v>-0.32149209282337776</v>
      </c>
      <c r="AG57" s="29">
        <f t="shared" si="34"/>
        <v>-0.10422214710654443</v>
      </c>
      <c r="AH57" s="29">
        <f t="shared" si="34"/>
        <v>3.3522481071636356E-2</v>
      </c>
      <c r="AI57" s="29">
        <f t="shared" si="34"/>
        <v>-4.7557750669443677E-2</v>
      </c>
      <c r="AJ57" s="225">
        <f t="shared" si="34"/>
        <v>-0.12717786360335392</v>
      </c>
      <c r="AK57" s="225">
        <f t="shared" si="35"/>
        <v>-2.4902561850473237E-2</v>
      </c>
      <c r="AL57" s="225">
        <f t="shared" si="35"/>
        <v>2.6724912796175282E-2</v>
      </c>
      <c r="AM57" s="225">
        <f t="shared" si="35"/>
        <v>-2.3692028498509821E-3</v>
      </c>
      <c r="AN57" s="225">
        <f t="shared" si="35"/>
        <v>-2.4590203661348897E-2</v>
      </c>
      <c r="AO57" s="29"/>
      <c r="AP57" s="29"/>
      <c r="AQ57" s="29"/>
    </row>
    <row r="58" spans="1:43" x14ac:dyDescent="0.2">
      <c r="A58" s="21" t="s">
        <v>383</v>
      </c>
      <c r="B58" s="29">
        <v>2.2863515962637582E-2</v>
      </c>
      <c r="C58" s="29">
        <v>3.4621578099838901E-2</v>
      </c>
      <c r="D58" s="29">
        <v>-1.1592741935483875E-2</v>
      </c>
      <c r="E58" s="29">
        <v>2.773741909919436E-2</v>
      </c>
      <c r="F58" s="29">
        <v>1.7954334262578087E-2</v>
      </c>
      <c r="G58" s="29">
        <f t="shared" si="34"/>
        <v>3.486438598882402E-2</v>
      </c>
      <c r="H58" s="29">
        <f t="shared" si="34"/>
        <v>9.5719844357977646E-3</v>
      </c>
      <c r="I58" s="29">
        <f t="shared" si="34"/>
        <v>5.5073941866394804E-2</v>
      </c>
      <c r="J58" s="29">
        <f t="shared" si="34"/>
        <v>5.9889474360621975E-2</v>
      </c>
      <c r="K58" s="29">
        <f t="shared" si="34"/>
        <v>3.9989567371955914E-2</v>
      </c>
      <c r="L58" s="29">
        <f t="shared" si="34"/>
        <v>8.1419239279317157E-2</v>
      </c>
      <c r="M58" s="29">
        <f t="shared" si="34"/>
        <v>0.13967470901102264</v>
      </c>
      <c r="N58" s="29">
        <f t="shared" si="34"/>
        <v>0.13702271628806195</v>
      </c>
      <c r="O58" s="29">
        <f t="shared" si="34"/>
        <v>4.4501030677822184E-2</v>
      </c>
      <c r="P58" s="29">
        <f t="shared" si="34"/>
        <v>0.10048401860838352</v>
      </c>
      <c r="Q58" s="29">
        <f t="shared" si="34"/>
        <v>0.10936548532456469</v>
      </c>
      <c r="R58" s="29">
        <f t="shared" si="34"/>
        <v>-9.5930560252508124E-2</v>
      </c>
      <c r="S58" s="29">
        <f t="shared" si="34"/>
        <v>-1.8065887353878596E-3</v>
      </c>
      <c r="T58" s="29">
        <f t="shared" si="34"/>
        <v>6.1179475272811645E-2</v>
      </c>
      <c r="U58" s="29">
        <f t="shared" si="34"/>
        <v>1.5895171627973159E-2</v>
      </c>
      <c r="V58" s="29">
        <f t="shared" si="34"/>
        <v>8.6727412449226104E-2</v>
      </c>
      <c r="W58" s="29">
        <f t="shared" si="34"/>
        <v>8.6907730673316808E-2</v>
      </c>
      <c r="X58" s="29">
        <f t="shared" si="34"/>
        <v>7.5055892686042736E-2</v>
      </c>
      <c r="Y58" s="29">
        <f t="shared" si="34"/>
        <v>0.10600590744995086</v>
      </c>
      <c r="Z58" s="29">
        <f t="shared" si="34"/>
        <v>8.8635280262456817E-2</v>
      </c>
      <c r="AA58" s="29">
        <f t="shared" si="34"/>
        <v>0.1362763915547025</v>
      </c>
      <c r="AB58" s="29">
        <f t="shared" si="34"/>
        <v>0.24985660204198701</v>
      </c>
      <c r="AC58" s="29">
        <f t="shared" si="34"/>
        <v>0.14131511190334711</v>
      </c>
      <c r="AD58" s="29">
        <f t="shared" si="34"/>
        <v>3.550939663699304E-2</v>
      </c>
      <c r="AE58" s="29">
        <f t="shared" si="34"/>
        <v>0.13684834123222744</v>
      </c>
      <c r="AF58" s="29">
        <f t="shared" si="34"/>
        <v>-6.0127649359886015E-2</v>
      </c>
      <c r="AG58" s="29">
        <f t="shared" si="34"/>
        <v>1.7894768242312731E-2</v>
      </c>
      <c r="AH58" s="29">
        <f t="shared" si="34"/>
        <v>3.0960850325379541E-2</v>
      </c>
      <c r="AI58" s="29">
        <f t="shared" si="34"/>
        <v>2.3681497755277503E-2</v>
      </c>
      <c r="AJ58" s="225">
        <f t="shared" si="34"/>
        <v>2.7956838933320682E-3</v>
      </c>
      <c r="AK58" s="225">
        <f t="shared" si="35"/>
        <v>9.5703181890964828E-2</v>
      </c>
      <c r="AL58" s="225">
        <f t="shared" si="35"/>
        <v>5.8423736902262879E-2</v>
      </c>
      <c r="AM58" s="225">
        <f t="shared" si="35"/>
        <v>2.9002834796379995E-2</v>
      </c>
      <c r="AN58" s="225">
        <f t="shared" si="35"/>
        <v>3.9581493466193995E-2</v>
      </c>
      <c r="AO58" s="29"/>
      <c r="AP58" s="29"/>
      <c r="AQ58" s="29"/>
    </row>
    <row r="59" spans="1:43" ht="17" x14ac:dyDescent="0.2">
      <c r="A59" s="32" t="s">
        <v>349</v>
      </c>
      <c r="B59" s="29">
        <v>3.3290099437959464E-2</v>
      </c>
      <c r="C59" s="29">
        <v>3.1449213769655815E-2</v>
      </c>
      <c r="D59" s="29">
        <v>1.4431239388794648E-2</v>
      </c>
      <c r="E59" s="29">
        <v>3.8955979742889557E-3</v>
      </c>
      <c r="F59" s="29">
        <v>2.0333680917622443E-2</v>
      </c>
      <c r="G59" s="29">
        <f t="shared" si="34"/>
        <v>4.5606694560669458E-2</v>
      </c>
      <c r="H59" s="29">
        <f t="shared" si="34"/>
        <v>2.6370004120313206E-2</v>
      </c>
      <c r="I59" s="29">
        <f t="shared" si="34"/>
        <v>2.1338912133891164E-2</v>
      </c>
      <c r="J59" s="29">
        <f t="shared" si="34"/>
        <v>2.2894838960030972E-2</v>
      </c>
      <c r="K59" s="29">
        <f t="shared" si="34"/>
        <v>2.8819621870209478E-2</v>
      </c>
      <c r="L59" s="29">
        <f t="shared" si="34"/>
        <v>-2.9211684673869587E-2</v>
      </c>
      <c r="M59" s="29">
        <f t="shared" si="34"/>
        <v>5.1384985949417983E-2</v>
      </c>
      <c r="N59" s="29">
        <f t="shared" si="34"/>
        <v>5.1208521097910742E-2</v>
      </c>
      <c r="O59" s="29">
        <f t="shared" si="34"/>
        <v>7.8528072837632745E-2</v>
      </c>
      <c r="P59" s="29">
        <f t="shared" si="34"/>
        <v>3.8442435680937637E-2</v>
      </c>
      <c r="Q59" s="29">
        <f t="shared" si="34"/>
        <v>-6.5952184666117075E-2</v>
      </c>
      <c r="R59" s="29">
        <f t="shared" si="34"/>
        <v>-0.15845742649866357</v>
      </c>
      <c r="S59" s="29">
        <f t="shared" si="34"/>
        <v>-0.13172252533125484</v>
      </c>
      <c r="T59" s="29">
        <f t="shared" si="34"/>
        <v>-1.8994020400984857E-2</v>
      </c>
      <c r="U59" s="29">
        <f t="shared" si="34"/>
        <v>-9.250047828582364E-2</v>
      </c>
      <c r="V59" s="29">
        <f t="shared" si="34"/>
        <v>-4.0158870255957657E-2</v>
      </c>
      <c r="W59" s="29">
        <f t="shared" si="34"/>
        <v>2.268602540834852E-2</v>
      </c>
      <c r="X59" s="29">
        <f t="shared" si="34"/>
        <v>1.8850987432674993E-2</v>
      </c>
      <c r="Y59" s="29">
        <f t="shared" si="34"/>
        <v>-6.9917533166009349E-2</v>
      </c>
      <c r="Z59" s="29">
        <f t="shared" si="34"/>
        <v>-2.0449035522293713E-2</v>
      </c>
      <c r="AA59" s="29">
        <f t="shared" si="34"/>
        <v>3.5402298850574665E-2</v>
      </c>
      <c r="AB59" s="29">
        <f t="shared" si="34"/>
        <v>7.3646850044365664E-2</v>
      </c>
      <c r="AC59" s="29">
        <f t="shared" si="34"/>
        <v>8.8986784140969055E-2</v>
      </c>
      <c r="AD59" s="29">
        <f t="shared" si="34"/>
        <v>1.3107170393215073E-2</v>
      </c>
      <c r="AE59" s="29">
        <f t="shared" si="34"/>
        <v>5.1544173033466034E-2</v>
      </c>
      <c r="AF59" s="29">
        <f t="shared" si="34"/>
        <v>9.7381349911189963E-2</v>
      </c>
      <c r="AG59" s="29">
        <f t="shared" si="34"/>
        <v>7.1264049586776457E-2</v>
      </c>
      <c r="AH59" s="29">
        <f t="shared" si="34"/>
        <v>2.9977791262135733E-2</v>
      </c>
      <c r="AI59" s="29">
        <f t="shared" si="34"/>
        <v>6.2538812785388753E-3</v>
      </c>
      <c r="AJ59" s="225">
        <f t="shared" si="34"/>
        <v>4.9355515759311963E-2</v>
      </c>
      <c r="AK59" s="225">
        <f t="shared" si="35"/>
        <v>2.9682750268233526E-2</v>
      </c>
      <c r="AL59" s="225">
        <f t="shared" si="35"/>
        <v>2.7307286541380371E-2</v>
      </c>
      <c r="AM59" s="225">
        <f t="shared" si="35"/>
        <v>2.2571567078902843E-2</v>
      </c>
      <c r="AN59" s="225">
        <f t="shared" si="35"/>
        <v>2.6747154040685395E-2</v>
      </c>
      <c r="AO59" s="29"/>
      <c r="AP59" s="29"/>
      <c r="AQ59" s="29"/>
    </row>
    <row r="60" spans="1:43" x14ac:dyDescent="0.2">
      <c r="A60" s="37" t="s">
        <v>350</v>
      </c>
      <c r="B60" s="29">
        <v>0.13766730401529648</v>
      </c>
      <c r="C60" s="29">
        <v>-7.8191489361702171E-2</v>
      </c>
      <c r="D60" s="29">
        <v>7.5137446548564357E-2</v>
      </c>
      <c r="E60" s="29">
        <v>0.1811926605504588</v>
      </c>
      <c r="F60" s="29">
        <v>7.437774524158125E-2</v>
      </c>
      <c r="G60" s="29">
        <f t="shared" si="34"/>
        <v>4.4817927170868188E-3</v>
      </c>
      <c r="H60" s="29">
        <f t="shared" si="34"/>
        <v>0.11136757068667058</v>
      </c>
      <c r="I60" s="29">
        <f t="shared" si="34"/>
        <v>0.17443181818181808</v>
      </c>
      <c r="J60" s="29">
        <f t="shared" si="34"/>
        <v>3.0097087378640808E-2</v>
      </c>
      <c r="K60" s="29">
        <f t="shared" si="34"/>
        <v>7.7677841373671397E-2</v>
      </c>
      <c r="L60" s="29">
        <f t="shared" si="34"/>
        <v>9.4255437813719922E-2</v>
      </c>
      <c r="M60" s="29">
        <f t="shared" si="34"/>
        <v>0.13291796469366557</v>
      </c>
      <c r="N60" s="29">
        <f t="shared" si="34"/>
        <v>7.1601354620222546E-2</v>
      </c>
      <c r="O60" s="29">
        <f t="shared" si="34"/>
        <v>0.1173421300659756</v>
      </c>
      <c r="P60" s="29">
        <f t="shared" si="34"/>
        <v>0.10394537177541729</v>
      </c>
      <c r="Q60" s="29">
        <f t="shared" si="34"/>
        <v>9.8369011213047974E-2</v>
      </c>
      <c r="R60" s="29">
        <f t="shared" si="34"/>
        <v>-1.1457378551787301E-2</v>
      </c>
      <c r="S60" s="29">
        <f t="shared" si="34"/>
        <v>2.6185101580135539E-2</v>
      </c>
      <c r="T60" s="29">
        <f t="shared" si="34"/>
        <v>0.11682834247153107</v>
      </c>
      <c r="U60" s="29">
        <f t="shared" si="34"/>
        <v>5.7617411225658666E-2</v>
      </c>
      <c r="V60" s="29">
        <f t="shared" si="34"/>
        <v>0.10719257540603255</v>
      </c>
      <c r="W60" s="29">
        <f t="shared" si="34"/>
        <v>0.17477978674084382</v>
      </c>
      <c r="X60" s="29">
        <f t="shared" si="34"/>
        <v>8.9309282886053776E-2</v>
      </c>
      <c r="Y60" s="29">
        <f t="shared" si="34"/>
        <v>1.2462235649546738E-2</v>
      </c>
      <c r="Z60" s="29">
        <f t="shared" si="34"/>
        <v>9.1411242283114813E-2</v>
      </c>
      <c r="AA60" s="29">
        <f t="shared" si="34"/>
        <v>6.7476948868399056E-2</v>
      </c>
      <c r="AB60" s="29">
        <f t="shared" si="34"/>
        <v>9.0765588003157038E-2</v>
      </c>
      <c r="AC60" s="29">
        <f t="shared" si="34"/>
        <v>0.4119547657512117</v>
      </c>
      <c r="AD60" s="29">
        <f t="shared" si="34"/>
        <v>0.1320402834763148</v>
      </c>
      <c r="AE60" s="29">
        <f t="shared" si="34"/>
        <v>0.17515133472263567</v>
      </c>
      <c r="AF60" s="29">
        <f t="shared" si="34"/>
        <v>0.20745937966234806</v>
      </c>
      <c r="AG60" s="29">
        <f t="shared" si="34"/>
        <v>0.16721099855282162</v>
      </c>
      <c r="AH60" s="29">
        <f t="shared" si="34"/>
        <v>-1.1289885583524062E-2</v>
      </c>
      <c r="AI60" s="29">
        <f t="shared" si="34"/>
        <v>2.723226359143327E-2</v>
      </c>
      <c r="AJ60" s="225">
        <f t="shared" si="34"/>
        <v>8.7295281202499408E-2</v>
      </c>
      <c r="AK60" s="225">
        <f t="shared" si="35"/>
        <v>-2.2622359507861622E-2</v>
      </c>
      <c r="AL60" s="225">
        <f t="shared" si="35"/>
        <v>5.5918479640828522E-3</v>
      </c>
      <c r="AM60" s="225">
        <f t="shared" si="35"/>
        <v>1.7027595874965495E-3</v>
      </c>
      <c r="AN60" s="225">
        <f t="shared" si="35"/>
        <v>1.6051871186094857E-2</v>
      </c>
      <c r="AO60" s="29"/>
      <c r="AP60" s="29"/>
      <c r="AQ60" s="29"/>
    </row>
    <row r="61" spans="1:43" x14ac:dyDescent="0.2">
      <c r="A61" s="21" t="s">
        <v>384</v>
      </c>
      <c r="B61" s="29">
        <v>-3.9197812215132188E-2</v>
      </c>
      <c r="C61" s="29">
        <v>0.10282696489593035</v>
      </c>
      <c r="D61" s="29">
        <v>-6.3149885873700184E-2</v>
      </c>
      <c r="E61" s="29">
        <v>-3.5582822085889587E-2</v>
      </c>
      <c r="F61" s="29">
        <v>-1.1814469078179735E-2</v>
      </c>
      <c r="G61" s="29">
        <f t="shared" si="34"/>
        <v>4.3896268184693499E-2</v>
      </c>
      <c r="H61" s="29">
        <f t="shared" si="34"/>
        <v>-5.1605633802816575E-2</v>
      </c>
      <c r="I61" s="29">
        <f t="shared" si="34"/>
        <v>2.0032485110990761E-2</v>
      </c>
      <c r="J61" s="29">
        <f t="shared" si="34"/>
        <v>0.10973282442748089</v>
      </c>
      <c r="K61" s="29">
        <f t="shared" si="34"/>
        <v>2.7645756457564952E-2</v>
      </c>
      <c r="L61" s="29">
        <f t="shared" si="34"/>
        <v>0.1582040717401838</v>
      </c>
      <c r="M61" s="29">
        <f t="shared" si="34"/>
        <v>0.20886301532612528</v>
      </c>
      <c r="N61" s="29">
        <f t="shared" si="34"/>
        <v>0.22850318471337583</v>
      </c>
      <c r="O61" s="29">
        <f t="shared" si="34"/>
        <v>-2.5508741759816544E-2</v>
      </c>
      <c r="P61" s="29">
        <f t="shared" si="34"/>
        <v>0.14337216149835497</v>
      </c>
      <c r="Q61" s="29">
        <f t="shared" si="34"/>
        <v>0.22626209782893025</v>
      </c>
      <c r="R61" s="29">
        <f t="shared" si="34"/>
        <v>-0.10098280098280099</v>
      </c>
      <c r="S61" s="29">
        <f t="shared" si="34"/>
        <v>5.6815726938863609E-2</v>
      </c>
      <c r="T61" s="29">
        <f t="shared" si="34"/>
        <v>8.9411764705882302E-2</v>
      </c>
      <c r="U61" s="29">
        <f t="shared" si="34"/>
        <v>6.4191947741975897E-2</v>
      </c>
      <c r="V61" s="29">
        <f t="shared" si="34"/>
        <v>0.13865187713310578</v>
      </c>
      <c r="W61" s="29">
        <f t="shared" si="34"/>
        <v>7.3790653183930077E-2</v>
      </c>
      <c r="X61" s="29">
        <f t="shared" si="34"/>
        <v>9.4031071136549516E-2</v>
      </c>
      <c r="Y61" s="29">
        <f t="shared" si="34"/>
        <v>0.30534557235421156</v>
      </c>
      <c r="Z61" s="29">
        <f t="shared" si="34"/>
        <v>0.14820279761553445</v>
      </c>
      <c r="AA61" s="29">
        <f t="shared" si="34"/>
        <v>0.20813038591232669</v>
      </c>
      <c r="AB61" s="29">
        <f t="shared" si="34"/>
        <v>0.45355052176126232</v>
      </c>
      <c r="AC61" s="29">
        <f t="shared" si="34"/>
        <v>3.8303437967114995E-2</v>
      </c>
      <c r="AD61" s="29">
        <f t="shared" si="34"/>
        <v>-5.9979317476732685E-3</v>
      </c>
      <c r="AE61" s="29">
        <f t="shared" si="34"/>
        <v>0.15775675953531398</v>
      </c>
      <c r="AF61" s="29">
        <f t="shared" si="34"/>
        <v>-0.22081216312606577</v>
      </c>
      <c r="AG61" s="29">
        <f t="shared" si="34"/>
        <v>-7.6985939415163629E-2</v>
      </c>
      <c r="AH61" s="29">
        <f t="shared" si="34"/>
        <v>5.797879071441403E-2</v>
      </c>
      <c r="AI61" s="29">
        <f t="shared" si="34"/>
        <v>3.0968888888888824E-2</v>
      </c>
      <c r="AJ61" s="225">
        <f t="shared" si="34"/>
        <v>-6.1832780713048874E-2</v>
      </c>
      <c r="AK61" s="225">
        <f t="shared" si="35"/>
        <v>0.19984365461089659</v>
      </c>
      <c r="AL61" s="225">
        <f t="shared" si="35"/>
        <v>9.7606707106618229E-2</v>
      </c>
      <c r="AM61" s="225">
        <f t="shared" si="35"/>
        <v>4.3924569639714806E-2</v>
      </c>
      <c r="AN61" s="225">
        <f t="shared" si="35"/>
        <v>5.4749349150885696E-2</v>
      </c>
      <c r="AO61" s="29"/>
      <c r="AP61" s="29"/>
      <c r="AQ61" s="29"/>
    </row>
    <row r="62" spans="1:43" x14ac:dyDescent="0.2">
      <c r="A62" s="21" t="s">
        <v>385</v>
      </c>
      <c r="B62" s="29">
        <v>-4.6561825470243567E-2</v>
      </c>
      <c r="C62" s="29">
        <v>0.10343750000000007</v>
      </c>
      <c r="D62" s="29">
        <v>-4.2016806722689037E-2</v>
      </c>
      <c r="E62" s="29">
        <v>-2.1995043370508061E-2</v>
      </c>
      <c r="F62" s="29">
        <v>-4.1182526842182821E-3</v>
      </c>
      <c r="G62" s="29">
        <f>G29/B29-1</f>
        <v>0.15129366106080244</v>
      </c>
      <c r="H62" s="29">
        <f>H29/C29-1</f>
        <v>-1.2234494477484814E-2</v>
      </c>
      <c r="I62" s="29">
        <f>I29/D29-1</f>
        <v>4.4657097288676173E-2</v>
      </c>
      <c r="J62" s="29">
        <f>J29/E29-1</f>
        <v>0.12606905289832127</v>
      </c>
      <c r="K62" s="29">
        <f>K29/F29-1</f>
        <v>7.3150199379707903E-2</v>
      </c>
      <c r="L62" s="29">
        <f t="shared" ref="L62:AJ62" si="36">L29/G29-1</f>
        <v>6.8037530198325369E-2</v>
      </c>
      <c r="M62" s="29">
        <f t="shared" si="36"/>
        <v>0.1829806754974479</v>
      </c>
      <c r="N62" s="29">
        <f t="shared" si="36"/>
        <v>0.17048346055979646</v>
      </c>
      <c r="O62" s="29">
        <f t="shared" si="36"/>
        <v>1.0689170182841101E-2</v>
      </c>
      <c r="P62" s="29">
        <f t="shared" si="36"/>
        <v>0.10923028226194864</v>
      </c>
      <c r="Q62" s="29">
        <f t="shared" si="36"/>
        <v>0.21146764860599676</v>
      </c>
      <c r="R62" s="29">
        <f t="shared" si="36"/>
        <v>-7.2709646146388307E-3</v>
      </c>
      <c r="S62" s="29">
        <f t="shared" si="36"/>
        <v>0.13108695652173918</v>
      </c>
      <c r="T62" s="29">
        <f t="shared" si="36"/>
        <v>0.10130809908154736</v>
      </c>
      <c r="U62" s="29">
        <f t="shared" si="36"/>
        <v>0.10800248138957813</v>
      </c>
      <c r="V62" s="29">
        <f t="shared" si="36"/>
        <v>0.12983065566652185</v>
      </c>
      <c r="W62" s="29">
        <f t="shared" si="36"/>
        <v>-5.0048828125E-2</v>
      </c>
      <c r="X62" s="29">
        <f t="shared" si="36"/>
        <v>-1.8258696905631422E-2</v>
      </c>
      <c r="Y62" s="29">
        <f t="shared" si="36"/>
        <v>0.20899671468284065</v>
      </c>
      <c r="Z62" s="29">
        <f t="shared" si="36"/>
        <v>6.30423828453055E-2</v>
      </c>
      <c r="AA62" s="29">
        <f t="shared" si="36"/>
        <v>0.21252882398155259</v>
      </c>
      <c r="AB62" s="29">
        <f t="shared" si="36"/>
        <v>0.41583140580827549</v>
      </c>
      <c r="AC62" s="29">
        <f t="shared" si="36"/>
        <v>6.7345340642130047E-2</v>
      </c>
      <c r="AD62" s="29">
        <f t="shared" si="36"/>
        <v>2.2575250836120331E-2</v>
      </c>
      <c r="AE62" s="29">
        <f t="shared" si="36"/>
        <v>0.1672723442355295</v>
      </c>
      <c r="AF62" s="29">
        <f t="shared" si="36"/>
        <v>-0.22522466561014232</v>
      </c>
      <c r="AG62" s="29">
        <f t="shared" si="36"/>
        <v>-8.1959829370121695E-2</v>
      </c>
      <c r="AH62" s="29">
        <f t="shared" si="36"/>
        <v>5.3767083639031155E-2</v>
      </c>
      <c r="AI62" s="29">
        <f t="shared" si="36"/>
        <v>2.8441635322976389E-2</v>
      </c>
      <c r="AJ62" s="225">
        <f t="shared" si="36"/>
        <v>-6.4991640120922289E-2</v>
      </c>
      <c r="AK62" s="225">
        <f>AK29/AJ29-1</f>
        <v>0.20147707734957132</v>
      </c>
      <c r="AL62" s="225">
        <f>AL29/AK29-1</f>
        <v>9.7295011837382539E-2</v>
      </c>
      <c r="AM62" s="225">
        <f>AM29/AL29-1</f>
        <v>4.264750194085476E-2</v>
      </c>
      <c r="AN62" s="225">
        <f>AN29/AM29-1</f>
        <v>5.3637225473594397E-2</v>
      </c>
      <c r="AO62" s="29"/>
      <c r="AP62" s="29"/>
      <c r="AQ62" s="29"/>
    </row>
    <row r="63" spans="1:43" x14ac:dyDescent="0.2">
      <c r="A63" s="21" t="s">
        <v>386</v>
      </c>
      <c r="B63" s="29">
        <v>-1.0375670840787166E-2</v>
      </c>
      <c r="C63" s="29">
        <v>-1.3266403728935061E-2</v>
      </c>
      <c r="D63" s="29">
        <v>-2.1177315147164366E-2</v>
      </c>
      <c r="E63" s="29">
        <v>-2.1974063400576394E-2</v>
      </c>
      <c r="F63" s="29">
        <v>-1.3816615826305445E-2</v>
      </c>
      <c r="G63" s="29">
        <f>G36/B36-1</f>
        <v>-2.0245842371655831E-2</v>
      </c>
      <c r="H63" s="29">
        <f>H36/C36-1</f>
        <v>-2.0348837209302362E-2</v>
      </c>
      <c r="I63" s="29">
        <f>I36/D36-1</f>
        <v>-1.7968463513017952E-2</v>
      </c>
      <c r="J63" s="29">
        <f>J36/E36-1</f>
        <v>-2.9834254143646377E-2</v>
      </c>
      <c r="K63" s="29">
        <f>K36/F36-1</f>
        <v>-2.5109170305676831E-2</v>
      </c>
      <c r="L63" s="29">
        <f t="shared" ref="L63:AJ63" si="37">L36/G36-1</f>
        <v>-3.6900369003690092E-2</v>
      </c>
      <c r="M63" s="29">
        <f t="shared" si="37"/>
        <v>-4.0059347181008897E-2</v>
      </c>
      <c r="N63" s="29">
        <f t="shared" si="37"/>
        <v>-3.398058252427183E-2</v>
      </c>
      <c r="O63" s="29">
        <f t="shared" si="37"/>
        <v>-2.8473804100227817E-2</v>
      </c>
      <c r="P63" s="29">
        <f t="shared" si="37"/>
        <v>-3.6954087346024678E-2</v>
      </c>
      <c r="Q63" s="29">
        <f t="shared" si="37"/>
        <v>-2.4137931034482807E-2</v>
      </c>
      <c r="R63" s="29">
        <f t="shared" si="37"/>
        <v>-2.0092735703245768E-2</v>
      </c>
      <c r="S63" s="29">
        <f t="shared" si="37"/>
        <v>-1.7781213761113301E-2</v>
      </c>
      <c r="T63" s="29">
        <f t="shared" si="37"/>
        <v>-7.4247753028526819E-3</v>
      </c>
      <c r="U63" s="29">
        <f t="shared" si="37"/>
        <v>-1.5116279069767424E-2</v>
      </c>
      <c r="V63" s="29">
        <f t="shared" si="37"/>
        <v>-2.3557126030624431E-3</v>
      </c>
      <c r="W63" s="29">
        <f t="shared" si="37"/>
        <v>1.577287066246047E-3</v>
      </c>
      <c r="X63" s="29">
        <f t="shared" si="37"/>
        <v>-1.9677292404565172E-3</v>
      </c>
      <c r="Y63" s="29">
        <f t="shared" si="37"/>
        <v>-1.9685039370078705E-3</v>
      </c>
      <c r="Z63" s="29">
        <f t="shared" si="37"/>
        <v>-1.1806375442738881E-3</v>
      </c>
      <c r="AA63" s="29">
        <f t="shared" si="37"/>
        <v>-1.5741833923652582E-3</v>
      </c>
      <c r="AB63" s="29">
        <f t="shared" si="37"/>
        <v>0</v>
      </c>
      <c r="AC63" s="29">
        <f t="shared" si="37"/>
        <v>2.3659305993690705E-3</v>
      </c>
      <c r="AD63" s="29">
        <f t="shared" si="37"/>
        <v>3.9447731755415383E-4</v>
      </c>
      <c r="AE63" s="29">
        <f t="shared" si="37"/>
        <v>0</v>
      </c>
      <c r="AF63" s="29">
        <f t="shared" si="37"/>
        <v>-5.3921955065037164E-3</v>
      </c>
      <c r="AG63" s="29">
        <f t="shared" si="37"/>
        <v>-1.1534094488188873E-2</v>
      </c>
      <c r="AH63" s="29">
        <f t="shared" si="37"/>
        <v>-1.7250242722265718E-2</v>
      </c>
      <c r="AI63" s="29">
        <f t="shared" si="37"/>
        <v>-1.985049937499983E-2</v>
      </c>
      <c r="AJ63" s="225">
        <f t="shared" si="37"/>
        <v>-1.3215877010933741E-2</v>
      </c>
      <c r="AK63" s="225">
        <f>AK36/AJ36-1</f>
        <v>-2.0000000000000129E-2</v>
      </c>
      <c r="AL63" s="225">
        <f>AL36/AK36-1</f>
        <v>-1.9999999999999907E-2</v>
      </c>
      <c r="AM63" s="225">
        <f>AM36/AL36-1</f>
        <v>-2.0000000000000129E-2</v>
      </c>
      <c r="AN63" s="225">
        <f>AN36/AM36-1</f>
        <v>-2.0000000000000018E-2</v>
      </c>
      <c r="AO63" s="29"/>
      <c r="AP63" s="29"/>
      <c r="AQ63" s="29"/>
    </row>
    <row r="64" spans="1:43" s="31" customFormat="1" ht="17" thickBot="1" x14ac:dyDescent="0.25">
      <c r="A64" s="55" t="s">
        <v>387</v>
      </c>
      <c r="B64" s="56">
        <v>-1.1777914600935468E-2</v>
      </c>
      <c r="C64" s="56">
        <v>8.8268095845956074E-2</v>
      </c>
      <c r="D64" s="56">
        <v>4.3852394607142298E-2</v>
      </c>
      <c r="E64" s="56">
        <v>0.10318891150528264</v>
      </c>
      <c r="F64" s="56">
        <v>5.2028715288199523E-2</v>
      </c>
      <c r="G64" s="56">
        <f>G34/B34-1</f>
        <v>0.19104016038108718</v>
      </c>
      <c r="H64" s="56">
        <f>H34/C34-1</f>
        <v>4.8624098202707744E-2</v>
      </c>
      <c r="I64" s="56">
        <f>I34/D34-1</f>
        <v>5.9309207968295752E-2</v>
      </c>
      <c r="J64" s="56">
        <f>J34/E34-1</f>
        <v>6.1693598362301927E-2</v>
      </c>
      <c r="K64" s="56">
        <f>K34/F34-1</f>
        <v>9.0174061311445675E-2</v>
      </c>
      <c r="L64" s="56">
        <f t="shared" ref="L64:AJ64" si="38">L34/G34-1</f>
        <v>0.15960539551121311</v>
      </c>
      <c r="M64" s="56">
        <f t="shared" si="38"/>
        <v>0.22505061988987651</v>
      </c>
      <c r="N64" s="56">
        <f t="shared" si="38"/>
        <v>0.26195661973702311</v>
      </c>
      <c r="O64" s="56">
        <f t="shared" si="38"/>
        <v>0.11667766396111889</v>
      </c>
      <c r="P64" s="56">
        <f t="shared" si="38"/>
        <v>0.19586692733288613</v>
      </c>
      <c r="Q64" s="56">
        <f t="shared" si="38"/>
        <v>0.23316659397780182</v>
      </c>
      <c r="R64" s="56">
        <f t="shared" si="38"/>
        <v>5.9427439155070427E-2</v>
      </c>
      <c r="S64" s="56">
        <f t="shared" si="38"/>
        <v>0.16373417598683426</v>
      </c>
      <c r="T64" s="56">
        <f t="shared" si="38"/>
        <v>0.13333077740702159</v>
      </c>
      <c r="U64" s="56">
        <f t="shared" si="38"/>
        <v>0.14433439551304805</v>
      </c>
      <c r="V64" s="56">
        <f t="shared" si="38"/>
        <v>0.23341315456343281</v>
      </c>
      <c r="W64" s="56">
        <f t="shared" si="38"/>
        <v>-4.8573004149452648E-2</v>
      </c>
      <c r="X64" s="56">
        <f t="shared" si="38"/>
        <v>4.6875924122053991E-3</v>
      </c>
      <c r="Y64" s="56">
        <f t="shared" si="38"/>
        <v>0.36844004827931331</v>
      </c>
      <c r="Z64" s="56">
        <f t="shared" si="38"/>
        <v>0.13097656765552412</v>
      </c>
      <c r="AA64" s="56">
        <f t="shared" si="38"/>
        <v>0.15640257130886437</v>
      </c>
      <c r="AB64" s="56">
        <f t="shared" si="38"/>
        <v>0.42861445783132557</v>
      </c>
      <c r="AC64" s="56">
        <f t="shared" si="38"/>
        <v>5.6972131537766257E-2</v>
      </c>
      <c r="AD64" s="56">
        <f t="shared" si="38"/>
        <v>-9.7891515124666983E-2</v>
      </c>
      <c r="AE64" s="56">
        <f t="shared" si="38"/>
        <v>0.11549692585364424</v>
      </c>
      <c r="AF64" s="56">
        <f t="shared" si="38"/>
        <v>-0.24810199857018411</v>
      </c>
      <c r="AG64" s="56">
        <f t="shared" si="38"/>
        <v>-0.105727728052463</v>
      </c>
      <c r="AH64" s="56">
        <f t="shared" si="38"/>
        <v>3.0613687354804853E-2</v>
      </c>
      <c r="AI64" s="56">
        <f t="shared" si="38"/>
        <v>3.1575194697545772E-2</v>
      </c>
      <c r="AJ64" s="235">
        <f t="shared" si="38"/>
        <v>-8.3302564700618142E-2</v>
      </c>
      <c r="AK64" s="235">
        <f>AK34/AJ34-1</f>
        <v>0.21869588409904717</v>
      </c>
      <c r="AL64" s="235">
        <f>AL34/AK34-1</f>
        <v>0.11972076021161415</v>
      </c>
      <c r="AM64" s="235">
        <f>AM34/AL34-1</f>
        <v>6.3934730249118665E-2</v>
      </c>
      <c r="AN64" s="235">
        <f>AN34/AM34-1</f>
        <v>7.5152678321214417E-2</v>
      </c>
      <c r="AO64" s="237"/>
      <c r="AP64" s="237"/>
      <c r="AQ64" s="43"/>
    </row>
  </sheetData>
  <mergeCells count="8">
    <mergeCell ref="AF4:AI4"/>
    <mergeCell ref="AQ4:AR4"/>
    <mergeCell ref="B4:E4"/>
    <mergeCell ref="G4:J4"/>
    <mergeCell ref="L4:O4"/>
    <mergeCell ref="Q4:T4"/>
    <mergeCell ref="V4:Y4"/>
    <mergeCell ref="AA4:A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96171-6AA4-C64B-87C6-26385AC78FDE}">
  <dimension ref="A1:DP798"/>
  <sheetViews>
    <sheetView zoomScale="82" workbookViewId="0">
      <selection activeCell="DS7" sqref="DS7:DT15"/>
    </sheetView>
  </sheetViews>
  <sheetFormatPr baseColWidth="10" defaultRowHeight="16" outlineLevelCol="1" x14ac:dyDescent="0.2"/>
  <cols>
    <col min="1" max="1" width="58.33203125" style="21" bestFit="1" customWidth="1"/>
    <col min="2" max="4" width="7.6640625" style="21" hidden="1" customWidth="1" outlineLevel="1"/>
    <col min="5" max="5" width="1.1640625" style="21" hidden="1" customWidth="1" outlineLevel="1"/>
    <col min="6" max="6" width="6.83203125" style="21" hidden="1" customWidth="1" collapsed="1"/>
    <col min="7" max="10" width="6.83203125" style="21" hidden="1" customWidth="1" outlineLevel="1"/>
    <col min="11" max="11" width="6.83203125" style="21" hidden="1" customWidth="1" collapsed="1"/>
    <col min="12" max="15" width="6.83203125" style="21" hidden="1" customWidth="1" outlineLevel="1"/>
    <col min="16" max="16" width="6.83203125" style="21" hidden="1" customWidth="1" collapsed="1"/>
    <col min="17" max="20" width="6.83203125" style="21" hidden="1" customWidth="1" outlineLevel="1"/>
    <col min="21" max="21" width="6.6640625" style="21" hidden="1" customWidth="1" collapsed="1"/>
    <col min="22" max="25" width="6.6640625" style="21" hidden="1" customWidth="1" outlineLevel="1"/>
    <col min="26" max="26" width="7.33203125" style="21" hidden="1" customWidth="1" collapsed="1"/>
    <col min="27" max="30" width="6.6640625" style="21" hidden="1" customWidth="1" outlineLevel="1"/>
    <col min="31" max="31" width="7.33203125" style="21" hidden="1" customWidth="1" collapsed="1"/>
    <col min="32" max="32" width="6.83203125" style="21" hidden="1" customWidth="1" outlineLevel="1"/>
    <col min="33" max="33" width="7" style="21" hidden="1" customWidth="1" outlineLevel="1"/>
    <col min="34" max="35" width="7.33203125" style="21" hidden="1" customWidth="1" outlineLevel="1"/>
    <col min="36" max="36" width="7.83203125" style="21" hidden="1" customWidth="1" collapsed="1"/>
    <col min="37" max="40" width="7.83203125" style="21" hidden="1" customWidth="1" outlineLevel="1"/>
    <col min="41" max="41" width="7" style="21" hidden="1" customWidth="1" collapsed="1"/>
    <col min="42" max="45" width="7" style="21" hidden="1" customWidth="1" outlineLevel="1"/>
    <col min="46" max="46" width="6.83203125" style="21" hidden="1" customWidth="1" collapsed="1"/>
    <col min="47" max="50" width="6.83203125" style="21" hidden="1" customWidth="1" outlineLevel="1"/>
    <col min="51" max="51" width="7.33203125" style="21" hidden="1" customWidth="1" collapsed="1"/>
    <col min="52" max="55" width="7.33203125" style="21" hidden="1" customWidth="1" outlineLevel="1"/>
    <col min="56" max="56" width="7" style="21" hidden="1" customWidth="1" collapsed="1"/>
    <col min="57" max="57" width="7" style="21" hidden="1" customWidth="1" outlineLevel="1"/>
    <col min="58" max="58" width="6.83203125" style="21" hidden="1" customWidth="1" outlineLevel="1"/>
    <col min="59" max="60" width="7" style="21" hidden="1" customWidth="1" outlineLevel="1"/>
    <col min="61" max="61" width="7" style="21" hidden="1" customWidth="1" collapsed="1"/>
    <col min="62" max="65" width="7" style="21" hidden="1" customWidth="1" outlineLevel="1"/>
    <col min="66" max="66" width="7" style="21" hidden="1" customWidth="1" collapsed="1"/>
    <col min="67" max="70" width="7" style="21" hidden="1" customWidth="1" outlineLevel="1"/>
    <col min="71" max="71" width="7" style="21" hidden="1" customWidth="1" collapsed="1"/>
    <col min="72" max="72" width="7" style="21" hidden="1" customWidth="1" outlineLevel="1"/>
    <col min="73" max="73" width="7.33203125" style="21" hidden="1" customWidth="1" outlineLevel="1"/>
    <col min="74" max="75" width="7" style="21" hidden="1" customWidth="1" outlineLevel="1"/>
    <col min="76" max="76" width="7.6640625" style="21" hidden="1" customWidth="1" collapsed="1"/>
    <col min="77" max="80" width="7.6640625" style="21" hidden="1" customWidth="1" outlineLevel="1"/>
    <col min="81" max="81" width="7.6640625" style="21" hidden="1" customWidth="1" collapsed="1"/>
    <col min="82" max="82" width="8.1640625" style="21" hidden="1" customWidth="1" outlineLevel="1"/>
    <col min="83" max="84" width="7.6640625" style="21" hidden="1" customWidth="1" outlineLevel="1"/>
    <col min="85" max="85" width="7.33203125" style="21" hidden="1" customWidth="1" outlineLevel="1"/>
    <col min="86" max="86" width="7.6640625" style="21" hidden="1" customWidth="1" collapsed="1"/>
    <col min="87" max="87" width="10.33203125" style="21" hidden="1" customWidth="1" outlineLevel="1"/>
    <col min="88" max="90" width="7.6640625" style="21" hidden="1" customWidth="1" outlineLevel="1"/>
    <col min="91" max="91" width="8.83203125" style="21" bestFit="1" customWidth="1" collapsed="1"/>
    <col min="92" max="92" width="7.6640625" style="21" hidden="1" customWidth="1" outlineLevel="1"/>
    <col min="93" max="95" width="8.83203125" style="21" hidden="1" customWidth="1" outlineLevel="1"/>
    <col min="96" max="96" width="10.1640625" style="21" bestFit="1" customWidth="1" collapsed="1"/>
    <col min="97" max="97" width="8.83203125" style="21" hidden="1" customWidth="1" outlineLevel="1"/>
    <col min="98" max="98" width="7.6640625" style="21" hidden="1" customWidth="1" outlineLevel="1"/>
    <col min="99" max="99" width="8.83203125" style="21" hidden="1" customWidth="1" outlineLevel="1"/>
    <col min="100" max="100" width="10" style="21" hidden="1" customWidth="1" outlineLevel="1"/>
    <col min="101" max="101" width="8.83203125" style="21" bestFit="1" customWidth="1" collapsed="1"/>
    <col min="102" max="102" width="8.83203125" style="21" hidden="1" customWidth="1" outlineLevel="1"/>
    <col min="103" max="103" width="7.6640625" style="21" hidden="1" customWidth="1" outlineLevel="1"/>
    <col min="104" max="105" width="8.83203125" style="21" hidden="1" customWidth="1" outlineLevel="1"/>
    <col min="106" max="106" width="9.1640625" style="21" customWidth="1" collapsed="1"/>
    <col min="107" max="110" width="8.83203125" style="21" hidden="1" customWidth="1" outlineLevel="1"/>
    <col min="111" max="111" width="12.6640625" style="21" bestFit="1" customWidth="1" collapsed="1"/>
    <col min="112" max="115" width="8.83203125" style="21" hidden="1" customWidth="1" outlineLevel="1"/>
    <col min="116" max="116" width="13.6640625" style="21" bestFit="1" customWidth="1" collapsed="1"/>
    <col min="117" max="120" width="13.6640625" style="21" bestFit="1" customWidth="1"/>
    <col min="121" max="16384" width="10.83203125" style="18"/>
  </cols>
  <sheetData>
    <row r="1" spans="1:120" ht="17" thickBot="1" x14ac:dyDescent="0.25">
      <c r="A1" s="57"/>
      <c r="B1" s="57"/>
      <c r="C1" s="57"/>
      <c r="D1" s="57"/>
      <c r="E1" s="57"/>
      <c r="F1" s="57"/>
      <c r="G1" s="57"/>
      <c r="H1" s="57"/>
      <c r="I1" s="57"/>
      <c r="J1" s="57"/>
      <c r="K1" s="57"/>
      <c r="L1" s="57"/>
      <c r="M1" s="57"/>
      <c r="N1" s="57"/>
      <c r="O1" s="58"/>
      <c r="P1" s="57"/>
      <c r="Q1" s="57"/>
      <c r="R1" s="57"/>
      <c r="S1" s="57"/>
      <c r="T1" s="57"/>
      <c r="U1" s="57"/>
      <c r="V1" s="57"/>
      <c r="W1" s="59"/>
      <c r="X1" s="57"/>
      <c r="Y1" s="57"/>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57"/>
      <c r="AZ1" s="57"/>
      <c r="BA1" s="57"/>
      <c r="BB1" s="57"/>
      <c r="BC1" s="57"/>
      <c r="BD1" s="57"/>
      <c r="BE1" s="57"/>
      <c r="BF1" s="57"/>
      <c r="BG1" s="57"/>
      <c r="BH1" s="57"/>
      <c r="BI1" s="57"/>
      <c r="BJ1" s="57"/>
      <c r="BK1" s="57"/>
      <c r="BL1" s="57"/>
      <c r="BM1" s="57"/>
      <c r="BN1" s="57"/>
      <c r="BO1" s="57"/>
      <c r="BP1" s="57"/>
      <c r="BQ1" s="57"/>
      <c r="BR1" s="57"/>
      <c r="BS1" s="61"/>
      <c r="BT1" s="61"/>
      <c r="BU1" s="61"/>
      <c r="BV1" s="61"/>
      <c r="BW1" s="61"/>
      <c r="BX1" s="61"/>
      <c r="BY1" s="61"/>
      <c r="BZ1" s="61"/>
      <c r="CA1" s="61"/>
      <c r="CB1" s="61"/>
      <c r="CC1" s="61"/>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c r="DI1" s="61"/>
      <c r="DJ1" s="61"/>
      <c r="DK1" s="61"/>
      <c r="DL1" s="61"/>
      <c r="DM1" s="61"/>
      <c r="DN1" s="57"/>
      <c r="DO1" s="57"/>
      <c r="DP1" s="57"/>
    </row>
    <row r="2" spans="1:120" s="17" customFormat="1" ht="19" x14ac:dyDescent="0.25">
      <c r="A2" s="16" t="s">
        <v>389</v>
      </c>
    </row>
    <row r="3" spans="1:120" x14ac:dyDescent="0.2">
      <c r="A3" s="21" t="s">
        <v>34</v>
      </c>
      <c r="U3" s="36"/>
      <c r="V3" s="36"/>
      <c r="W3" s="36"/>
      <c r="X3" s="36"/>
      <c r="Y3" s="36"/>
      <c r="Z3" s="36"/>
      <c r="AA3" s="36"/>
      <c r="AB3" s="36"/>
      <c r="AC3" s="36"/>
      <c r="AD3" s="36"/>
      <c r="BK3" s="62"/>
      <c r="BP3" s="62"/>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4"/>
      <c r="DC3" s="64"/>
      <c r="DD3" s="64"/>
      <c r="DE3" s="64"/>
      <c r="DF3" s="64"/>
      <c r="DG3" s="64"/>
      <c r="DH3" s="64"/>
      <c r="DI3" s="64"/>
      <c r="DJ3" s="64"/>
      <c r="DK3" s="64"/>
      <c r="DL3" s="64"/>
      <c r="DM3" s="64"/>
      <c r="DN3" s="64"/>
      <c r="DO3" s="64"/>
      <c r="DP3" s="64"/>
    </row>
    <row r="4" spans="1:120" x14ac:dyDescent="0.2">
      <c r="A4" s="18"/>
      <c r="B4" s="508">
        <v>2001</v>
      </c>
      <c r="C4" s="508"/>
      <c r="D4" s="508"/>
      <c r="E4" s="508"/>
      <c r="G4" s="508">
        <v>2002</v>
      </c>
      <c r="H4" s="508"/>
      <c r="I4" s="508"/>
      <c r="J4" s="508"/>
      <c r="L4" s="508">
        <v>2003</v>
      </c>
      <c r="M4" s="508"/>
      <c r="N4" s="508"/>
      <c r="O4" s="508"/>
      <c r="Q4" s="508">
        <v>2004</v>
      </c>
      <c r="R4" s="508"/>
      <c r="S4" s="508"/>
      <c r="T4" s="508"/>
      <c r="V4" s="508">
        <v>2005</v>
      </c>
      <c r="W4" s="508"/>
      <c r="X4" s="508"/>
      <c r="Y4" s="508"/>
      <c r="AA4" s="508">
        <v>2006</v>
      </c>
      <c r="AB4" s="508"/>
      <c r="AC4" s="508"/>
      <c r="AD4" s="508"/>
      <c r="AF4" s="508">
        <v>2007</v>
      </c>
      <c r="AG4" s="508"/>
      <c r="AH4" s="508"/>
      <c r="AI4" s="508"/>
      <c r="AK4" s="508">
        <v>2008</v>
      </c>
      <c r="AL4" s="508"/>
      <c r="AM4" s="508"/>
      <c r="AN4" s="508"/>
      <c r="AP4" s="508">
        <v>2009</v>
      </c>
      <c r="AQ4" s="508"/>
      <c r="AR4" s="508"/>
      <c r="AS4" s="508"/>
      <c r="AU4" s="508">
        <v>2010</v>
      </c>
      <c r="AV4" s="508"/>
      <c r="AW4" s="508"/>
      <c r="AX4" s="508"/>
      <c r="AZ4" s="508">
        <v>2011</v>
      </c>
      <c r="BA4" s="508"/>
      <c r="BB4" s="508"/>
      <c r="BC4" s="508"/>
      <c r="BE4" s="508">
        <v>2012</v>
      </c>
      <c r="BF4" s="508"/>
      <c r="BG4" s="508"/>
      <c r="BH4" s="508"/>
      <c r="BJ4" s="508">
        <v>2013</v>
      </c>
      <c r="BK4" s="508"/>
      <c r="BL4" s="508"/>
      <c r="BM4" s="508"/>
      <c r="BO4" s="508">
        <v>2014</v>
      </c>
      <c r="BP4" s="508"/>
      <c r="BQ4" s="508"/>
      <c r="BR4" s="508"/>
      <c r="BT4" s="508">
        <v>2015</v>
      </c>
      <c r="BU4" s="508"/>
      <c r="BV4" s="508"/>
      <c r="BW4" s="508"/>
      <c r="BY4" s="508">
        <v>2016</v>
      </c>
      <c r="BZ4" s="508"/>
      <c r="CA4" s="508"/>
      <c r="CB4" s="508"/>
      <c r="CD4" s="508">
        <v>2017</v>
      </c>
      <c r="CE4" s="508"/>
      <c r="CF4" s="508"/>
      <c r="CG4" s="508"/>
      <c r="CI4" s="508">
        <v>2018</v>
      </c>
      <c r="CJ4" s="508"/>
      <c r="CK4" s="508"/>
      <c r="CL4" s="508"/>
      <c r="CN4" s="508">
        <v>2019</v>
      </c>
      <c r="CO4" s="508"/>
      <c r="CP4" s="508"/>
      <c r="CQ4" s="508"/>
      <c r="CS4" s="508">
        <v>2020</v>
      </c>
      <c r="CT4" s="508"/>
      <c r="CU4" s="508"/>
      <c r="CV4" s="508"/>
      <c r="CX4" s="508" t="s">
        <v>35</v>
      </c>
      <c r="CY4" s="508"/>
      <c r="CZ4" s="508"/>
      <c r="DA4" s="508"/>
      <c r="DB4" s="64"/>
      <c r="DC4" s="508" t="s">
        <v>36</v>
      </c>
      <c r="DD4" s="508"/>
      <c r="DE4" s="508"/>
      <c r="DF4" s="508"/>
      <c r="DG4" s="64"/>
      <c r="DH4" s="508">
        <v>2023</v>
      </c>
      <c r="DI4" s="508"/>
      <c r="DJ4" s="508"/>
      <c r="DK4" s="508"/>
      <c r="DL4" s="18"/>
      <c r="DM4" s="18"/>
      <c r="DN4" s="18"/>
      <c r="DO4" s="18"/>
      <c r="DP4" s="18"/>
    </row>
    <row r="5" spans="1:120" x14ac:dyDescent="0.2">
      <c r="A5" s="65"/>
      <c r="B5" s="27" t="s">
        <v>37</v>
      </c>
      <c r="C5" s="27" t="s">
        <v>38</v>
      </c>
      <c r="D5" s="27" t="s">
        <v>39</v>
      </c>
      <c r="E5" s="27" t="s">
        <v>40</v>
      </c>
      <c r="F5" s="26">
        <v>2001</v>
      </c>
      <c r="G5" s="25" t="s">
        <v>37</v>
      </c>
      <c r="H5" s="25" t="s">
        <v>38</v>
      </c>
      <c r="I5" s="25" t="s">
        <v>39</v>
      </c>
      <c r="J5" s="25" t="s">
        <v>40</v>
      </c>
      <c r="K5" s="26">
        <v>2002</v>
      </c>
      <c r="L5" s="25" t="s">
        <v>37</v>
      </c>
      <c r="M5" s="25" t="s">
        <v>38</v>
      </c>
      <c r="N5" s="25" t="s">
        <v>39</v>
      </c>
      <c r="O5" s="25" t="s">
        <v>40</v>
      </c>
      <c r="P5" s="26">
        <v>2003</v>
      </c>
      <c r="Q5" s="25" t="s">
        <v>37</v>
      </c>
      <c r="R5" s="25" t="s">
        <v>38</v>
      </c>
      <c r="S5" s="25" t="s">
        <v>39</v>
      </c>
      <c r="T5" s="25" t="s">
        <v>40</v>
      </c>
      <c r="U5" s="26">
        <v>2004</v>
      </c>
      <c r="V5" s="25" t="s">
        <v>37</v>
      </c>
      <c r="W5" s="25" t="s">
        <v>38</v>
      </c>
      <c r="X5" s="25" t="s">
        <v>39</v>
      </c>
      <c r="Y5" s="25" t="s">
        <v>40</v>
      </c>
      <c r="Z5" s="26">
        <v>2005</v>
      </c>
      <c r="AA5" s="25" t="s">
        <v>37</v>
      </c>
      <c r="AB5" s="25" t="s">
        <v>38</v>
      </c>
      <c r="AC5" s="25" t="s">
        <v>39</v>
      </c>
      <c r="AD5" s="25" t="s">
        <v>40</v>
      </c>
      <c r="AE5" s="26">
        <v>2006</v>
      </c>
      <c r="AF5" s="25" t="s">
        <v>37</v>
      </c>
      <c r="AG5" s="25" t="s">
        <v>38</v>
      </c>
      <c r="AH5" s="25" t="s">
        <v>39</v>
      </c>
      <c r="AI5" s="25" t="s">
        <v>40</v>
      </c>
      <c r="AJ5" s="26">
        <v>2007</v>
      </c>
      <c r="AK5" s="25" t="s">
        <v>37</v>
      </c>
      <c r="AL5" s="25" t="s">
        <v>38</v>
      </c>
      <c r="AM5" s="25" t="s">
        <v>39</v>
      </c>
      <c r="AN5" s="25" t="s">
        <v>40</v>
      </c>
      <c r="AO5" s="26">
        <v>2008</v>
      </c>
      <c r="AP5" s="25" t="s">
        <v>37</v>
      </c>
      <c r="AQ5" s="25" t="s">
        <v>38</v>
      </c>
      <c r="AR5" s="25" t="s">
        <v>39</v>
      </c>
      <c r="AS5" s="25" t="s">
        <v>40</v>
      </c>
      <c r="AT5" s="26">
        <v>2009</v>
      </c>
      <c r="AU5" s="25" t="s">
        <v>37</v>
      </c>
      <c r="AV5" s="25" t="s">
        <v>38</v>
      </c>
      <c r="AW5" s="25" t="s">
        <v>39</v>
      </c>
      <c r="AX5" s="25" t="s">
        <v>40</v>
      </c>
      <c r="AY5" s="26">
        <v>2010</v>
      </c>
      <c r="AZ5" s="25" t="s">
        <v>37</v>
      </c>
      <c r="BA5" s="25" t="s">
        <v>38</v>
      </c>
      <c r="BB5" s="25" t="s">
        <v>39</v>
      </c>
      <c r="BC5" s="25" t="s">
        <v>40</v>
      </c>
      <c r="BD5" s="26">
        <v>2011</v>
      </c>
      <c r="BE5" s="25" t="s">
        <v>41</v>
      </c>
      <c r="BF5" s="25" t="s">
        <v>42</v>
      </c>
      <c r="BG5" s="25" t="s">
        <v>43</v>
      </c>
      <c r="BH5" s="25" t="s">
        <v>44</v>
      </c>
      <c r="BI5" s="26">
        <v>2012</v>
      </c>
      <c r="BJ5" s="25" t="s">
        <v>41</v>
      </c>
      <c r="BK5" s="25" t="s">
        <v>42</v>
      </c>
      <c r="BL5" s="25" t="s">
        <v>43</v>
      </c>
      <c r="BM5" s="25" t="s">
        <v>44</v>
      </c>
      <c r="BN5" s="26">
        <v>2013</v>
      </c>
      <c r="BO5" s="25" t="s">
        <v>41</v>
      </c>
      <c r="BP5" s="25" t="s">
        <v>42</v>
      </c>
      <c r="BQ5" s="25" t="s">
        <v>43</v>
      </c>
      <c r="BR5" s="25" t="s">
        <v>44</v>
      </c>
      <c r="BS5" s="26">
        <v>2014</v>
      </c>
      <c r="BT5" s="25" t="s">
        <v>41</v>
      </c>
      <c r="BU5" s="25" t="s">
        <v>42</v>
      </c>
      <c r="BV5" s="25" t="s">
        <v>43</v>
      </c>
      <c r="BW5" s="25" t="s">
        <v>44</v>
      </c>
      <c r="BX5" s="26">
        <v>2015</v>
      </c>
      <c r="BY5" s="25" t="s">
        <v>41</v>
      </c>
      <c r="BZ5" s="25" t="s">
        <v>42</v>
      </c>
      <c r="CA5" s="25" t="s">
        <v>43</v>
      </c>
      <c r="CB5" s="25" t="s">
        <v>44</v>
      </c>
      <c r="CC5" s="26">
        <v>2016</v>
      </c>
      <c r="CD5" s="25" t="s">
        <v>41</v>
      </c>
      <c r="CE5" s="25" t="s">
        <v>42</v>
      </c>
      <c r="CF5" s="25" t="s">
        <v>43</v>
      </c>
      <c r="CG5" s="25" t="s">
        <v>44</v>
      </c>
      <c r="CH5" s="26">
        <v>2017</v>
      </c>
      <c r="CI5" s="25" t="s">
        <v>41</v>
      </c>
      <c r="CJ5" s="25" t="s">
        <v>42</v>
      </c>
      <c r="CK5" s="25" t="s">
        <v>43</v>
      </c>
      <c r="CL5" s="25" t="s">
        <v>44</v>
      </c>
      <c r="CM5" s="26">
        <v>2018</v>
      </c>
      <c r="CN5" s="25" t="s">
        <v>41</v>
      </c>
      <c r="CO5" s="25" t="s">
        <v>42</v>
      </c>
      <c r="CP5" s="25" t="s">
        <v>43</v>
      </c>
      <c r="CQ5" s="25" t="s">
        <v>44</v>
      </c>
      <c r="CR5" s="26">
        <v>2019</v>
      </c>
      <c r="CS5" s="25" t="s">
        <v>41</v>
      </c>
      <c r="CT5" s="25" t="s">
        <v>42</v>
      </c>
      <c r="CU5" s="25" t="s">
        <v>43</v>
      </c>
      <c r="CV5" s="25" t="s">
        <v>44</v>
      </c>
      <c r="CW5" s="26">
        <v>2020</v>
      </c>
      <c r="CX5" s="25" t="s">
        <v>41</v>
      </c>
      <c r="CY5" s="25" t="s">
        <v>42</v>
      </c>
      <c r="CZ5" s="25" t="s">
        <v>43</v>
      </c>
      <c r="DA5" s="25" t="s">
        <v>44</v>
      </c>
      <c r="DB5" s="26" t="s">
        <v>35</v>
      </c>
      <c r="DC5" s="25" t="s">
        <v>41</v>
      </c>
      <c r="DD5" s="25" t="s">
        <v>42</v>
      </c>
      <c r="DE5" s="25" t="s">
        <v>43</v>
      </c>
      <c r="DF5" s="25" t="s">
        <v>44</v>
      </c>
      <c r="DG5" s="26">
        <v>2022</v>
      </c>
      <c r="DH5" s="25" t="s">
        <v>37</v>
      </c>
      <c r="DI5" s="25" t="s">
        <v>38</v>
      </c>
      <c r="DJ5" s="25" t="s">
        <v>39</v>
      </c>
      <c r="DK5" s="25" t="s">
        <v>40</v>
      </c>
      <c r="DL5" s="218" t="s">
        <v>45</v>
      </c>
      <c r="DM5" s="218" t="s">
        <v>46</v>
      </c>
      <c r="DN5" s="218" t="s">
        <v>47</v>
      </c>
      <c r="DO5" s="218" t="s">
        <v>48</v>
      </c>
      <c r="DP5" s="218" t="s">
        <v>49</v>
      </c>
    </row>
    <row r="6" spans="1:120" x14ac:dyDescent="0.2">
      <c r="A6" s="66" t="s">
        <v>50</v>
      </c>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row>
    <row r="7" spans="1:120" x14ac:dyDescent="0.2">
      <c r="A7" s="68" t="s">
        <v>51</v>
      </c>
      <c r="B7" s="31"/>
      <c r="C7" s="31"/>
      <c r="D7" s="31"/>
      <c r="E7" s="31"/>
      <c r="F7" s="31"/>
      <c r="G7" s="69"/>
      <c r="H7" s="69"/>
      <c r="I7" s="69"/>
      <c r="J7" s="69"/>
      <c r="K7" s="69"/>
      <c r="L7" s="69"/>
      <c r="M7" s="69"/>
      <c r="N7" s="69"/>
      <c r="O7" s="69"/>
      <c r="P7" s="69"/>
      <c r="Q7" s="69"/>
      <c r="R7" s="69"/>
      <c r="S7" s="69"/>
      <c r="T7" s="69"/>
      <c r="U7" s="69"/>
      <c r="V7" s="70"/>
      <c r="W7" s="69"/>
      <c r="X7" s="69"/>
      <c r="Y7" s="69"/>
      <c r="Z7" s="69"/>
      <c r="AA7" s="69"/>
      <c r="AB7" s="69"/>
      <c r="AC7" s="69"/>
      <c r="AD7" s="69"/>
      <c r="AE7" s="71"/>
      <c r="AF7" s="69"/>
      <c r="AG7" s="69"/>
      <c r="AH7" s="69"/>
      <c r="AI7" s="69"/>
      <c r="AJ7" s="71"/>
      <c r="AK7" s="69"/>
      <c r="AL7" s="69"/>
      <c r="AM7" s="69"/>
      <c r="AN7" s="69"/>
      <c r="AO7" s="71"/>
      <c r="AP7" s="69"/>
      <c r="AQ7" s="69"/>
      <c r="AR7" s="69"/>
      <c r="AS7" s="69"/>
      <c r="AT7" s="71"/>
      <c r="AU7" s="71"/>
      <c r="AV7" s="71"/>
      <c r="AW7" s="71"/>
      <c r="AX7" s="71"/>
      <c r="AY7" s="71"/>
      <c r="AZ7" s="71"/>
      <c r="BA7" s="71"/>
      <c r="BB7" s="71"/>
      <c r="BC7" s="71"/>
      <c r="BD7" s="71"/>
      <c r="BE7" s="71"/>
      <c r="BF7" s="71"/>
      <c r="BG7" s="71"/>
      <c r="BH7" s="71"/>
      <c r="BI7" s="72"/>
      <c r="BJ7" s="72"/>
      <c r="BK7" s="72"/>
      <c r="BL7" s="72"/>
      <c r="BM7" s="72">
        <v>0</v>
      </c>
      <c r="BN7" s="72"/>
      <c r="BO7" s="72"/>
      <c r="BP7" s="72"/>
      <c r="BQ7" s="72"/>
      <c r="BR7" s="72">
        <v>44</v>
      </c>
      <c r="BS7" s="72">
        <v>48</v>
      </c>
      <c r="BT7" s="72">
        <v>66</v>
      </c>
      <c r="BU7" s="72">
        <v>86</v>
      </c>
      <c r="BV7" s="72">
        <v>109</v>
      </c>
      <c r="BW7" s="72">
        <v>132</v>
      </c>
      <c r="BX7" s="36">
        <f>SUM(BT7:BW7)</f>
        <v>393</v>
      </c>
      <c r="BY7" s="36">
        <v>133</v>
      </c>
      <c r="BZ7" s="36">
        <v>160</v>
      </c>
      <c r="CA7" s="36">
        <v>188</v>
      </c>
      <c r="CB7" s="36">
        <v>311</v>
      </c>
      <c r="CC7" s="72">
        <f>SUM(BY7:CB7)</f>
        <v>792</v>
      </c>
      <c r="CD7" s="36">
        <v>361</v>
      </c>
      <c r="CE7" s="36">
        <v>556</v>
      </c>
      <c r="CF7" s="36">
        <v>604</v>
      </c>
      <c r="CG7" s="36">
        <v>787</v>
      </c>
      <c r="CH7" s="72">
        <f>SUM(CD7:CG7)</f>
        <v>2308</v>
      </c>
      <c r="CI7" s="72">
        <v>838</v>
      </c>
      <c r="CJ7" s="72">
        <v>959.3</v>
      </c>
      <c r="CK7" s="72">
        <v>1109</v>
      </c>
      <c r="CL7" s="72">
        <v>1243</v>
      </c>
      <c r="CM7" s="72">
        <f>SUM(CI7:CL7)</f>
        <v>4149.3</v>
      </c>
      <c r="CN7" s="72">
        <v>1284</v>
      </c>
      <c r="CO7" s="72">
        <v>1498</v>
      </c>
      <c r="CP7" s="72">
        <v>1743</v>
      </c>
      <c r="CQ7" s="72">
        <v>1780</v>
      </c>
      <c r="CR7" s="72">
        <f>SUM(CN7:CQ7)</f>
        <v>6305</v>
      </c>
      <c r="CS7" s="36">
        <v>1906</v>
      </c>
      <c r="CT7" s="36">
        <v>2043</v>
      </c>
      <c r="CU7" s="36">
        <v>2157</v>
      </c>
      <c r="CV7" s="36">
        <v>2246</v>
      </c>
      <c r="CW7" s="72">
        <f>SUM(CS7:CV7)</f>
        <v>8352</v>
      </c>
      <c r="CX7" s="36">
        <v>2181</v>
      </c>
      <c r="CY7" s="36">
        <v>2347</v>
      </c>
      <c r="CZ7" s="36">
        <v>2580</v>
      </c>
      <c r="DA7" s="36">
        <v>2657</v>
      </c>
      <c r="DB7" s="72">
        <f>SUM(CX7:DA7)</f>
        <v>9765</v>
      </c>
      <c r="DC7" s="72">
        <v>2779</v>
      </c>
      <c r="DD7" s="72">
        <v>3197</v>
      </c>
      <c r="DE7" s="72">
        <v>3331</v>
      </c>
      <c r="DF7" s="72">
        <v>3378</v>
      </c>
      <c r="DG7" s="72">
        <f>SUM(DC7:DF7)</f>
        <v>12685</v>
      </c>
      <c r="DH7" s="72">
        <f>DC7*(1+DH10)</f>
        <v>3390.38</v>
      </c>
      <c r="DI7" s="72">
        <f t="shared" ref="DH7:DK8" si="0">DD7*(1+DI10)</f>
        <v>3708.5199999999995</v>
      </c>
      <c r="DJ7" s="72">
        <f t="shared" si="0"/>
        <v>3830.6499999999996</v>
      </c>
      <c r="DK7" s="72">
        <f t="shared" si="0"/>
        <v>3884.7</v>
      </c>
      <c r="DL7" s="183">
        <f>SUM(DH7:DK7)</f>
        <v>14814.25</v>
      </c>
      <c r="DM7" s="183">
        <f t="shared" ref="DM7:DP8" si="1">DL7*(1+DM10)</f>
        <v>15999.390000000001</v>
      </c>
      <c r="DN7" s="183">
        <f>DM7*(1+DN10)</f>
        <v>16799.359500000002</v>
      </c>
      <c r="DO7" s="183">
        <f t="shared" si="1"/>
        <v>17471.333880000002</v>
      </c>
      <c r="DP7" s="183">
        <f t="shared" si="1"/>
        <v>17832.714999608303</v>
      </c>
    </row>
    <row r="8" spans="1:120" x14ac:dyDescent="0.2">
      <c r="A8" s="68" t="s">
        <v>52</v>
      </c>
      <c r="B8" s="31"/>
      <c r="C8" s="31"/>
      <c r="D8" s="31"/>
      <c r="E8" s="31"/>
      <c r="F8" s="31"/>
      <c r="G8" s="69"/>
      <c r="H8" s="69"/>
      <c r="I8" s="69"/>
      <c r="J8" s="69"/>
      <c r="K8" s="69"/>
      <c r="L8" s="69"/>
      <c r="M8" s="69"/>
      <c r="N8" s="69"/>
      <c r="O8" s="69"/>
      <c r="P8" s="69"/>
      <c r="Q8" s="69"/>
      <c r="R8" s="69"/>
      <c r="S8" s="69"/>
      <c r="T8" s="69"/>
      <c r="U8" s="69"/>
      <c r="V8" s="69"/>
      <c r="W8" s="69"/>
      <c r="X8" s="69"/>
      <c r="Y8" s="69"/>
      <c r="Z8" s="70"/>
      <c r="AA8" s="70"/>
      <c r="AB8" s="70"/>
      <c r="AC8" s="70"/>
      <c r="AD8" s="70"/>
      <c r="AE8" s="71"/>
      <c r="AF8" s="70"/>
      <c r="AG8" s="70"/>
      <c r="AH8" s="70"/>
      <c r="AI8" s="70"/>
      <c r="AJ8" s="71"/>
      <c r="AK8" s="70"/>
      <c r="AL8" s="70"/>
      <c r="AM8" s="70"/>
      <c r="AN8" s="70"/>
      <c r="AO8" s="71"/>
      <c r="AP8" s="70"/>
      <c r="AQ8" s="70"/>
      <c r="AR8" s="70"/>
      <c r="AS8" s="70"/>
      <c r="AT8" s="71"/>
      <c r="AU8" s="71"/>
      <c r="AV8" s="71"/>
      <c r="AW8" s="71"/>
      <c r="AX8" s="71"/>
      <c r="AY8" s="71"/>
      <c r="AZ8" s="71"/>
      <c r="BA8" s="71"/>
      <c r="BB8" s="71"/>
      <c r="BC8" s="71"/>
      <c r="BD8" s="71"/>
      <c r="BE8" s="71"/>
      <c r="BF8" s="71"/>
      <c r="BG8" s="71"/>
      <c r="BH8" s="71"/>
      <c r="BI8" s="72"/>
      <c r="BJ8" s="72"/>
      <c r="BK8" s="72"/>
      <c r="BL8" s="72"/>
      <c r="BM8" s="72">
        <v>0</v>
      </c>
      <c r="BN8" s="72"/>
      <c r="BO8" s="72"/>
      <c r="BP8" s="72"/>
      <c r="BQ8" s="72"/>
      <c r="BR8" s="72">
        <v>6</v>
      </c>
      <c r="BS8" s="72">
        <v>7</v>
      </c>
      <c r="BT8" s="72">
        <v>16</v>
      </c>
      <c r="BU8" s="72">
        <v>24</v>
      </c>
      <c r="BV8" s="72">
        <v>50</v>
      </c>
      <c r="BW8" s="72">
        <v>82</v>
      </c>
      <c r="BX8" s="36">
        <f>SUM(BT8:BW8)</f>
        <v>172</v>
      </c>
      <c r="BY8" s="36">
        <v>116</v>
      </c>
      <c r="BZ8" s="36">
        <v>154</v>
      </c>
      <c r="CA8" s="36">
        <v>168</v>
      </c>
      <c r="CB8" s="36">
        <v>172</v>
      </c>
      <c r="CC8" s="72">
        <f>SUM(BY8:CB8)</f>
        <v>610</v>
      </c>
      <c r="CD8" s="36">
        <v>223</v>
      </c>
      <c r="CE8" s="36">
        <v>325</v>
      </c>
      <c r="CF8" s="36">
        <v>442</v>
      </c>
      <c r="CG8" s="36">
        <v>510</v>
      </c>
      <c r="CH8" s="72">
        <f>SUM(CD8:CG8)</f>
        <v>1500</v>
      </c>
      <c r="CI8" s="72">
        <v>626</v>
      </c>
      <c r="CJ8" s="72">
        <v>707.3</v>
      </c>
      <c r="CK8" s="72">
        <v>780</v>
      </c>
      <c r="CL8" s="72">
        <v>907</v>
      </c>
      <c r="CM8" s="72">
        <f>SUM(CI8:CL8)</f>
        <v>3020.3</v>
      </c>
      <c r="CN8" s="72">
        <v>985</v>
      </c>
      <c r="CO8" s="72">
        <v>1136</v>
      </c>
      <c r="CP8" s="72">
        <v>1327</v>
      </c>
      <c r="CQ8" s="72">
        <v>1331</v>
      </c>
      <c r="CR8" s="72">
        <f>SUM(CN8:CQ8)</f>
        <v>4779</v>
      </c>
      <c r="CS8" s="36">
        <v>1378</v>
      </c>
      <c r="CT8" s="36">
        <v>1345</v>
      </c>
      <c r="CU8" s="36">
        <v>1559</v>
      </c>
      <c r="CV8" s="36">
        <v>1747</v>
      </c>
      <c r="CW8" s="72">
        <f>SUM(CS8:CV8)</f>
        <v>6029</v>
      </c>
      <c r="CX8" s="36">
        <v>1718</v>
      </c>
      <c r="CY8" s="36">
        <v>1829</v>
      </c>
      <c r="CZ8" s="36">
        <v>1954</v>
      </c>
      <c r="DA8" s="36">
        <v>1920</v>
      </c>
      <c r="DB8" s="72">
        <f>SUM(CX8:DA8)</f>
        <v>7421</v>
      </c>
      <c r="DC8" s="72">
        <v>2030</v>
      </c>
      <c r="DD8" s="72">
        <v>2055</v>
      </c>
      <c r="DE8" s="72">
        <v>2095</v>
      </c>
      <c r="DF8" s="72">
        <v>2071</v>
      </c>
      <c r="DG8" s="72">
        <f>SUM(DC8:DF8)</f>
        <v>8251</v>
      </c>
      <c r="DH8" s="72">
        <f t="shared" si="0"/>
        <v>2212.7000000000003</v>
      </c>
      <c r="DI8" s="72">
        <f t="shared" si="0"/>
        <v>2239.9500000000003</v>
      </c>
      <c r="DJ8" s="72">
        <f t="shared" si="0"/>
        <v>2283.5500000000002</v>
      </c>
      <c r="DK8" s="72">
        <f t="shared" si="0"/>
        <v>2257.3900000000003</v>
      </c>
      <c r="DL8" s="183">
        <f>SUM(DH8:DK8)</f>
        <v>8993.59</v>
      </c>
      <c r="DM8" s="183">
        <f t="shared" si="1"/>
        <v>9623.1413000000011</v>
      </c>
      <c r="DN8" s="183">
        <f t="shared" si="1"/>
        <v>10104.298365000002</v>
      </c>
      <c r="DO8" s="183">
        <f t="shared" si="1"/>
        <v>10508.470299600003</v>
      </c>
      <c r="DP8" s="183">
        <f t="shared" si="1"/>
        <v>10928.809111584003</v>
      </c>
    </row>
    <row r="9" spans="1:120" x14ac:dyDescent="0.2">
      <c r="A9" s="66" t="s">
        <v>53</v>
      </c>
      <c r="B9" s="31"/>
      <c r="C9" s="31"/>
      <c r="D9" s="31"/>
      <c r="E9" s="31"/>
      <c r="F9" s="31"/>
      <c r="G9" s="69"/>
      <c r="H9" s="69"/>
      <c r="I9" s="69"/>
      <c r="J9" s="69"/>
      <c r="K9" s="69"/>
      <c r="L9" s="69"/>
      <c r="M9" s="69"/>
      <c r="N9" s="69"/>
      <c r="O9" s="69"/>
      <c r="P9" s="69"/>
      <c r="Q9" s="69"/>
      <c r="R9" s="69"/>
      <c r="S9" s="69"/>
      <c r="T9" s="69"/>
      <c r="U9" s="69"/>
      <c r="V9" s="69"/>
      <c r="W9" s="69"/>
      <c r="X9" s="69"/>
      <c r="Y9" s="69"/>
      <c r="Z9" s="69"/>
      <c r="AA9" s="69"/>
      <c r="AB9" s="69"/>
      <c r="AC9" s="69"/>
      <c r="AD9" s="69"/>
      <c r="AE9" s="73"/>
      <c r="AF9" s="69"/>
      <c r="AG9" s="69"/>
      <c r="AH9" s="69"/>
      <c r="AI9" s="69"/>
      <c r="AJ9" s="73"/>
      <c r="AK9" s="69"/>
      <c r="AL9" s="69"/>
      <c r="AM9" s="69"/>
      <c r="AN9" s="69"/>
      <c r="AO9" s="73"/>
      <c r="AP9" s="69"/>
      <c r="AQ9" s="69"/>
      <c r="AR9" s="69"/>
      <c r="AS9" s="69"/>
      <c r="AT9" s="73"/>
      <c r="AU9" s="73"/>
      <c r="AV9" s="73"/>
      <c r="AW9" s="73"/>
      <c r="AX9" s="73"/>
      <c r="AY9" s="73"/>
      <c r="AZ9" s="73"/>
      <c r="BA9" s="73"/>
      <c r="BB9" s="73"/>
      <c r="BC9" s="73"/>
      <c r="BD9" s="73"/>
      <c r="BE9" s="73"/>
      <c r="BF9" s="73"/>
      <c r="BG9" s="73"/>
      <c r="BH9" s="73"/>
      <c r="BI9" s="74"/>
      <c r="BJ9" s="74"/>
      <c r="BK9" s="74"/>
      <c r="BL9" s="74"/>
      <c r="BM9" s="74"/>
      <c r="BN9" s="74"/>
      <c r="BO9" s="74"/>
      <c r="BP9" s="74"/>
      <c r="BQ9" s="74"/>
      <c r="BR9" s="74">
        <f t="shared" ref="BR9:BW9" si="2">BR7+BR8</f>
        <v>50</v>
      </c>
      <c r="BS9" s="74">
        <f t="shared" si="2"/>
        <v>55</v>
      </c>
      <c r="BT9" s="74">
        <f t="shared" si="2"/>
        <v>82</v>
      </c>
      <c r="BU9" s="74">
        <f t="shared" si="2"/>
        <v>110</v>
      </c>
      <c r="BV9" s="74">
        <f t="shared" si="2"/>
        <v>159</v>
      </c>
      <c r="BW9" s="74">
        <f t="shared" si="2"/>
        <v>214</v>
      </c>
      <c r="BX9" s="39">
        <f t="shared" ref="BX9:CQ9" si="3">BX8+BX7</f>
        <v>565</v>
      </c>
      <c r="BY9" s="39">
        <f t="shared" si="3"/>
        <v>249</v>
      </c>
      <c r="BZ9" s="39">
        <f t="shared" si="3"/>
        <v>314</v>
      </c>
      <c r="CA9" s="39">
        <f t="shared" si="3"/>
        <v>356</v>
      </c>
      <c r="CB9" s="39">
        <f t="shared" si="3"/>
        <v>483</v>
      </c>
      <c r="CC9" s="74">
        <f t="shared" si="3"/>
        <v>1402</v>
      </c>
      <c r="CD9" s="39">
        <f t="shared" si="3"/>
        <v>584</v>
      </c>
      <c r="CE9" s="39">
        <f t="shared" si="3"/>
        <v>881</v>
      </c>
      <c r="CF9" s="39">
        <f>CF8+CF7</f>
        <v>1046</v>
      </c>
      <c r="CG9" s="39">
        <f t="shared" si="3"/>
        <v>1297</v>
      </c>
      <c r="CH9" s="74">
        <f t="shared" si="3"/>
        <v>3808</v>
      </c>
      <c r="CI9" s="74">
        <f t="shared" si="3"/>
        <v>1464</v>
      </c>
      <c r="CJ9" s="74">
        <f t="shared" si="3"/>
        <v>1666.6</v>
      </c>
      <c r="CK9" s="74">
        <f t="shared" si="3"/>
        <v>1889</v>
      </c>
      <c r="CL9" s="74">
        <f t="shared" si="3"/>
        <v>2150</v>
      </c>
      <c r="CM9" s="74">
        <f t="shared" si="3"/>
        <v>7169.6</v>
      </c>
      <c r="CN9" s="74">
        <f t="shared" si="3"/>
        <v>2269</v>
      </c>
      <c r="CO9" s="74">
        <f t="shared" si="3"/>
        <v>2634</v>
      </c>
      <c r="CP9" s="74">
        <f t="shared" si="3"/>
        <v>3070</v>
      </c>
      <c r="CQ9" s="74">
        <f t="shared" si="3"/>
        <v>3111</v>
      </c>
      <c r="CR9" s="74">
        <f>CR8+CR7</f>
        <v>11084</v>
      </c>
      <c r="CS9" s="39">
        <f>CS8+CS7</f>
        <v>3284</v>
      </c>
      <c r="CT9" s="39">
        <f>CT8+CT7</f>
        <v>3388</v>
      </c>
      <c r="CU9" s="39">
        <f>CU8+CU7-1</f>
        <v>3715</v>
      </c>
      <c r="CV9" s="39">
        <f>CV8+CV7</f>
        <v>3993</v>
      </c>
      <c r="CW9" s="74">
        <f>SUM(CS9:CV9)</f>
        <v>14380</v>
      </c>
      <c r="CX9" s="39">
        <f>SUM(CX7:CX8)</f>
        <v>3899</v>
      </c>
      <c r="CY9" s="39">
        <f>SUM(CY7:CY8)</f>
        <v>4176</v>
      </c>
      <c r="CZ9" s="39">
        <f>SUM(CZ7:CZ8)</f>
        <v>4534</v>
      </c>
      <c r="DA9" s="39">
        <f>SUM(DA7:DA8)</f>
        <v>4577</v>
      </c>
      <c r="DB9" s="74">
        <f>SUM(CX9:DA9)</f>
        <v>17186</v>
      </c>
      <c r="DC9" s="74">
        <f>DC8+DC7</f>
        <v>4809</v>
      </c>
      <c r="DD9" s="74">
        <f>DD8+DD7</f>
        <v>5252</v>
      </c>
      <c r="DE9" s="74">
        <f>DE8+DE7</f>
        <v>5426</v>
      </c>
      <c r="DF9" s="74">
        <f>DF8+DF7</f>
        <v>5449</v>
      </c>
      <c r="DG9" s="74">
        <f>SUM(DC9:DF9)</f>
        <v>20936</v>
      </c>
      <c r="DH9" s="74">
        <f>DH8+DH7</f>
        <v>5603.08</v>
      </c>
      <c r="DI9" s="74">
        <f>DI8+DI7</f>
        <v>5948.4699999999993</v>
      </c>
      <c r="DJ9" s="74">
        <f>DJ8+DJ7</f>
        <v>6114.2</v>
      </c>
      <c r="DK9" s="74">
        <f>DK8+DK7</f>
        <v>6142.09</v>
      </c>
      <c r="DL9" s="184">
        <f>SUM(DH9:DK9)</f>
        <v>23807.84</v>
      </c>
      <c r="DM9" s="184">
        <f t="shared" ref="DM9:DP9" si="4">DM8+DM7</f>
        <v>25622.531300000002</v>
      </c>
      <c r="DN9" s="184">
        <f t="shared" si="4"/>
        <v>26903.657865000005</v>
      </c>
      <c r="DO9" s="184">
        <f t="shared" si="4"/>
        <v>27979.804179600003</v>
      </c>
      <c r="DP9" s="184">
        <f t="shared" si="4"/>
        <v>28761.524111192306</v>
      </c>
    </row>
    <row r="10" spans="1:120" x14ac:dyDescent="0.2">
      <c r="A10" s="68" t="s">
        <v>54</v>
      </c>
      <c r="B10" s="31"/>
      <c r="C10" s="31"/>
      <c r="D10" s="31"/>
      <c r="E10" s="31"/>
      <c r="F10" s="31"/>
      <c r="G10" s="69"/>
      <c r="H10" s="69"/>
      <c r="I10" s="69"/>
      <c r="J10" s="69"/>
      <c r="K10" s="69"/>
      <c r="L10" s="69"/>
      <c r="M10" s="69"/>
      <c r="N10" s="69"/>
      <c r="O10" s="69"/>
      <c r="P10" s="69"/>
      <c r="Q10" s="69"/>
      <c r="R10" s="69"/>
      <c r="S10" s="69"/>
      <c r="T10" s="69"/>
      <c r="U10" s="69"/>
      <c r="V10" s="69"/>
      <c r="W10" s="69"/>
      <c r="X10" s="69"/>
      <c r="Y10" s="69"/>
      <c r="Z10" s="69"/>
      <c r="AA10" s="69"/>
      <c r="AB10" s="69"/>
      <c r="AC10" s="69"/>
      <c r="AD10" s="69"/>
      <c r="AE10" s="73"/>
      <c r="AF10" s="69"/>
      <c r="AG10" s="69"/>
      <c r="AH10" s="69"/>
      <c r="AI10" s="69"/>
      <c r="AJ10" s="73"/>
      <c r="AK10" s="69"/>
      <c r="AL10" s="69"/>
      <c r="AM10" s="69"/>
      <c r="AN10" s="69"/>
      <c r="AO10" s="73"/>
      <c r="AP10" s="69"/>
      <c r="AQ10" s="69"/>
      <c r="AR10" s="69"/>
      <c r="AS10" s="69"/>
      <c r="AT10" s="73"/>
      <c r="AU10" s="73"/>
      <c r="AV10" s="73"/>
      <c r="AW10" s="73"/>
      <c r="AX10" s="73"/>
      <c r="AY10" s="73"/>
      <c r="AZ10" s="73"/>
      <c r="BA10" s="73"/>
      <c r="BB10" s="73"/>
      <c r="BC10" s="73"/>
      <c r="BD10" s="73"/>
      <c r="BE10" s="73"/>
      <c r="BF10" s="73"/>
      <c r="BG10" s="73"/>
      <c r="BH10" s="73"/>
      <c r="BI10" s="74"/>
      <c r="BJ10" s="74"/>
      <c r="BK10" s="74"/>
      <c r="BL10" s="74"/>
      <c r="BM10" s="74"/>
      <c r="BN10" s="74"/>
      <c r="BO10" s="74"/>
      <c r="BP10" s="74"/>
      <c r="BQ10" s="74"/>
      <c r="BR10" s="74"/>
      <c r="BS10" s="74"/>
      <c r="BT10" s="74"/>
      <c r="BU10" s="74"/>
      <c r="BV10" s="74"/>
      <c r="BW10" s="74"/>
      <c r="BX10" s="75"/>
      <c r="BY10" s="76"/>
      <c r="BZ10" s="76">
        <f t="shared" ref="BZ10:CM12" si="5">BZ7/BU7-1</f>
        <v>0.86046511627906974</v>
      </c>
      <c r="CA10" s="76">
        <f t="shared" si="5"/>
        <v>0.72477064220183496</v>
      </c>
      <c r="CB10" s="76">
        <f t="shared" si="5"/>
        <v>1.356060606060606</v>
      </c>
      <c r="CC10" s="75">
        <f t="shared" si="5"/>
        <v>1.0152671755725189</v>
      </c>
      <c r="CD10" s="76">
        <f t="shared" si="5"/>
        <v>1.7142857142857144</v>
      </c>
      <c r="CE10" s="76">
        <f t="shared" si="5"/>
        <v>2.4750000000000001</v>
      </c>
      <c r="CF10" s="76">
        <f t="shared" si="5"/>
        <v>2.2127659574468086</v>
      </c>
      <c r="CG10" s="76">
        <f t="shared" si="5"/>
        <v>1.530546623794212</v>
      </c>
      <c r="CH10" s="75">
        <f t="shared" si="5"/>
        <v>1.9141414141414139</v>
      </c>
      <c r="CI10" s="76">
        <f t="shared" si="5"/>
        <v>1.3213296398891967</v>
      </c>
      <c r="CJ10" s="76">
        <f t="shared" si="5"/>
        <v>0.72535971223021578</v>
      </c>
      <c r="CK10" s="76">
        <f t="shared" si="5"/>
        <v>0.83609271523178808</v>
      </c>
      <c r="CL10" s="76">
        <f t="shared" si="5"/>
        <v>0.57941550190597213</v>
      </c>
      <c r="CM10" s="77">
        <f t="shared" si="5"/>
        <v>0.79779029462738316</v>
      </c>
      <c r="CN10" s="77">
        <f>CN7/CI7-1</f>
        <v>0.53221957040572798</v>
      </c>
      <c r="CO10" s="77">
        <f t="shared" ref="CO10:DF12" si="6">CO7/CJ7-1</f>
        <v>0.56155530074012305</v>
      </c>
      <c r="CP10" s="77">
        <f t="shared" si="6"/>
        <v>0.5716862037871957</v>
      </c>
      <c r="CQ10" s="77">
        <f t="shared" si="6"/>
        <v>0.43201930812550282</v>
      </c>
      <c r="CR10" s="77">
        <f>CR7/CM7-1</f>
        <v>0.51953341527486563</v>
      </c>
      <c r="CS10" s="77">
        <f t="shared" si="6"/>
        <v>0.48442367601246117</v>
      </c>
      <c r="CT10" s="77">
        <f t="shared" si="6"/>
        <v>0.36381842456608804</v>
      </c>
      <c r="CU10" s="77">
        <f t="shared" si="6"/>
        <v>0.2375215146299483</v>
      </c>
      <c r="CV10" s="77">
        <f t="shared" si="6"/>
        <v>0.26179775280898876</v>
      </c>
      <c r="CW10" s="77">
        <f>CW7/CR7-1</f>
        <v>0.32466296590007926</v>
      </c>
      <c r="CX10" s="77">
        <f t="shared" si="6"/>
        <v>0.14428121720881437</v>
      </c>
      <c r="CY10" s="77">
        <f t="shared" si="6"/>
        <v>0.14880078316201661</v>
      </c>
      <c r="CZ10" s="77">
        <f t="shared" si="6"/>
        <v>0.19610570236439506</v>
      </c>
      <c r="DA10" s="77">
        <f t="shared" si="6"/>
        <v>0.1829919857524489</v>
      </c>
      <c r="DB10" s="77">
        <f>DB7/CW7-1</f>
        <v>0.16918103448275867</v>
      </c>
      <c r="DC10" s="77">
        <f t="shared" si="6"/>
        <v>0.27418615314076122</v>
      </c>
      <c r="DD10" s="77">
        <f t="shared" si="6"/>
        <v>0.36216446527481883</v>
      </c>
      <c r="DE10" s="77">
        <f t="shared" si="6"/>
        <v>0.29108527131782935</v>
      </c>
      <c r="DF10" s="77">
        <f t="shared" si="6"/>
        <v>0.27135867519759116</v>
      </c>
      <c r="DG10" s="77">
        <f>DG7/DB7-1</f>
        <v>0.29902713773681522</v>
      </c>
      <c r="DH10" s="77">
        <v>0.22</v>
      </c>
      <c r="DI10" s="77">
        <v>0.16</v>
      </c>
      <c r="DJ10" s="77">
        <v>0.15</v>
      </c>
      <c r="DK10" s="77">
        <v>0.15</v>
      </c>
      <c r="DL10" s="185">
        <f>DL7/DG7-1</f>
        <v>0.16785573512022078</v>
      </c>
      <c r="DM10" s="185">
        <v>0.08</v>
      </c>
      <c r="DN10" s="185">
        <v>0.05</v>
      </c>
      <c r="DO10" s="185">
        <v>0.04</v>
      </c>
      <c r="DP10" s="185">
        <v>2.0684231787361451E-2</v>
      </c>
    </row>
    <row r="11" spans="1:120" x14ac:dyDescent="0.2">
      <c r="A11" s="68" t="s">
        <v>55</v>
      </c>
      <c r="B11" s="31"/>
      <c r="C11" s="31"/>
      <c r="D11" s="31"/>
      <c r="E11" s="31"/>
      <c r="F11" s="31"/>
      <c r="G11" s="69"/>
      <c r="H11" s="69"/>
      <c r="I11" s="69"/>
      <c r="J11" s="69"/>
      <c r="K11" s="69"/>
      <c r="L11" s="69"/>
      <c r="M11" s="69"/>
      <c r="N11" s="69"/>
      <c r="O11" s="69"/>
      <c r="P11" s="69"/>
      <c r="Q11" s="69"/>
      <c r="R11" s="69"/>
      <c r="S11" s="69"/>
      <c r="T11" s="69"/>
      <c r="U11" s="69"/>
      <c r="V11" s="69"/>
      <c r="W11" s="69"/>
      <c r="X11" s="69"/>
      <c r="Y11" s="69"/>
      <c r="Z11" s="69"/>
      <c r="AA11" s="69"/>
      <c r="AB11" s="69"/>
      <c r="AC11" s="69"/>
      <c r="AD11" s="69"/>
      <c r="AE11" s="73"/>
      <c r="AF11" s="69"/>
      <c r="AG11" s="69"/>
      <c r="AH11" s="69"/>
      <c r="AI11" s="69"/>
      <c r="AJ11" s="73"/>
      <c r="AK11" s="69"/>
      <c r="AL11" s="69"/>
      <c r="AM11" s="69"/>
      <c r="AN11" s="69"/>
      <c r="AO11" s="73"/>
      <c r="AP11" s="69"/>
      <c r="AQ11" s="69"/>
      <c r="AR11" s="69"/>
      <c r="AS11" s="69"/>
      <c r="AT11" s="73"/>
      <c r="AU11" s="73"/>
      <c r="AV11" s="73"/>
      <c r="AW11" s="73"/>
      <c r="AX11" s="73"/>
      <c r="AY11" s="73"/>
      <c r="AZ11" s="73"/>
      <c r="BA11" s="73"/>
      <c r="BB11" s="73"/>
      <c r="BC11" s="73"/>
      <c r="BD11" s="73"/>
      <c r="BE11" s="73"/>
      <c r="BF11" s="73"/>
      <c r="BG11" s="73"/>
      <c r="BH11" s="73"/>
      <c r="BI11" s="74"/>
      <c r="BJ11" s="74"/>
      <c r="BK11" s="74"/>
      <c r="BL11" s="74"/>
      <c r="BM11" s="74"/>
      <c r="BN11" s="74"/>
      <c r="BO11" s="74"/>
      <c r="BP11" s="74"/>
      <c r="BQ11" s="74"/>
      <c r="BR11" s="74"/>
      <c r="BS11" s="74"/>
      <c r="BT11" s="74"/>
      <c r="BU11" s="74"/>
      <c r="BV11" s="74"/>
      <c r="BW11" s="74"/>
      <c r="BX11" s="75"/>
      <c r="BY11" s="76">
        <f>BY8/BT8-1</f>
        <v>6.25</v>
      </c>
      <c r="BZ11" s="76">
        <f t="shared" si="5"/>
        <v>5.416666666666667</v>
      </c>
      <c r="CA11" s="76">
        <f t="shared" si="5"/>
        <v>2.36</v>
      </c>
      <c r="CB11" s="76">
        <f t="shared" si="5"/>
        <v>1.0975609756097562</v>
      </c>
      <c r="CC11" s="75">
        <f t="shared" si="5"/>
        <v>2.5465116279069768</v>
      </c>
      <c r="CD11" s="76">
        <f t="shared" si="5"/>
        <v>0.92241379310344818</v>
      </c>
      <c r="CE11" s="76">
        <f t="shared" si="5"/>
        <v>1.1103896103896105</v>
      </c>
      <c r="CF11" s="76">
        <f t="shared" si="5"/>
        <v>1.6309523809523809</v>
      </c>
      <c r="CG11" s="76">
        <f t="shared" si="5"/>
        <v>1.9651162790697674</v>
      </c>
      <c r="CH11" s="75">
        <f t="shared" si="5"/>
        <v>1.459016393442623</v>
      </c>
      <c r="CI11" s="76">
        <f t="shared" si="5"/>
        <v>1.8071748878923768</v>
      </c>
      <c r="CJ11" s="76">
        <f t="shared" si="5"/>
        <v>1.1763076923076921</v>
      </c>
      <c r="CK11" s="76">
        <f t="shared" si="5"/>
        <v>0.76470588235294112</v>
      </c>
      <c r="CL11" s="76">
        <f t="shared" si="5"/>
        <v>0.77843137254901951</v>
      </c>
      <c r="CM11" s="77">
        <f t="shared" si="5"/>
        <v>1.0135333333333336</v>
      </c>
      <c r="CN11" s="77">
        <f>CN8/CI8-1</f>
        <v>0.57348242811501593</v>
      </c>
      <c r="CO11" s="77">
        <f t="shared" si="6"/>
        <v>0.60610773363494985</v>
      </c>
      <c r="CP11" s="77">
        <f t="shared" si="6"/>
        <v>0.70128205128205123</v>
      </c>
      <c r="CQ11" s="77">
        <f t="shared" si="6"/>
        <v>0.4674751929437706</v>
      </c>
      <c r="CR11" s="77">
        <f>CR8/CM8-1</f>
        <v>0.5822931496871171</v>
      </c>
      <c r="CS11" s="77">
        <f t="shared" si="6"/>
        <v>0.39898477157360412</v>
      </c>
      <c r="CT11" s="77">
        <f t="shared" si="6"/>
        <v>0.18397887323943651</v>
      </c>
      <c r="CU11" s="77">
        <f t="shared" si="6"/>
        <v>0.17483044461190667</v>
      </c>
      <c r="CV11" s="77">
        <f t="shared" si="6"/>
        <v>0.31254695717505632</v>
      </c>
      <c r="CW11" s="77">
        <f>CW8/CR8-1</f>
        <v>0.26156099602427285</v>
      </c>
      <c r="CX11" s="77">
        <f t="shared" si="6"/>
        <v>0.24673439767779382</v>
      </c>
      <c r="CY11" s="77">
        <f t="shared" si="6"/>
        <v>0.35985130111524155</v>
      </c>
      <c r="CZ11" s="77">
        <f t="shared" si="6"/>
        <v>0.2533675432969853</v>
      </c>
      <c r="DA11" s="77">
        <f t="shared" si="6"/>
        <v>9.9026903262736221E-2</v>
      </c>
      <c r="DB11" s="77">
        <f>DB8/CW8-1</f>
        <v>0.23088406037485476</v>
      </c>
      <c r="DC11" s="77">
        <f t="shared" si="6"/>
        <v>0.18160651920838178</v>
      </c>
      <c r="DD11" s="77">
        <f t="shared" si="6"/>
        <v>0.1235647895024603</v>
      </c>
      <c r="DE11" s="77">
        <f t="shared" si="6"/>
        <v>7.2159672466734825E-2</v>
      </c>
      <c r="DF11" s="77">
        <f t="shared" si="6"/>
        <v>7.8645833333333304E-2</v>
      </c>
      <c r="DG11" s="77">
        <f>DG8/DB8-1</f>
        <v>0.11184476485648842</v>
      </c>
      <c r="DH11" s="77">
        <v>0.09</v>
      </c>
      <c r="DI11" s="77">
        <v>0.09</v>
      </c>
      <c r="DJ11" s="77">
        <v>0.09</v>
      </c>
      <c r="DK11" s="77">
        <v>0.09</v>
      </c>
      <c r="DL11" s="185">
        <f>DL8/DG8-1</f>
        <v>9.000000000000008E-2</v>
      </c>
      <c r="DM11" s="185">
        <v>7.0000000000000007E-2</v>
      </c>
      <c r="DN11" s="185">
        <v>0.05</v>
      </c>
      <c r="DO11" s="185">
        <v>0.04</v>
      </c>
      <c r="DP11" s="185">
        <v>0.04</v>
      </c>
    </row>
    <row r="12" spans="1:120" x14ac:dyDescent="0.2">
      <c r="A12" s="78" t="s">
        <v>56</v>
      </c>
      <c r="B12" s="79"/>
      <c r="C12" s="79"/>
      <c r="D12" s="79"/>
      <c r="E12" s="79"/>
      <c r="F12" s="79"/>
      <c r="G12" s="80"/>
      <c r="H12" s="80"/>
      <c r="I12" s="80"/>
      <c r="J12" s="80"/>
      <c r="K12" s="80"/>
      <c r="L12" s="80"/>
      <c r="M12" s="80"/>
      <c r="N12" s="80"/>
      <c r="O12" s="80"/>
      <c r="P12" s="80"/>
      <c r="Q12" s="80"/>
      <c r="R12" s="80"/>
      <c r="S12" s="80"/>
      <c r="T12" s="80"/>
      <c r="U12" s="80"/>
      <c r="V12" s="80"/>
      <c r="W12" s="80"/>
      <c r="X12" s="80"/>
      <c r="Y12" s="80"/>
      <c r="Z12" s="80"/>
      <c r="AA12" s="80"/>
      <c r="AB12" s="80"/>
      <c r="AC12" s="80"/>
      <c r="AD12" s="80"/>
      <c r="AE12" s="81"/>
      <c r="AF12" s="80"/>
      <c r="AG12" s="80"/>
      <c r="AH12" s="80"/>
      <c r="AI12" s="80"/>
      <c r="AJ12" s="81"/>
      <c r="AK12" s="80"/>
      <c r="AL12" s="80"/>
      <c r="AM12" s="80"/>
      <c r="AN12" s="80"/>
      <c r="AO12" s="81"/>
      <c r="AP12" s="80"/>
      <c r="AQ12" s="80"/>
      <c r="AR12" s="80"/>
      <c r="AS12" s="80"/>
      <c r="AT12" s="81"/>
      <c r="AU12" s="81"/>
      <c r="AV12" s="81"/>
      <c r="AW12" s="81"/>
      <c r="AX12" s="81"/>
      <c r="AY12" s="81"/>
      <c r="AZ12" s="81"/>
      <c r="BA12" s="81"/>
      <c r="BB12" s="81"/>
      <c r="BC12" s="81"/>
      <c r="BD12" s="81"/>
      <c r="BE12" s="81"/>
      <c r="BF12" s="81"/>
      <c r="BG12" s="81"/>
      <c r="BH12" s="81"/>
      <c r="BI12" s="82"/>
      <c r="BJ12" s="82"/>
      <c r="BK12" s="82"/>
      <c r="BL12" s="82"/>
      <c r="BM12" s="82"/>
      <c r="BN12" s="82"/>
      <c r="BO12" s="82"/>
      <c r="BP12" s="82"/>
      <c r="BQ12" s="82"/>
      <c r="BR12" s="82"/>
      <c r="BS12" s="82"/>
      <c r="BT12" s="82"/>
      <c r="BU12" s="82"/>
      <c r="BV12" s="82"/>
      <c r="BW12" s="82"/>
      <c r="BX12" s="83"/>
      <c r="BY12" s="83">
        <f>BY9/BT9-1</f>
        <v>2.0365853658536586</v>
      </c>
      <c r="BZ12" s="83">
        <f t="shared" si="5"/>
        <v>1.8545454545454545</v>
      </c>
      <c r="CA12" s="83">
        <f t="shared" si="5"/>
        <v>1.2389937106918238</v>
      </c>
      <c r="CB12" s="83">
        <f t="shared" si="5"/>
        <v>1.2570093457943927</v>
      </c>
      <c r="CC12" s="83">
        <f t="shared" si="5"/>
        <v>1.48141592920354</v>
      </c>
      <c r="CD12" s="83">
        <f t="shared" si="5"/>
        <v>1.3453815261044175</v>
      </c>
      <c r="CE12" s="83">
        <f t="shared" si="5"/>
        <v>1.8057324840764331</v>
      </c>
      <c r="CF12" s="83">
        <f t="shared" si="5"/>
        <v>1.9382022471910112</v>
      </c>
      <c r="CG12" s="83">
        <f t="shared" si="5"/>
        <v>1.6853002070393375</v>
      </c>
      <c r="CH12" s="83">
        <f t="shared" si="5"/>
        <v>1.7161198288159771</v>
      </c>
      <c r="CI12" s="83">
        <f t="shared" si="5"/>
        <v>1.506849315068493</v>
      </c>
      <c r="CJ12" s="83">
        <f t="shared" si="5"/>
        <v>0.89171396140749137</v>
      </c>
      <c r="CK12" s="83">
        <f t="shared" si="5"/>
        <v>0.8059273422562141</v>
      </c>
      <c r="CL12" s="83">
        <f t="shared" si="5"/>
        <v>0.65767154973014641</v>
      </c>
      <c r="CM12" s="84">
        <f t="shared" si="5"/>
        <v>0.88277310924369767</v>
      </c>
      <c r="CN12" s="84">
        <f>CN9/CI9-1</f>
        <v>0.54986338797814205</v>
      </c>
      <c r="CO12" s="84">
        <f t="shared" si="6"/>
        <v>0.58046321852874128</v>
      </c>
      <c r="CP12" s="84">
        <f t="shared" si="6"/>
        <v>0.62519851773425095</v>
      </c>
      <c r="CQ12" s="84">
        <f t="shared" si="6"/>
        <v>0.4469767441860466</v>
      </c>
      <c r="CR12" s="84">
        <f>CR9/CM9-1</f>
        <v>0.54597188127650065</v>
      </c>
      <c r="CS12" s="84">
        <f t="shared" si="6"/>
        <v>0.44733362714852354</v>
      </c>
      <c r="CT12" s="84">
        <f t="shared" si="6"/>
        <v>0.28625664388762329</v>
      </c>
      <c r="CU12" s="84">
        <f t="shared" si="6"/>
        <v>0.21009771986970693</v>
      </c>
      <c r="CV12" s="84">
        <f t="shared" si="6"/>
        <v>0.28351012536162012</v>
      </c>
      <c r="CW12" s="84">
        <f>CW9/CR9-1</f>
        <v>0.29736557199566938</v>
      </c>
      <c r="CX12" s="84">
        <f>CX9/CS9-1</f>
        <v>0.18727161997563946</v>
      </c>
      <c r="CY12" s="84">
        <f>CY9/CT9-1</f>
        <v>0.23258559622195984</v>
      </c>
      <c r="CZ12" s="84">
        <f>CZ9/CU9-1</f>
        <v>0.22045760430686401</v>
      </c>
      <c r="DA12" s="84">
        <f>DA9/CV9-1</f>
        <v>0.14625594790884056</v>
      </c>
      <c r="DB12" s="84">
        <f>DB9/CW9-1</f>
        <v>0.19513212795549384</v>
      </c>
      <c r="DC12" s="84">
        <f>DC9/CX9-1</f>
        <v>0.23339317773788149</v>
      </c>
      <c r="DD12" s="84">
        <f>DD9/CY9-1</f>
        <v>0.25766283524904221</v>
      </c>
      <c r="DE12" s="84">
        <f>DE9/CZ9-1</f>
        <v>0.19673577415086019</v>
      </c>
      <c r="DF12" s="84">
        <f>DF9/DA9-1</f>
        <v>0.19051780642342142</v>
      </c>
      <c r="DG12" s="84">
        <f>DG9/DB9-1</f>
        <v>0.2182008611660653</v>
      </c>
      <c r="DH12" s="84">
        <f>DH9/DC9-1</f>
        <v>0.1651237263464338</v>
      </c>
      <c r="DI12" s="84">
        <f>DI9/DD9-1</f>
        <v>0.13261043412033491</v>
      </c>
      <c r="DJ12" s="84">
        <f>DJ9/DE9-1</f>
        <v>0.12683376336159236</v>
      </c>
      <c r="DK12" s="84">
        <f>DK9/DF9-1</f>
        <v>0.12719581574600847</v>
      </c>
      <c r="DL12" s="186">
        <f>DL9/DG9-1</f>
        <v>0.13717233473442869</v>
      </c>
      <c r="DM12" s="186">
        <f>DM9/DL9-1</f>
        <v>7.6222425049899512E-2</v>
      </c>
      <c r="DN12" s="186">
        <f>DN9/DM9-1</f>
        <v>5.0000000000000044E-2</v>
      </c>
      <c r="DO12" s="186">
        <f>DO9/DN9-1</f>
        <v>4.0000000000000036E-2</v>
      </c>
      <c r="DP12" s="186">
        <f t="shared" ref="DP12" si="7">DP9/DO9-1</f>
        <v>2.7938720606281109E-2</v>
      </c>
    </row>
    <row r="13" spans="1:120" ht="17" x14ac:dyDescent="0.2">
      <c r="A13" s="85" t="s">
        <v>57</v>
      </c>
      <c r="B13" s="86"/>
      <c r="C13" s="86"/>
      <c r="D13" s="86"/>
      <c r="E13" s="86"/>
      <c r="F13" s="86">
        <v>0</v>
      </c>
      <c r="G13" s="86">
        <v>0</v>
      </c>
      <c r="H13" s="86">
        <v>0</v>
      </c>
      <c r="I13" s="86">
        <v>0</v>
      </c>
      <c r="J13" s="86">
        <v>0</v>
      </c>
      <c r="K13" s="36">
        <f>J13+I13+H13+G13</f>
        <v>0</v>
      </c>
      <c r="L13" s="86">
        <v>0</v>
      </c>
      <c r="M13" s="86">
        <v>15</v>
      </c>
      <c r="N13" s="86">
        <v>3.74</v>
      </c>
      <c r="O13" s="36">
        <v>7.75</v>
      </c>
      <c r="P13" s="36">
        <f>O13+N13+M13+L13</f>
        <v>26.490000000000002</v>
      </c>
      <c r="Q13" s="36">
        <v>6</v>
      </c>
      <c r="R13" s="36">
        <v>8</v>
      </c>
      <c r="S13" s="36">
        <v>13</v>
      </c>
      <c r="T13" s="36">
        <v>16</v>
      </c>
      <c r="U13" s="36">
        <f>T13+S13+R13+Q13</f>
        <v>43</v>
      </c>
      <c r="V13" s="36">
        <v>15</v>
      </c>
      <c r="W13" s="36">
        <v>17</v>
      </c>
      <c r="X13" s="36">
        <v>19</v>
      </c>
      <c r="Y13" s="36">
        <v>23</v>
      </c>
      <c r="Z13" s="36">
        <f>Y13+X13+W13+V13</f>
        <v>74</v>
      </c>
      <c r="AA13" s="36">
        <v>17</v>
      </c>
      <c r="AB13" s="36">
        <v>25</v>
      </c>
      <c r="AC13" s="36">
        <v>32</v>
      </c>
      <c r="AD13" s="36">
        <v>25</v>
      </c>
      <c r="AE13" s="36">
        <f>AD13+AC13+AB13+AA13</f>
        <v>99</v>
      </c>
      <c r="AF13" s="36">
        <v>36</v>
      </c>
      <c r="AG13" s="36">
        <v>32</v>
      </c>
      <c r="AH13" s="36">
        <v>33</v>
      </c>
      <c r="AI13" s="36">
        <v>38</v>
      </c>
      <c r="AJ13" s="36">
        <f>AI13+AH13+AG13+AF13</f>
        <v>139</v>
      </c>
      <c r="AK13" s="36">
        <v>40</v>
      </c>
      <c r="AL13" s="36">
        <v>41</v>
      </c>
      <c r="AM13" s="36">
        <v>44</v>
      </c>
      <c r="AN13" s="36">
        <v>47</v>
      </c>
      <c r="AO13" s="36">
        <f>AN13+AM13+AL13+AK13</f>
        <v>172</v>
      </c>
      <c r="AP13" s="36">
        <v>44</v>
      </c>
      <c r="AQ13" s="36">
        <v>51</v>
      </c>
      <c r="AR13" s="36">
        <v>51</v>
      </c>
      <c r="AS13" s="36">
        <v>55</v>
      </c>
      <c r="AT13" s="36">
        <f>AS13+AR13+AQ13+AP13</f>
        <v>201</v>
      </c>
      <c r="AU13" s="36">
        <v>50</v>
      </c>
      <c r="AV13" s="36">
        <v>54</v>
      </c>
      <c r="AW13" s="36">
        <v>60</v>
      </c>
      <c r="AX13" s="36">
        <v>65</v>
      </c>
      <c r="AY13" s="36">
        <f>AX13+AW13+AV13+AU13</f>
        <v>229</v>
      </c>
      <c r="AZ13" s="36">
        <v>51</v>
      </c>
      <c r="BA13" s="36">
        <v>60</v>
      </c>
      <c r="BB13" s="36">
        <v>60</v>
      </c>
      <c r="BC13" s="36">
        <v>68</v>
      </c>
      <c r="BD13" s="36">
        <f>BC13+BB13+BA13+AZ13</f>
        <v>239</v>
      </c>
      <c r="BE13" s="36">
        <v>63</v>
      </c>
      <c r="BF13" s="36">
        <v>73</v>
      </c>
      <c r="BG13" s="36">
        <v>67</v>
      </c>
      <c r="BH13" s="36">
        <v>74</v>
      </c>
      <c r="BI13" s="36">
        <f>SUM(BE13:BH13)</f>
        <v>277</v>
      </c>
      <c r="BJ13" s="36">
        <v>66</v>
      </c>
      <c r="BK13" s="36">
        <v>74</v>
      </c>
      <c r="BL13" s="36">
        <v>73</v>
      </c>
      <c r="BM13" s="36">
        <v>80</v>
      </c>
      <c r="BN13" s="36">
        <f>SUM(BJ13:BM13)</f>
        <v>293</v>
      </c>
      <c r="BO13" s="36">
        <v>70</v>
      </c>
      <c r="BP13" s="36">
        <v>78</v>
      </c>
      <c r="BQ13" s="36">
        <v>80</v>
      </c>
      <c r="BR13" s="36">
        <v>84</v>
      </c>
      <c r="BS13" s="36">
        <f>SUM(BO13:BR13)</f>
        <v>312</v>
      </c>
      <c r="BT13" s="36">
        <v>78</v>
      </c>
      <c r="BU13" s="36">
        <v>79</v>
      </c>
      <c r="BV13" s="36">
        <v>88</v>
      </c>
      <c r="BW13" s="36">
        <v>80</v>
      </c>
      <c r="BX13" s="36">
        <f>SUM(BT13:BW13)</f>
        <v>325</v>
      </c>
      <c r="BY13" s="36">
        <v>82</v>
      </c>
      <c r="BZ13" s="36">
        <v>93</v>
      </c>
      <c r="CA13" s="36">
        <v>91</v>
      </c>
      <c r="CB13" s="36">
        <v>91</v>
      </c>
      <c r="CC13" s="36">
        <f>SUM(BY13:CB13)</f>
        <v>357</v>
      </c>
      <c r="CD13" s="36">
        <v>86</v>
      </c>
      <c r="CE13" s="36">
        <v>83</v>
      </c>
      <c r="CF13" s="36">
        <v>88</v>
      </c>
      <c r="CG13" s="36">
        <v>85</v>
      </c>
      <c r="CH13" s="36">
        <f>SUM(CD13:CG13)</f>
        <v>342</v>
      </c>
      <c r="CI13" s="36">
        <v>79</v>
      </c>
      <c r="CJ13" s="36">
        <v>89</v>
      </c>
      <c r="CK13" s="36">
        <v>71</v>
      </c>
      <c r="CL13" s="36">
        <v>73</v>
      </c>
      <c r="CM13" s="36">
        <f>SUM(CI13:CL13)</f>
        <v>312</v>
      </c>
      <c r="CN13" s="36">
        <v>63</v>
      </c>
      <c r="CO13" s="36">
        <v>67</v>
      </c>
      <c r="CP13" s="36">
        <v>42</v>
      </c>
      <c r="CQ13" s="36">
        <v>10</v>
      </c>
      <c r="CR13" s="36">
        <f>SUM(CN13:CQ13)</f>
        <v>182</v>
      </c>
      <c r="CS13" s="36">
        <v>5</v>
      </c>
      <c r="CT13" s="36">
        <v>6</v>
      </c>
      <c r="CU13" s="36">
        <v>8</v>
      </c>
      <c r="CV13" s="36">
        <v>0</v>
      </c>
      <c r="CW13" s="72">
        <f>SUM(CS13:CV13)</f>
        <v>19</v>
      </c>
      <c r="CX13" s="36"/>
      <c r="CY13" s="36"/>
      <c r="CZ13" s="36"/>
      <c r="DA13" s="36"/>
      <c r="DB13" s="72"/>
      <c r="DC13" s="72"/>
      <c r="DD13" s="72"/>
      <c r="DE13" s="72"/>
      <c r="DF13" s="72"/>
      <c r="DG13" s="36"/>
      <c r="DH13" s="36"/>
      <c r="DI13" s="36"/>
      <c r="DJ13" s="36"/>
      <c r="DK13" s="36"/>
      <c r="DL13" s="183"/>
      <c r="DM13" s="183"/>
      <c r="DN13" s="183"/>
      <c r="DO13" s="183"/>
      <c r="DP13" s="183"/>
    </row>
    <row r="14" spans="1:120" ht="17" x14ac:dyDescent="0.2">
      <c r="A14" s="85" t="s">
        <v>58</v>
      </c>
      <c r="B14" s="86"/>
      <c r="C14" s="86"/>
      <c r="D14" s="86"/>
      <c r="E14" s="86"/>
      <c r="F14" s="86">
        <v>0</v>
      </c>
      <c r="G14" s="86">
        <v>0</v>
      </c>
      <c r="H14" s="86">
        <v>0</v>
      </c>
      <c r="I14" s="86">
        <v>0</v>
      </c>
      <c r="J14" s="86">
        <v>0</v>
      </c>
      <c r="K14" s="36">
        <f>J14+I14+H14+G14</f>
        <v>0</v>
      </c>
      <c r="L14" s="86">
        <v>0</v>
      </c>
      <c r="M14" s="86">
        <v>0</v>
      </c>
      <c r="N14" s="86">
        <v>0.4</v>
      </c>
      <c r="O14" s="36">
        <v>0.4</v>
      </c>
      <c r="P14" s="36">
        <f>O14+N14+M14+L14</f>
        <v>0.8</v>
      </c>
      <c r="Q14" s="36">
        <v>0</v>
      </c>
      <c r="R14" s="36">
        <v>1</v>
      </c>
      <c r="S14" s="36">
        <v>1</v>
      </c>
      <c r="T14" s="36">
        <v>2</v>
      </c>
      <c r="U14" s="36">
        <f>T14+S14+R14+Q14</f>
        <v>4</v>
      </c>
      <c r="V14" s="36">
        <v>2</v>
      </c>
      <c r="W14" s="36">
        <v>3</v>
      </c>
      <c r="X14" s="36">
        <v>4</v>
      </c>
      <c r="Y14" s="36">
        <v>5</v>
      </c>
      <c r="Z14" s="36">
        <f>Y14+X14+W14+V14</f>
        <v>14</v>
      </c>
      <c r="AA14" s="36">
        <v>6</v>
      </c>
      <c r="AB14" s="36">
        <v>7</v>
      </c>
      <c r="AC14" s="36">
        <v>9</v>
      </c>
      <c r="AD14" s="36">
        <v>10</v>
      </c>
      <c r="AE14" s="36">
        <f>AD14+AC14+AB14+AA14</f>
        <v>32</v>
      </c>
      <c r="AF14" s="36">
        <v>12</v>
      </c>
      <c r="AG14" s="36">
        <v>15</v>
      </c>
      <c r="AH14" s="36">
        <v>16</v>
      </c>
      <c r="AI14" s="36">
        <v>22</v>
      </c>
      <c r="AJ14" s="36">
        <f>AI14+AH14+AG14+AF14</f>
        <v>65</v>
      </c>
      <c r="AK14" s="36">
        <v>19</v>
      </c>
      <c r="AL14" s="36">
        <v>25</v>
      </c>
      <c r="AM14" s="36">
        <v>24</v>
      </c>
      <c r="AN14" s="36">
        <v>24</v>
      </c>
      <c r="AO14" s="36">
        <f>AN14+AM14+AL14+AK14</f>
        <v>92</v>
      </c>
      <c r="AP14" s="36">
        <v>25</v>
      </c>
      <c r="AQ14" s="36">
        <v>26</v>
      </c>
      <c r="AR14" s="36">
        <v>31</v>
      </c>
      <c r="AS14" s="36">
        <v>33</v>
      </c>
      <c r="AT14" s="36">
        <f>AS14+AR14+AQ14+AP14</f>
        <v>115</v>
      </c>
      <c r="AU14" s="36">
        <v>32</v>
      </c>
      <c r="AV14" s="36">
        <v>39</v>
      </c>
      <c r="AW14" s="36">
        <v>31</v>
      </c>
      <c r="AX14" s="36">
        <v>45</v>
      </c>
      <c r="AY14" s="36">
        <f>AX14+AW14+AV14+AU14</f>
        <v>147</v>
      </c>
      <c r="AZ14" s="36">
        <v>36</v>
      </c>
      <c r="BA14" s="36">
        <v>60</v>
      </c>
      <c r="BB14" s="36">
        <v>38</v>
      </c>
      <c r="BC14" s="36">
        <v>46</v>
      </c>
      <c r="BD14" s="36">
        <f>BC14+BB14+BA14+AZ14</f>
        <v>180</v>
      </c>
      <c r="BE14" s="36">
        <v>39</v>
      </c>
      <c r="BF14" s="36">
        <v>73</v>
      </c>
      <c r="BG14" s="36">
        <v>44</v>
      </c>
      <c r="BH14" s="36">
        <v>57</v>
      </c>
      <c r="BI14" s="36">
        <f>SUM(BE14:BH14)</f>
        <v>213</v>
      </c>
      <c r="BJ14" s="36">
        <v>50</v>
      </c>
      <c r="BK14" s="36">
        <v>61</v>
      </c>
      <c r="BL14" s="36">
        <v>49</v>
      </c>
      <c r="BM14" s="36">
        <v>54</v>
      </c>
      <c r="BN14" s="36">
        <f>SUM(BJ14:BM14)</f>
        <v>214</v>
      </c>
      <c r="BO14" s="36">
        <v>52</v>
      </c>
      <c r="BP14" s="36">
        <v>66</v>
      </c>
      <c r="BQ14" s="36">
        <v>56</v>
      </c>
      <c r="BR14" s="36">
        <v>67</v>
      </c>
      <c r="BS14" s="36">
        <f>SUM(BO14:BR14)</f>
        <v>241</v>
      </c>
      <c r="BT14" s="36">
        <v>43</v>
      </c>
      <c r="BU14" s="36">
        <v>55</v>
      </c>
      <c r="BV14" s="36">
        <v>53</v>
      </c>
      <c r="BW14" s="36">
        <v>59</v>
      </c>
      <c r="BX14" s="36">
        <f>SUM(BT14:BW14)</f>
        <v>210</v>
      </c>
      <c r="BY14" s="36">
        <v>44</v>
      </c>
      <c r="BZ14" s="36">
        <v>50</v>
      </c>
      <c r="CA14" s="36">
        <v>46</v>
      </c>
      <c r="CB14" s="36">
        <v>53</v>
      </c>
      <c r="CC14" s="36">
        <f>SUM(BY14:CB14)</f>
        <v>193</v>
      </c>
      <c r="CD14" s="36">
        <v>47</v>
      </c>
      <c r="CE14" s="36">
        <v>60</v>
      </c>
      <c r="CF14" s="36">
        <v>49</v>
      </c>
      <c r="CG14" s="36">
        <v>58</v>
      </c>
      <c r="CH14" s="36">
        <f>SUM(CD14:CG14)</f>
        <v>214</v>
      </c>
      <c r="CI14" s="36">
        <v>46</v>
      </c>
      <c r="CJ14" s="36">
        <v>59</v>
      </c>
      <c r="CK14" s="36">
        <v>52</v>
      </c>
      <c r="CL14" s="36">
        <v>53</v>
      </c>
      <c r="CM14" s="36">
        <f>SUM(CI14:CL14)</f>
        <v>210</v>
      </c>
      <c r="CN14" s="36">
        <v>53</v>
      </c>
      <c r="CO14" s="36">
        <v>54</v>
      </c>
      <c r="CP14" s="36">
        <v>56</v>
      </c>
      <c r="CQ14" s="36">
        <v>42</v>
      </c>
      <c r="CR14" s="36">
        <f>SUM(CN14:CQ14)</f>
        <v>205</v>
      </c>
      <c r="CS14" s="36">
        <v>38</v>
      </c>
      <c r="CT14" s="36">
        <v>27</v>
      </c>
      <c r="CU14" s="36">
        <v>31</v>
      </c>
      <c r="CV14" s="36">
        <v>31</v>
      </c>
      <c r="CW14" s="72">
        <f>SUM(CS14:CV14)</f>
        <v>127</v>
      </c>
      <c r="CX14" s="36"/>
      <c r="CY14" s="36"/>
      <c r="CZ14" s="36"/>
      <c r="DA14" s="36"/>
      <c r="DB14" s="72"/>
      <c r="DC14" s="72"/>
      <c r="DD14" s="72"/>
      <c r="DE14" s="72"/>
      <c r="DF14" s="72"/>
      <c r="DG14" s="36"/>
      <c r="DH14" s="36"/>
      <c r="DI14" s="36"/>
      <c r="DJ14" s="36"/>
      <c r="DK14" s="36"/>
      <c r="DL14" s="183"/>
      <c r="DM14" s="183"/>
      <c r="DN14" s="183"/>
      <c r="DO14" s="183"/>
      <c r="DP14" s="183"/>
    </row>
    <row r="15" spans="1:120" ht="17" x14ac:dyDescent="0.2">
      <c r="A15" s="87" t="s">
        <v>59</v>
      </c>
      <c r="B15" s="88"/>
      <c r="C15" s="88"/>
      <c r="D15" s="88"/>
      <c r="E15" s="88"/>
      <c r="F15" s="39">
        <f t="shared" ref="F15:U15" si="8">F14+F13</f>
        <v>0</v>
      </c>
      <c r="G15" s="39">
        <f t="shared" si="8"/>
        <v>0</v>
      </c>
      <c r="H15" s="39">
        <f t="shared" si="8"/>
        <v>0</v>
      </c>
      <c r="I15" s="39">
        <f t="shared" si="8"/>
        <v>0</v>
      </c>
      <c r="J15" s="39">
        <f t="shared" si="8"/>
        <v>0</v>
      </c>
      <c r="K15" s="39">
        <f t="shared" si="8"/>
        <v>0</v>
      </c>
      <c r="L15" s="39">
        <f t="shared" si="8"/>
        <v>0</v>
      </c>
      <c r="M15" s="39">
        <f t="shared" si="8"/>
        <v>15</v>
      </c>
      <c r="N15" s="39">
        <f t="shared" si="8"/>
        <v>4.1400000000000006</v>
      </c>
      <c r="O15" s="39">
        <f t="shared" si="8"/>
        <v>8.15</v>
      </c>
      <c r="P15" s="39">
        <f t="shared" si="8"/>
        <v>27.290000000000003</v>
      </c>
      <c r="Q15" s="39">
        <f t="shared" si="8"/>
        <v>6</v>
      </c>
      <c r="R15" s="39">
        <f t="shared" si="8"/>
        <v>9</v>
      </c>
      <c r="S15" s="39">
        <f t="shared" si="8"/>
        <v>14</v>
      </c>
      <c r="T15" s="39">
        <f t="shared" si="8"/>
        <v>18</v>
      </c>
      <c r="U15" s="39">
        <f t="shared" si="8"/>
        <v>47</v>
      </c>
      <c r="V15" s="39">
        <f>V14+V13+1</f>
        <v>18</v>
      </c>
      <c r="W15" s="39">
        <f>W14+W13+1</f>
        <v>21</v>
      </c>
      <c r="X15" s="39">
        <f>X14+X13+1</f>
        <v>24</v>
      </c>
      <c r="Y15" s="39">
        <f>Y14+Y13+1</f>
        <v>29</v>
      </c>
      <c r="Z15" s="39">
        <f>Z14+Z13</f>
        <v>88</v>
      </c>
      <c r="AA15" s="39">
        <f>AA14+AA13+1</f>
        <v>24</v>
      </c>
      <c r="AB15" s="39">
        <f>AB14+AB13+1</f>
        <v>33</v>
      </c>
      <c r="AC15" s="39">
        <f t="shared" ref="AC15:BD15" si="9">AC14+AC13</f>
        <v>41</v>
      </c>
      <c r="AD15" s="39">
        <f t="shared" si="9"/>
        <v>35</v>
      </c>
      <c r="AE15" s="39">
        <f t="shared" si="9"/>
        <v>131</v>
      </c>
      <c r="AF15" s="39">
        <f t="shared" si="9"/>
        <v>48</v>
      </c>
      <c r="AG15" s="39">
        <f t="shared" si="9"/>
        <v>47</v>
      </c>
      <c r="AH15" s="39">
        <f t="shared" si="9"/>
        <v>49</v>
      </c>
      <c r="AI15" s="39">
        <f t="shared" si="9"/>
        <v>60</v>
      </c>
      <c r="AJ15" s="39">
        <f t="shared" si="9"/>
        <v>204</v>
      </c>
      <c r="AK15" s="39">
        <f t="shared" si="9"/>
        <v>59</v>
      </c>
      <c r="AL15" s="39">
        <f t="shared" si="9"/>
        <v>66</v>
      </c>
      <c r="AM15" s="39">
        <f t="shared" si="9"/>
        <v>68</v>
      </c>
      <c r="AN15" s="39">
        <f t="shared" si="9"/>
        <v>71</v>
      </c>
      <c r="AO15" s="39">
        <f t="shared" si="9"/>
        <v>264</v>
      </c>
      <c r="AP15" s="39">
        <f t="shared" si="9"/>
        <v>69</v>
      </c>
      <c r="AQ15" s="39">
        <f t="shared" si="9"/>
        <v>77</v>
      </c>
      <c r="AR15" s="39">
        <f t="shared" si="9"/>
        <v>82</v>
      </c>
      <c r="AS15" s="39">
        <f t="shared" si="9"/>
        <v>88</v>
      </c>
      <c r="AT15" s="39">
        <f t="shared" si="9"/>
        <v>316</v>
      </c>
      <c r="AU15" s="39">
        <f t="shared" si="9"/>
        <v>82</v>
      </c>
      <c r="AV15" s="39">
        <f t="shared" si="9"/>
        <v>93</v>
      </c>
      <c r="AW15" s="39">
        <f t="shared" si="9"/>
        <v>91</v>
      </c>
      <c r="AX15" s="39">
        <f t="shared" si="9"/>
        <v>110</v>
      </c>
      <c r="AY15" s="39">
        <f t="shared" si="9"/>
        <v>376</v>
      </c>
      <c r="AZ15" s="39">
        <f t="shared" si="9"/>
        <v>87</v>
      </c>
      <c r="BA15" s="39">
        <f t="shared" si="9"/>
        <v>120</v>
      </c>
      <c r="BB15" s="39">
        <f t="shared" si="9"/>
        <v>98</v>
      </c>
      <c r="BC15" s="39">
        <f t="shared" si="9"/>
        <v>114</v>
      </c>
      <c r="BD15" s="39">
        <f t="shared" si="9"/>
        <v>419</v>
      </c>
      <c r="BE15" s="39">
        <f>BE13+BE14</f>
        <v>102</v>
      </c>
      <c r="BF15" s="39">
        <f>BF13+BF14</f>
        <v>146</v>
      </c>
      <c r="BG15" s="39">
        <f>BG13+BG14</f>
        <v>111</v>
      </c>
      <c r="BH15" s="39">
        <f>BH13+BH14</f>
        <v>131</v>
      </c>
      <c r="BI15" s="39">
        <f t="shared" ref="BI15:CP15" si="10">BI14+BI13</f>
        <v>490</v>
      </c>
      <c r="BJ15" s="39">
        <f t="shared" si="10"/>
        <v>116</v>
      </c>
      <c r="BK15" s="39">
        <f t="shared" si="10"/>
        <v>135</v>
      </c>
      <c r="BL15" s="39">
        <f t="shared" si="10"/>
        <v>122</v>
      </c>
      <c r="BM15" s="39">
        <f t="shared" si="10"/>
        <v>134</v>
      </c>
      <c r="BN15" s="39">
        <f t="shared" si="10"/>
        <v>507</v>
      </c>
      <c r="BO15" s="39">
        <f t="shared" si="10"/>
        <v>122</v>
      </c>
      <c r="BP15" s="39">
        <f t="shared" si="10"/>
        <v>144</v>
      </c>
      <c r="BQ15" s="39">
        <f t="shared" si="10"/>
        <v>136</v>
      </c>
      <c r="BR15" s="39">
        <f t="shared" si="10"/>
        <v>151</v>
      </c>
      <c r="BS15" s="39">
        <f t="shared" si="10"/>
        <v>553</v>
      </c>
      <c r="BT15" s="39">
        <f t="shared" si="10"/>
        <v>121</v>
      </c>
      <c r="BU15" s="39">
        <f t="shared" si="10"/>
        <v>134</v>
      </c>
      <c r="BV15" s="39">
        <f t="shared" si="10"/>
        <v>141</v>
      </c>
      <c r="BW15" s="39">
        <f t="shared" si="10"/>
        <v>139</v>
      </c>
      <c r="BX15" s="39">
        <f t="shared" si="10"/>
        <v>535</v>
      </c>
      <c r="BY15" s="39">
        <f t="shared" si="10"/>
        <v>126</v>
      </c>
      <c r="BZ15" s="39">
        <f t="shared" si="10"/>
        <v>143</v>
      </c>
      <c r="CA15" s="39">
        <f t="shared" si="10"/>
        <v>137</v>
      </c>
      <c r="CB15" s="39">
        <f>CB14+CB13</f>
        <v>144</v>
      </c>
      <c r="CC15" s="39">
        <f t="shared" si="10"/>
        <v>550</v>
      </c>
      <c r="CD15" s="39">
        <f t="shared" si="10"/>
        <v>133</v>
      </c>
      <c r="CE15" s="39">
        <f t="shared" si="10"/>
        <v>143</v>
      </c>
      <c r="CF15" s="39">
        <f t="shared" si="10"/>
        <v>137</v>
      </c>
      <c r="CG15" s="39">
        <f t="shared" si="10"/>
        <v>143</v>
      </c>
      <c r="CH15" s="39">
        <f t="shared" si="10"/>
        <v>556</v>
      </c>
      <c r="CI15" s="39">
        <f t="shared" si="10"/>
        <v>125</v>
      </c>
      <c r="CJ15" s="39">
        <f t="shared" si="10"/>
        <v>148</v>
      </c>
      <c r="CK15" s="39">
        <f t="shared" si="10"/>
        <v>123</v>
      </c>
      <c r="CL15" s="39">
        <f t="shared" si="10"/>
        <v>126</v>
      </c>
      <c r="CM15" s="39">
        <f t="shared" si="10"/>
        <v>522</v>
      </c>
      <c r="CN15" s="39">
        <f>CN14+CN13+1</f>
        <v>117</v>
      </c>
      <c r="CO15" s="39">
        <f t="shared" si="10"/>
        <v>121</v>
      </c>
      <c r="CP15" s="39">
        <f t="shared" si="10"/>
        <v>98</v>
      </c>
      <c r="CQ15" s="39">
        <f>CQ14+CQ13+1</f>
        <v>53</v>
      </c>
      <c r="CR15" s="39">
        <f>CR14+CR13</f>
        <v>387</v>
      </c>
      <c r="CS15" s="39">
        <f>CS14+CS13</f>
        <v>43</v>
      </c>
      <c r="CT15" s="39">
        <f>CT14+CT13</f>
        <v>33</v>
      </c>
      <c r="CU15" s="39">
        <f>CU14+CU13</f>
        <v>39</v>
      </c>
      <c r="CV15" s="39">
        <f>CV14+CV13</f>
        <v>31</v>
      </c>
      <c r="CW15" s="74">
        <f>SUM(CS15:CV15)</f>
        <v>146</v>
      </c>
      <c r="CX15" s="39"/>
      <c r="CY15" s="39"/>
      <c r="CZ15" s="39"/>
      <c r="DA15" s="39"/>
      <c r="DB15" s="74"/>
      <c r="DC15" s="74"/>
      <c r="DD15" s="74"/>
      <c r="DE15" s="74"/>
      <c r="DF15" s="74"/>
      <c r="DG15" s="39"/>
      <c r="DH15" s="39"/>
      <c r="DI15" s="39"/>
      <c r="DJ15" s="39"/>
      <c r="DK15" s="39"/>
      <c r="DL15" s="187"/>
      <c r="DM15" s="187"/>
      <c r="DN15" s="187"/>
      <c r="DO15" s="187"/>
      <c r="DP15" s="187"/>
    </row>
    <row r="16" spans="1:120" x14ac:dyDescent="0.2">
      <c r="A16" s="68" t="s">
        <v>54</v>
      </c>
      <c r="G16" s="76"/>
      <c r="H16" s="76"/>
      <c r="I16" s="76"/>
      <c r="J16" s="76"/>
      <c r="K16" s="76"/>
      <c r="L16" s="76"/>
      <c r="M16" s="76"/>
      <c r="N16" s="76"/>
      <c r="O16" s="89"/>
      <c r="P16" s="89"/>
      <c r="Q16" s="90"/>
      <c r="R16" s="76"/>
      <c r="S16" s="76"/>
      <c r="T16" s="76"/>
      <c r="U16" s="76"/>
      <c r="V16" s="90">
        <f t="shared" ref="V16:CG18" si="11">V13/Q13-1</f>
        <v>1.5</v>
      </c>
      <c r="W16" s="90">
        <f t="shared" si="11"/>
        <v>1.125</v>
      </c>
      <c r="X16" s="90">
        <f t="shared" si="11"/>
        <v>0.46153846153846145</v>
      </c>
      <c r="Y16" s="90">
        <f t="shared" si="11"/>
        <v>0.4375</v>
      </c>
      <c r="Z16" s="76">
        <f t="shared" si="11"/>
        <v>0.72093023255813948</v>
      </c>
      <c r="AA16" s="90">
        <f t="shared" si="11"/>
        <v>0.1333333333333333</v>
      </c>
      <c r="AB16" s="90">
        <f t="shared" si="11"/>
        <v>0.47058823529411775</v>
      </c>
      <c r="AC16" s="90">
        <f t="shared" si="11"/>
        <v>0.68421052631578938</v>
      </c>
      <c r="AD16" s="90">
        <f t="shared" si="11"/>
        <v>8.6956521739130377E-2</v>
      </c>
      <c r="AE16" s="76">
        <f t="shared" si="11"/>
        <v>0.33783783783783794</v>
      </c>
      <c r="AF16" s="90">
        <f t="shared" si="11"/>
        <v>1.1176470588235294</v>
      </c>
      <c r="AG16" s="90">
        <f t="shared" si="11"/>
        <v>0.28000000000000003</v>
      </c>
      <c r="AH16" s="90">
        <f t="shared" si="11"/>
        <v>3.125E-2</v>
      </c>
      <c r="AI16" s="90">
        <f t="shared" si="11"/>
        <v>0.52</v>
      </c>
      <c r="AJ16" s="76">
        <f t="shared" si="11"/>
        <v>0.40404040404040398</v>
      </c>
      <c r="AK16" s="90">
        <f t="shared" si="11"/>
        <v>0.11111111111111116</v>
      </c>
      <c r="AL16" s="90">
        <f t="shared" si="11"/>
        <v>0.28125</v>
      </c>
      <c r="AM16" s="90">
        <f t="shared" si="11"/>
        <v>0.33333333333333326</v>
      </c>
      <c r="AN16" s="90">
        <f t="shared" si="11"/>
        <v>0.23684210526315796</v>
      </c>
      <c r="AO16" s="76">
        <f t="shared" si="11"/>
        <v>0.23741007194244612</v>
      </c>
      <c r="AP16" s="90">
        <f t="shared" si="11"/>
        <v>0.10000000000000009</v>
      </c>
      <c r="AQ16" s="90">
        <f t="shared" si="11"/>
        <v>0.24390243902439024</v>
      </c>
      <c r="AR16" s="90">
        <f t="shared" si="11"/>
        <v>0.15909090909090917</v>
      </c>
      <c r="AS16" s="90">
        <f t="shared" si="11"/>
        <v>0.17021276595744683</v>
      </c>
      <c r="AT16" s="76">
        <f t="shared" si="11"/>
        <v>0.16860465116279078</v>
      </c>
      <c r="AU16" s="90">
        <f t="shared" si="11"/>
        <v>0.13636363636363646</v>
      </c>
      <c r="AV16" s="90">
        <f t="shared" si="11"/>
        <v>5.8823529411764719E-2</v>
      </c>
      <c r="AW16" s="90">
        <f t="shared" si="11"/>
        <v>0.17647058823529416</v>
      </c>
      <c r="AX16" s="90">
        <f t="shared" si="11"/>
        <v>0.18181818181818188</v>
      </c>
      <c r="AY16" s="76">
        <f t="shared" si="11"/>
        <v>0.13930348258706471</v>
      </c>
      <c r="AZ16" s="90">
        <f t="shared" si="11"/>
        <v>2.0000000000000018E-2</v>
      </c>
      <c r="BA16" s="90">
        <f t="shared" si="11"/>
        <v>0.11111111111111116</v>
      </c>
      <c r="BB16" s="90">
        <f t="shared" si="11"/>
        <v>0</v>
      </c>
      <c r="BC16" s="90">
        <f t="shared" si="11"/>
        <v>4.6153846153846212E-2</v>
      </c>
      <c r="BD16" s="76">
        <f t="shared" si="11"/>
        <v>4.366812227074246E-2</v>
      </c>
      <c r="BE16" s="76">
        <f t="shared" si="11"/>
        <v>0.23529411764705888</v>
      </c>
      <c r="BF16" s="76">
        <f t="shared" si="11"/>
        <v>0.21666666666666656</v>
      </c>
      <c r="BG16" s="76">
        <f t="shared" si="11"/>
        <v>0.1166666666666667</v>
      </c>
      <c r="BH16" s="76">
        <f t="shared" si="11"/>
        <v>8.8235294117646967E-2</v>
      </c>
      <c r="BI16" s="90">
        <f t="shared" si="11"/>
        <v>0.15899581589958167</v>
      </c>
      <c r="BJ16" s="76">
        <f t="shared" si="11"/>
        <v>4.7619047619047672E-2</v>
      </c>
      <c r="BK16" s="76">
        <f t="shared" si="11"/>
        <v>1.3698630136986356E-2</v>
      </c>
      <c r="BL16" s="76">
        <f t="shared" si="11"/>
        <v>8.9552238805970186E-2</v>
      </c>
      <c r="BM16" s="76">
        <f t="shared" si="11"/>
        <v>8.1081081081081141E-2</v>
      </c>
      <c r="BN16" s="90">
        <f>BN13/BI13-1</f>
        <v>5.7761732851985492E-2</v>
      </c>
      <c r="BO16" s="76">
        <f t="shared" si="11"/>
        <v>6.0606060606060552E-2</v>
      </c>
      <c r="BP16" s="76">
        <f t="shared" si="11"/>
        <v>5.4054054054053946E-2</v>
      </c>
      <c r="BQ16" s="76">
        <f t="shared" si="11"/>
        <v>9.5890410958904049E-2</v>
      </c>
      <c r="BR16" s="76">
        <f t="shared" si="11"/>
        <v>5.0000000000000044E-2</v>
      </c>
      <c r="BS16" s="90">
        <f>BS13/BN13-1</f>
        <v>6.4846416382252636E-2</v>
      </c>
      <c r="BT16" s="76">
        <f t="shared" si="11"/>
        <v>0.11428571428571432</v>
      </c>
      <c r="BU16" s="76">
        <f t="shared" si="11"/>
        <v>1.2820512820512775E-2</v>
      </c>
      <c r="BV16" s="76">
        <f t="shared" si="11"/>
        <v>0.10000000000000009</v>
      </c>
      <c r="BW16" s="76">
        <f t="shared" si="11"/>
        <v>-4.7619047619047672E-2</v>
      </c>
      <c r="BX16" s="90">
        <f>BX13/BS13-1</f>
        <v>4.1666666666666741E-2</v>
      </c>
      <c r="BY16" s="76">
        <f t="shared" si="11"/>
        <v>5.1282051282051322E-2</v>
      </c>
      <c r="BZ16" s="76">
        <f t="shared" si="11"/>
        <v>0.17721518987341778</v>
      </c>
      <c r="CA16" s="76">
        <f t="shared" si="11"/>
        <v>3.4090909090909172E-2</v>
      </c>
      <c r="CB16" s="76">
        <f t="shared" si="11"/>
        <v>0.13749999999999996</v>
      </c>
      <c r="CC16" s="90">
        <f>CC13/BX13-1</f>
        <v>9.8461538461538378E-2</v>
      </c>
      <c r="CD16" s="76">
        <f t="shared" si="11"/>
        <v>4.8780487804878092E-2</v>
      </c>
      <c r="CE16" s="76">
        <f t="shared" si="11"/>
        <v>-0.10752688172043012</v>
      </c>
      <c r="CF16" s="76">
        <f t="shared" si="11"/>
        <v>-3.2967032967032961E-2</v>
      </c>
      <c r="CG16" s="76">
        <f t="shared" si="11"/>
        <v>-6.5934065934065922E-2</v>
      </c>
      <c r="CH16" s="90">
        <f t="shared" ref="CH16:CV18" si="12">CH13/CC13-1</f>
        <v>-4.2016806722689037E-2</v>
      </c>
      <c r="CI16" s="76">
        <f t="shared" si="12"/>
        <v>-8.1395348837209336E-2</v>
      </c>
      <c r="CJ16" s="76">
        <f t="shared" si="12"/>
        <v>7.2289156626506035E-2</v>
      </c>
      <c r="CK16" s="76">
        <f t="shared" si="12"/>
        <v>-0.19318181818181823</v>
      </c>
      <c r="CL16" s="76">
        <f t="shared" si="12"/>
        <v>-0.14117647058823535</v>
      </c>
      <c r="CM16" s="90">
        <f t="shared" si="12"/>
        <v>-8.7719298245614086E-2</v>
      </c>
      <c r="CN16" s="90">
        <f t="shared" si="12"/>
        <v>-0.20253164556962022</v>
      </c>
      <c r="CO16" s="90">
        <f t="shared" si="12"/>
        <v>-0.2471910112359551</v>
      </c>
      <c r="CP16" s="90">
        <f t="shared" si="12"/>
        <v>-0.40845070422535212</v>
      </c>
      <c r="CQ16" s="90">
        <f t="shared" si="12"/>
        <v>-0.86301369863013699</v>
      </c>
      <c r="CR16" s="90">
        <f>CR13/CM13-1</f>
        <v>-0.41666666666666663</v>
      </c>
      <c r="CS16" s="90">
        <f t="shared" si="12"/>
        <v>-0.92063492063492069</v>
      </c>
      <c r="CT16" s="90">
        <f t="shared" si="12"/>
        <v>-0.91044776119402981</v>
      </c>
      <c r="CU16" s="90">
        <f t="shared" si="12"/>
        <v>-0.80952380952380953</v>
      </c>
      <c r="CV16" s="90">
        <f t="shared" si="12"/>
        <v>-1</v>
      </c>
      <c r="CW16" s="90">
        <f>CW13/CR13-1</f>
        <v>-0.89560439560439564</v>
      </c>
      <c r="CX16" s="90"/>
      <c r="CY16" s="90"/>
      <c r="CZ16" s="90"/>
      <c r="DA16" s="90"/>
      <c r="DB16" s="77"/>
      <c r="DC16" s="77"/>
      <c r="DD16" s="77"/>
      <c r="DE16" s="77"/>
      <c r="DF16" s="77"/>
      <c r="DG16" s="90"/>
      <c r="DH16" s="90"/>
      <c r="DI16" s="90"/>
      <c r="DJ16" s="90"/>
      <c r="DK16" s="90"/>
      <c r="DL16" s="188"/>
      <c r="DM16" s="188"/>
      <c r="DN16" s="188"/>
      <c r="DO16" s="188"/>
      <c r="DP16" s="188"/>
    </row>
    <row r="17" spans="1:120" x14ac:dyDescent="0.2">
      <c r="A17" s="68" t="s">
        <v>55</v>
      </c>
      <c r="G17" s="76"/>
      <c r="H17" s="76"/>
      <c r="I17" s="76"/>
      <c r="J17" s="76"/>
      <c r="K17" s="76"/>
      <c r="L17" s="76"/>
      <c r="M17" s="76"/>
      <c r="N17" s="76"/>
      <c r="O17" s="89"/>
      <c r="P17" s="89"/>
      <c r="Q17" s="90"/>
      <c r="R17" s="76"/>
      <c r="S17" s="90"/>
      <c r="T17" s="90"/>
      <c r="U17" s="89"/>
      <c r="V17" s="90"/>
      <c r="W17" s="90">
        <f t="shared" si="11"/>
        <v>2</v>
      </c>
      <c r="X17" s="90">
        <f t="shared" si="11"/>
        <v>3</v>
      </c>
      <c r="Y17" s="90">
        <f t="shared" si="11"/>
        <v>1.5</v>
      </c>
      <c r="Z17" s="76">
        <f t="shared" si="11"/>
        <v>2.5</v>
      </c>
      <c r="AA17" s="90">
        <f t="shared" si="11"/>
        <v>2</v>
      </c>
      <c r="AB17" s="90">
        <f t="shared" si="11"/>
        <v>1.3333333333333335</v>
      </c>
      <c r="AC17" s="90">
        <f t="shared" si="11"/>
        <v>1.25</v>
      </c>
      <c r="AD17" s="90">
        <f t="shared" si="11"/>
        <v>1</v>
      </c>
      <c r="AE17" s="76">
        <f t="shared" si="11"/>
        <v>1.2857142857142856</v>
      </c>
      <c r="AF17" s="90">
        <f t="shared" si="11"/>
        <v>1</v>
      </c>
      <c r="AG17" s="90">
        <f t="shared" si="11"/>
        <v>1.1428571428571428</v>
      </c>
      <c r="AH17" s="90">
        <f t="shared" si="11"/>
        <v>0.77777777777777768</v>
      </c>
      <c r="AI17" s="90">
        <f t="shared" si="11"/>
        <v>1.2000000000000002</v>
      </c>
      <c r="AJ17" s="76">
        <f t="shared" si="11"/>
        <v>1.03125</v>
      </c>
      <c r="AK17" s="90">
        <f t="shared" si="11"/>
        <v>0.58333333333333326</v>
      </c>
      <c r="AL17" s="90">
        <f t="shared" si="11"/>
        <v>0.66666666666666674</v>
      </c>
      <c r="AM17" s="90">
        <f t="shared" si="11"/>
        <v>0.5</v>
      </c>
      <c r="AN17" s="90">
        <f t="shared" si="11"/>
        <v>9.0909090909090828E-2</v>
      </c>
      <c r="AO17" s="76">
        <f t="shared" si="11"/>
        <v>0.41538461538461546</v>
      </c>
      <c r="AP17" s="90">
        <f t="shared" si="11"/>
        <v>0.31578947368421062</v>
      </c>
      <c r="AQ17" s="90">
        <f t="shared" si="11"/>
        <v>4.0000000000000036E-2</v>
      </c>
      <c r="AR17" s="90">
        <f t="shared" si="11"/>
        <v>0.29166666666666674</v>
      </c>
      <c r="AS17" s="90">
        <f t="shared" si="11"/>
        <v>0.375</v>
      </c>
      <c r="AT17" s="76">
        <f t="shared" si="11"/>
        <v>0.25</v>
      </c>
      <c r="AU17" s="90">
        <f t="shared" si="11"/>
        <v>0.28000000000000003</v>
      </c>
      <c r="AV17" s="90">
        <f t="shared" si="11"/>
        <v>0.5</v>
      </c>
      <c r="AW17" s="90">
        <f t="shared" si="11"/>
        <v>0</v>
      </c>
      <c r="AX17" s="90">
        <f t="shared" si="11"/>
        <v>0.36363636363636354</v>
      </c>
      <c r="AY17" s="76">
        <f t="shared" si="11"/>
        <v>0.27826086956521734</v>
      </c>
      <c r="AZ17" s="90">
        <f t="shared" si="11"/>
        <v>0.125</v>
      </c>
      <c r="BA17" s="90">
        <f t="shared" si="11"/>
        <v>0.53846153846153855</v>
      </c>
      <c r="BB17" s="90">
        <f t="shared" si="11"/>
        <v>0.22580645161290325</v>
      </c>
      <c r="BC17" s="90">
        <f t="shared" si="11"/>
        <v>2.2222222222222143E-2</v>
      </c>
      <c r="BD17" s="76">
        <f t="shared" si="11"/>
        <v>0.22448979591836737</v>
      </c>
      <c r="BE17" s="76">
        <f t="shared" si="11"/>
        <v>8.3333333333333259E-2</v>
      </c>
      <c r="BF17" s="76">
        <f t="shared" si="11"/>
        <v>0.21666666666666656</v>
      </c>
      <c r="BG17" s="76">
        <f t="shared" si="11"/>
        <v>0.15789473684210531</v>
      </c>
      <c r="BH17" s="76">
        <f t="shared" si="11"/>
        <v>0.23913043478260865</v>
      </c>
      <c r="BI17" s="90">
        <f t="shared" si="11"/>
        <v>0.18333333333333335</v>
      </c>
      <c r="BJ17" s="76">
        <f t="shared" si="11"/>
        <v>0.28205128205128216</v>
      </c>
      <c r="BK17" s="76">
        <f t="shared" si="11"/>
        <v>-0.16438356164383561</v>
      </c>
      <c r="BL17" s="76">
        <f t="shared" si="11"/>
        <v>0.11363636363636354</v>
      </c>
      <c r="BM17" s="76">
        <f t="shared" si="11"/>
        <v>-5.2631578947368474E-2</v>
      </c>
      <c r="BN17" s="90">
        <f>BN14/BI14-1</f>
        <v>4.6948356807512415E-3</v>
      </c>
      <c r="BO17" s="76">
        <f t="shared" si="11"/>
        <v>4.0000000000000036E-2</v>
      </c>
      <c r="BP17" s="76">
        <f t="shared" si="11"/>
        <v>8.1967213114754189E-2</v>
      </c>
      <c r="BQ17" s="76">
        <f t="shared" si="11"/>
        <v>0.14285714285714279</v>
      </c>
      <c r="BR17" s="76">
        <f t="shared" si="11"/>
        <v>0.2407407407407407</v>
      </c>
      <c r="BS17" s="90">
        <f>BS14/BN14-1</f>
        <v>0.12616822429906538</v>
      </c>
      <c r="BT17" s="76">
        <f t="shared" si="11"/>
        <v>-0.17307692307692313</v>
      </c>
      <c r="BU17" s="76">
        <f t="shared" si="11"/>
        <v>-0.16666666666666663</v>
      </c>
      <c r="BV17" s="76">
        <f t="shared" si="11"/>
        <v>-5.3571428571428603E-2</v>
      </c>
      <c r="BW17" s="76">
        <f t="shared" si="11"/>
        <v>-0.11940298507462688</v>
      </c>
      <c r="BX17" s="90">
        <f>BX14/BS14-1</f>
        <v>-0.12863070539419086</v>
      </c>
      <c r="BY17" s="76">
        <f t="shared" si="11"/>
        <v>2.3255813953488413E-2</v>
      </c>
      <c r="BZ17" s="76">
        <f t="shared" si="11"/>
        <v>-9.0909090909090939E-2</v>
      </c>
      <c r="CA17" s="76">
        <f t="shared" si="11"/>
        <v>-0.13207547169811318</v>
      </c>
      <c r="CB17" s="76">
        <f t="shared" si="11"/>
        <v>-0.10169491525423724</v>
      </c>
      <c r="CC17" s="90">
        <f>CC14/BX14-1</f>
        <v>-8.0952380952380998E-2</v>
      </c>
      <c r="CD17" s="76">
        <f t="shared" si="11"/>
        <v>6.8181818181818121E-2</v>
      </c>
      <c r="CE17" s="76">
        <f t="shared" si="11"/>
        <v>0.19999999999999996</v>
      </c>
      <c r="CF17" s="76">
        <f t="shared" si="11"/>
        <v>6.5217391304347894E-2</v>
      </c>
      <c r="CG17" s="76">
        <f t="shared" si="11"/>
        <v>9.4339622641509413E-2</v>
      </c>
      <c r="CH17" s="90">
        <f t="shared" si="12"/>
        <v>0.10880829015544036</v>
      </c>
      <c r="CI17" s="76">
        <f t="shared" si="12"/>
        <v>-2.1276595744680882E-2</v>
      </c>
      <c r="CJ17" s="76">
        <f t="shared" si="12"/>
        <v>-1.6666666666666718E-2</v>
      </c>
      <c r="CK17" s="76">
        <f t="shared" si="12"/>
        <v>6.1224489795918435E-2</v>
      </c>
      <c r="CL17" s="76">
        <f t="shared" si="12"/>
        <v>-8.6206896551724088E-2</v>
      </c>
      <c r="CM17" s="90">
        <f t="shared" si="12"/>
        <v>-1.8691588785046731E-2</v>
      </c>
      <c r="CN17" s="90">
        <f t="shared" si="12"/>
        <v>0.15217391304347827</v>
      </c>
      <c r="CO17" s="90">
        <f t="shared" si="12"/>
        <v>-8.4745762711864403E-2</v>
      </c>
      <c r="CP17" s="90">
        <f t="shared" si="12"/>
        <v>7.6923076923076872E-2</v>
      </c>
      <c r="CQ17" s="90">
        <f t="shared" si="12"/>
        <v>-0.20754716981132071</v>
      </c>
      <c r="CR17" s="90">
        <f>CR14/CM14-1</f>
        <v>-2.3809523809523836E-2</v>
      </c>
      <c r="CS17" s="90">
        <f t="shared" si="12"/>
        <v>-0.28301886792452835</v>
      </c>
      <c r="CT17" s="90">
        <f t="shared" si="12"/>
        <v>-0.5</v>
      </c>
      <c r="CU17" s="90">
        <f t="shared" si="12"/>
        <v>-0.4464285714285714</v>
      </c>
      <c r="CV17" s="90">
        <f t="shared" si="12"/>
        <v>-0.26190476190476186</v>
      </c>
      <c r="CW17" s="90">
        <f>CW14/CR14-1</f>
        <v>-0.38048780487804879</v>
      </c>
      <c r="CX17" s="90"/>
      <c r="CY17" s="90"/>
      <c r="CZ17" s="90"/>
      <c r="DA17" s="90"/>
      <c r="DB17" s="77"/>
      <c r="DC17" s="77"/>
      <c r="DD17" s="77"/>
      <c r="DE17" s="77"/>
      <c r="DF17" s="77"/>
      <c r="DG17" s="90"/>
      <c r="DH17" s="90"/>
      <c r="DI17" s="90"/>
      <c r="DJ17" s="90"/>
      <c r="DK17" s="90"/>
      <c r="DL17" s="188"/>
      <c r="DM17" s="188"/>
      <c r="DN17" s="188"/>
      <c r="DO17" s="188"/>
      <c r="DP17" s="188"/>
    </row>
    <row r="18" spans="1:120" x14ac:dyDescent="0.2">
      <c r="A18" s="78" t="s">
        <v>56</v>
      </c>
      <c r="B18" s="79"/>
      <c r="C18" s="79"/>
      <c r="D18" s="79"/>
      <c r="E18" s="79"/>
      <c r="F18" s="79"/>
      <c r="G18" s="80"/>
      <c r="H18" s="80"/>
      <c r="I18" s="80"/>
      <c r="J18" s="80"/>
      <c r="K18" s="80"/>
      <c r="L18" s="80"/>
      <c r="M18" s="80"/>
      <c r="N18" s="80"/>
      <c r="O18" s="80"/>
      <c r="P18" s="80"/>
      <c r="Q18" s="80"/>
      <c r="R18" s="80"/>
      <c r="S18" s="80"/>
      <c r="T18" s="80"/>
      <c r="U18" s="80"/>
      <c r="V18" s="80">
        <f>V15/Q15-1</f>
        <v>2</v>
      </c>
      <c r="W18" s="80">
        <f t="shared" si="11"/>
        <v>1.3333333333333335</v>
      </c>
      <c r="X18" s="80">
        <f t="shared" si="11"/>
        <v>0.71428571428571419</v>
      </c>
      <c r="Y18" s="80">
        <f t="shared" si="11"/>
        <v>0.61111111111111116</v>
      </c>
      <c r="Z18" s="80">
        <f t="shared" si="11"/>
        <v>0.87234042553191493</v>
      </c>
      <c r="AA18" s="80">
        <f t="shared" si="11"/>
        <v>0.33333333333333326</v>
      </c>
      <c r="AB18" s="80">
        <f t="shared" si="11"/>
        <v>0.5714285714285714</v>
      </c>
      <c r="AC18" s="80">
        <f t="shared" si="11"/>
        <v>0.70833333333333326</v>
      </c>
      <c r="AD18" s="80">
        <f t="shared" si="11"/>
        <v>0.2068965517241379</v>
      </c>
      <c r="AE18" s="80">
        <f t="shared" si="11"/>
        <v>0.48863636363636354</v>
      </c>
      <c r="AF18" s="80">
        <f t="shared" si="11"/>
        <v>1</v>
      </c>
      <c r="AG18" s="80">
        <f t="shared" si="11"/>
        <v>0.42424242424242431</v>
      </c>
      <c r="AH18" s="80">
        <f t="shared" si="11"/>
        <v>0.19512195121951215</v>
      </c>
      <c r="AI18" s="80">
        <f t="shared" si="11"/>
        <v>0.71428571428571419</v>
      </c>
      <c r="AJ18" s="80">
        <f t="shared" si="11"/>
        <v>0.55725190839694649</v>
      </c>
      <c r="AK18" s="80">
        <f t="shared" si="11"/>
        <v>0.22916666666666674</v>
      </c>
      <c r="AL18" s="80">
        <f t="shared" si="11"/>
        <v>0.4042553191489362</v>
      </c>
      <c r="AM18" s="80">
        <f t="shared" si="11"/>
        <v>0.38775510204081631</v>
      </c>
      <c r="AN18" s="80">
        <f t="shared" si="11"/>
        <v>0.18333333333333335</v>
      </c>
      <c r="AO18" s="80">
        <f t="shared" si="11"/>
        <v>0.29411764705882359</v>
      </c>
      <c r="AP18" s="80">
        <f t="shared" si="11"/>
        <v>0.16949152542372881</v>
      </c>
      <c r="AQ18" s="80">
        <f t="shared" si="11"/>
        <v>0.16666666666666674</v>
      </c>
      <c r="AR18" s="80">
        <f t="shared" si="11"/>
        <v>0.20588235294117641</v>
      </c>
      <c r="AS18" s="80">
        <f t="shared" si="11"/>
        <v>0.23943661971830976</v>
      </c>
      <c r="AT18" s="80">
        <f t="shared" si="11"/>
        <v>0.19696969696969702</v>
      </c>
      <c r="AU18" s="80">
        <f t="shared" si="11"/>
        <v>0.18840579710144922</v>
      </c>
      <c r="AV18" s="80">
        <f t="shared" si="11"/>
        <v>0.20779220779220786</v>
      </c>
      <c r="AW18" s="80">
        <f t="shared" si="11"/>
        <v>0.10975609756097571</v>
      </c>
      <c r="AX18" s="80">
        <f t="shared" si="11"/>
        <v>0.25</v>
      </c>
      <c r="AY18" s="80">
        <f t="shared" si="11"/>
        <v>0.18987341772151889</v>
      </c>
      <c r="AZ18" s="80">
        <f t="shared" si="11"/>
        <v>6.0975609756097615E-2</v>
      </c>
      <c r="BA18" s="80">
        <f t="shared" si="11"/>
        <v>0.29032258064516125</v>
      </c>
      <c r="BB18" s="80">
        <f t="shared" si="11"/>
        <v>7.6923076923076872E-2</v>
      </c>
      <c r="BC18" s="80">
        <f t="shared" si="11"/>
        <v>3.6363636363636376E-2</v>
      </c>
      <c r="BD18" s="80">
        <f t="shared" si="11"/>
        <v>0.1143617021276595</v>
      </c>
      <c r="BE18" s="80">
        <f t="shared" si="11"/>
        <v>0.17241379310344818</v>
      </c>
      <c r="BF18" s="80">
        <f t="shared" si="11"/>
        <v>0.21666666666666656</v>
      </c>
      <c r="BG18" s="80">
        <f>BG15/BB15-1</f>
        <v>0.13265306122448983</v>
      </c>
      <c r="BH18" s="80">
        <f>BH15/BC15-1</f>
        <v>0.14912280701754388</v>
      </c>
      <c r="BI18" s="80">
        <f t="shared" si="11"/>
        <v>0.16945107398568027</v>
      </c>
      <c r="BJ18" s="80">
        <f t="shared" si="11"/>
        <v>0.13725490196078427</v>
      </c>
      <c r="BK18" s="91">
        <f>BK15/BF15-1</f>
        <v>-7.5342465753424626E-2</v>
      </c>
      <c r="BL18" s="91">
        <f>BL15/BG15-1</f>
        <v>9.9099099099099197E-2</v>
      </c>
      <c r="BM18" s="91">
        <f>BM15/BH15-1</f>
        <v>2.2900763358778553E-2</v>
      </c>
      <c r="BN18" s="80">
        <f>BN15/BI15-1</f>
        <v>3.469387755102038E-2</v>
      </c>
      <c r="BO18" s="80">
        <f>BO15/BJ15-1</f>
        <v>5.1724137931034475E-2</v>
      </c>
      <c r="BP18" s="91">
        <f>BP15/BK15-1</f>
        <v>6.6666666666666652E-2</v>
      </c>
      <c r="BQ18" s="91">
        <f>BQ15/BL15-1</f>
        <v>0.11475409836065564</v>
      </c>
      <c r="BR18" s="91">
        <f>BR15/BM15-1</f>
        <v>0.12686567164179108</v>
      </c>
      <c r="BS18" s="80">
        <f>BS15/BN15-1</f>
        <v>9.0729783037475364E-2</v>
      </c>
      <c r="BT18" s="80">
        <f>BT15/BO15-1</f>
        <v>-8.1967213114754189E-3</v>
      </c>
      <c r="BU18" s="80">
        <f>BU15/BP15-1</f>
        <v>-6.944444444444442E-2</v>
      </c>
      <c r="BV18" s="91">
        <f>BV15/BQ15-1</f>
        <v>3.6764705882353033E-2</v>
      </c>
      <c r="BW18" s="91">
        <f>BW15/BR15-1</f>
        <v>-7.9470198675496651E-2</v>
      </c>
      <c r="BX18" s="80">
        <f>BX15/BS15-1</f>
        <v>-3.2549728752260365E-2</v>
      </c>
      <c r="BY18" s="80">
        <f>BY15/BT15-1</f>
        <v>4.1322314049586861E-2</v>
      </c>
      <c r="BZ18" s="80">
        <f>BZ15/BU15-1</f>
        <v>6.7164179104477695E-2</v>
      </c>
      <c r="CA18" s="80">
        <f>CA15/BV15-1</f>
        <v>-2.8368794326241176E-2</v>
      </c>
      <c r="CB18" s="80">
        <f>CB15/BW15-1</f>
        <v>3.5971223021582732E-2</v>
      </c>
      <c r="CC18" s="80">
        <f>CC15/BX15-1</f>
        <v>2.8037383177569986E-2</v>
      </c>
      <c r="CD18" s="80">
        <f>CD15/BY15-1</f>
        <v>5.555555555555558E-2</v>
      </c>
      <c r="CE18" s="80">
        <f>CE15/BZ15-1</f>
        <v>0</v>
      </c>
      <c r="CF18" s="80">
        <f>CF15/CA15-1</f>
        <v>0</v>
      </c>
      <c r="CG18" s="80">
        <f>CG15/CB15-1</f>
        <v>-6.9444444444444198E-3</v>
      </c>
      <c r="CH18" s="80">
        <f t="shared" si="12"/>
        <v>1.0909090909090979E-2</v>
      </c>
      <c r="CI18" s="83">
        <f t="shared" si="12"/>
        <v>-6.0150375939849621E-2</v>
      </c>
      <c r="CJ18" s="83">
        <f t="shared" si="12"/>
        <v>3.4965034965035002E-2</v>
      </c>
      <c r="CK18" s="83">
        <f t="shared" si="12"/>
        <v>-0.1021897810218978</v>
      </c>
      <c r="CL18" s="83">
        <f t="shared" si="12"/>
        <v>-0.11888111888111885</v>
      </c>
      <c r="CM18" s="80">
        <f t="shared" si="12"/>
        <v>-6.11510791366906E-2</v>
      </c>
      <c r="CN18" s="80">
        <f t="shared" si="12"/>
        <v>-6.3999999999999946E-2</v>
      </c>
      <c r="CO18" s="80">
        <f t="shared" si="12"/>
        <v>-0.18243243243243246</v>
      </c>
      <c r="CP18" s="80">
        <f t="shared" si="12"/>
        <v>-0.2032520325203252</v>
      </c>
      <c r="CQ18" s="80">
        <f t="shared" si="12"/>
        <v>-0.57936507936507931</v>
      </c>
      <c r="CR18" s="80">
        <f>CR15/CM15-1</f>
        <v>-0.25862068965517238</v>
      </c>
      <c r="CS18" s="80">
        <f t="shared" si="12"/>
        <v>-0.63247863247863245</v>
      </c>
      <c r="CT18" s="80">
        <f t="shared" si="12"/>
        <v>-0.72727272727272729</v>
      </c>
      <c r="CU18" s="80">
        <f t="shared" si="12"/>
        <v>-0.60204081632653061</v>
      </c>
      <c r="CV18" s="80">
        <f t="shared" si="12"/>
        <v>-0.41509433962264153</v>
      </c>
      <c r="CW18" s="80">
        <f>CW15/CR15-1</f>
        <v>-0.62273901808785537</v>
      </c>
      <c r="CX18" s="80"/>
      <c r="CY18" s="80"/>
      <c r="CZ18" s="80"/>
      <c r="DA18" s="80"/>
      <c r="DB18" s="84"/>
      <c r="DC18" s="84"/>
      <c r="DD18" s="84"/>
      <c r="DE18" s="84"/>
      <c r="DF18" s="84"/>
      <c r="DG18" s="80"/>
      <c r="DH18" s="80"/>
      <c r="DI18" s="80"/>
      <c r="DJ18" s="80"/>
      <c r="DK18" s="80"/>
      <c r="DL18" s="189"/>
      <c r="DM18" s="189"/>
      <c r="DN18" s="189"/>
      <c r="DO18" s="189"/>
      <c r="DP18" s="189"/>
    </row>
    <row r="19" spans="1:120" x14ac:dyDescent="0.2">
      <c r="A19" s="36" t="s">
        <v>60</v>
      </c>
      <c r="G19" s="67"/>
      <c r="H19" s="67"/>
      <c r="I19" s="67"/>
      <c r="J19" s="67"/>
      <c r="K19" s="67"/>
      <c r="L19" s="67"/>
      <c r="M19" s="67"/>
      <c r="N19" s="67"/>
      <c r="O19" s="92"/>
      <c r="P19" s="67"/>
      <c r="Q19" s="92"/>
      <c r="R19" s="92"/>
      <c r="S19" s="92"/>
      <c r="T19" s="92"/>
      <c r="U19" s="93"/>
      <c r="V19" s="93"/>
      <c r="W19" s="93"/>
      <c r="X19" s="93"/>
      <c r="Y19" s="93"/>
      <c r="Z19" s="93"/>
      <c r="AA19" s="93"/>
      <c r="AB19" s="93"/>
      <c r="AC19" s="93"/>
      <c r="AD19" s="93"/>
      <c r="AE19" s="94"/>
      <c r="AF19" s="93"/>
      <c r="AG19" s="93"/>
      <c r="AH19" s="93"/>
      <c r="AI19" s="93"/>
      <c r="AJ19" s="94"/>
      <c r="AK19" s="93"/>
      <c r="AL19" s="93"/>
      <c r="AM19" s="93"/>
      <c r="AN19" s="93"/>
      <c r="AO19" s="94"/>
      <c r="AP19" s="93"/>
      <c r="AQ19" s="93"/>
      <c r="AR19" s="93"/>
      <c r="AS19" s="93"/>
      <c r="AT19" s="94"/>
      <c r="AU19" s="94"/>
      <c r="AV19" s="94"/>
      <c r="AW19" s="94"/>
      <c r="AX19" s="94"/>
      <c r="AY19" s="94"/>
      <c r="AZ19" s="94"/>
      <c r="BA19" s="94"/>
      <c r="BB19" s="94"/>
      <c r="BC19" s="94"/>
      <c r="BD19" s="67"/>
      <c r="BE19" s="67"/>
      <c r="BF19" s="67"/>
      <c r="BG19" s="95"/>
      <c r="BH19" s="95"/>
      <c r="BI19" s="67"/>
      <c r="BJ19" s="67"/>
      <c r="BK19" s="67"/>
      <c r="BL19" s="95"/>
      <c r="BM19" s="95"/>
      <c r="BN19" s="67"/>
      <c r="BO19" s="67"/>
      <c r="BP19" s="67"/>
      <c r="BQ19" s="95"/>
      <c r="BR19" s="95"/>
      <c r="BS19" s="67"/>
      <c r="BT19" s="67"/>
      <c r="BU19" s="67"/>
      <c r="BV19" s="95"/>
      <c r="BW19" s="95"/>
      <c r="BX19" s="67"/>
      <c r="BY19" s="67"/>
      <c r="BZ19" s="67"/>
      <c r="CA19" s="95"/>
      <c r="CB19" s="95"/>
      <c r="CC19" s="67"/>
      <c r="CD19" s="67"/>
      <c r="CE19" s="67"/>
      <c r="CF19" s="95"/>
      <c r="CG19" s="95"/>
      <c r="CH19" s="67"/>
      <c r="CI19" s="67"/>
      <c r="CJ19" s="67"/>
      <c r="CK19" s="67"/>
      <c r="CL19" s="69"/>
      <c r="CM19" s="69"/>
      <c r="CN19" s="36">
        <v>50</v>
      </c>
      <c r="CO19" s="36">
        <v>66</v>
      </c>
      <c r="CP19" s="36">
        <v>71</v>
      </c>
      <c r="CQ19" s="36">
        <v>82</v>
      </c>
      <c r="CR19" s="36">
        <f>SUM(CN19:CQ19)</f>
        <v>269</v>
      </c>
      <c r="CS19" s="36">
        <v>85</v>
      </c>
      <c r="CT19" s="36">
        <v>105</v>
      </c>
      <c r="CU19" s="36">
        <v>107</v>
      </c>
      <c r="CV19" s="36">
        <v>120</v>
      </c>
      <c r="CW19" s="96">
        <f t="shared" ref="CW19:CW24" si="13">SUM(CS19:CV19)</f>
        <v>417</v>
      </c>
      <c r="CX19" s="36">
        <v>118</v>
      </c>
      <c r="CY19" s="36">
        <v>124</v>
      </c>
      <c r="CZ19" s="36">
        <v>129</v>
      </c>
      <c r="DA19" s="36">
        <v>144</v>
      </c>
      <c r="DB19" s="96">
        <f t="shared" ref="DB19:DB24" si="14">SUM(CX19:DA19)</f>
        <v>515</v>
      </c>
      <c r="DC19" s="96">
        <v>141</v>
      </c>
      <c r="DD19" s="96">
        <v>143</v>
      </c>
      <c r="DE19" s="96">
        <v>144</v>
      </c>
      <c r="DF19" s="96">
        <v>157</v>
      </c>
      <c r="DG19" s="96">
        <f t="shared" ref="DG19:DG24" si="15">SUM(DC19:DF19)</f>
        <v>585</v>
      </c>
      <c r="DH19" s="96">
        <v>160</v>
      </c>
      <c r="DI19" s="96">
        <v>170</v>
      </c>
      <c r="DJ19" s="96">
        <v>170</v>
      </c>
      <c r="DK19" s="96">
        <v>180</v>
      </c>
      <c r="DL19" s="190">
        <f t="shared" ref="DL19:DL24" si="16">SUM(DH19:DK19)</f>
        <v>680</v>
      </c>
      <c r="DM19" s="190">
        <v>725.85902331</v>
      </c>
      <c r="DN19" s="190">
        <v>754.89338424239997</v>
      </c>
      <c r="DO19" s="190">
        <v>615.24734544000012</v>
      </c>
      <c r="DP19" s="190">
        <v>633.70476580320019</v>
      </c>
    </row>
    <row r="20" spans="1:120" x14ac:dyDescent="0.2">
      <c r="A20" s="36" t="s">
        <v>61</v>
      </c>
      <c r="G20" s="67"/>
      <c r="H20" s="67"/>
      <c r="I20" s="67"/>
      <c r="J20" s="67"/>
      <c r="K20" s="67"/>
      <c r="L20" s="67"/>
      <c r="M20" s="67"/>
      <c r="N20" s="67"/>
      <c r="O20" s="92"/>
      <c r="P20" s="67"/>
      <c r="Q20" s="92"/>
      <c r="R20" s="92"/>
      <c r="S20" s="92"/>
      <c r="T20" s="92"/>
      <c r="U20" s="93"/>
      <c r="V20" s="93"/>
      <c r="W20" s="93"/>
      <c r="X20" s="93"/>
      <c r="Y20" s="93"/>
      <c r="Z20" s="93"/>
      <c r="AA20" s="93"/>
      <c r="AB20" s="93"/>
      <c r="AC20" s="93"/>
      <c r="AD20" s="93"/>
      <c r="AE20" s="94"/>
      <c r="AF20" s="93"/>
      <c r="AG20" s="93"/>
      <c r="AH20" s="93"/>
      <c r="AI20" s="93"/>
      <c r="AJ20" s="94"/>
      <c r="AK20" s="93"/>
      <c r="AL20" s="93"/>
      <c r="AM20" s="93"/>
      <c r="AN20" s="93"/>
      <c r="AO20" s="94"/>
      <c r="AP20" s="93"/>
      <c r="AQ20" s="93"/>
      <c r="AR20" s="93"/>
      <c r="AS20" s="93"/>
      <c r="AT20" s="94"/>
      <c r="AU20" s="94"/>
      <c r="AV20" s="94"/>
      <c r="AW20" s="94"/>
      <c r="AX20" s="94"/>
      <c r="AY20" s="94"/>
      <c r="AZ20" s="94"/>
      <c r="BA20" s="94"/>
      <c r="BB20" s="94"/>
      <c r="BC20" s="94"/>
      <c r="BD20" s="67"/>
      <c r="BE20" s="67"/>
      <c r="BF20" s="67"/>
      <c r="BG20" s="95"/>
      <c r="BH20" s="95"/>
      <c r="BI20" s="67"/>
      <c r="BJ20" s="67"/>
      <c r="BK20" s="67"/>
      <c r="BL20" s="95"/>
      <c r="BM20" s="95"/>
      <c r="BN20" s="67"/>
      <c r="BO20" s="67"/>
      <c r="BP20" s="67"/>
      <c r="BQ20" s="95"/>
      <c r="BR20" s="95"/>
      <c r="BS20" s="67"/>
      <c r="BT20" s="67"/>
      <c r="BU20" s="67"/>
      <c r="BV20" s="95"/>
      <c r="BW20" s="95"/>
      <c r="BX20" s="67"/>
      <c r="BY20" s="67"/>
      <c r="BZ20" s="67"/>
      <c r="CA20" s="95"/>
      <c r="CB20" s="95"/>
      <c r="CC20" s="67"/>
      <c r="CD20" s="67"/>
      <c r="CE20" s="67"/>
      <c r="CF20" s="95"/>
      <c r="CG20" s="95"/>
      <c r="CH20" s="67"/>
      <c r="CI20" s="67"/>
      <c r="CJ20" s="67"/>
      <c r="CK20" s="67"/>
      <c r="CL20" s="69"/>
      <c r="CM20" s="69"/>
      <c r="CN20" s="36">
        <v>29</v>
      </c>
      <c r="CO20" s="36">
        <v>45</v>
      </c>
      <c r="CP20" s="36">
        <v>53</v>
      </c>
      <c r="CQ20" s="36">
        <v>49</v>
      </c>
      <c r="CR20" s="36">
        <f>SUM(CN20:CQ20)</f>
        <v>176</v>
      </c>
      <c r="CS20" s="36">
        <v>60</v>
      </c>
      <c r="CT20" s="36">
        <v>73</v>
      </c>
      <c r="CU20" s="36">
        <v>89</v>
      </c>
      <c r="CV20" s="36">
        <v>85</v>
      </c>
      <c r="CW20" s="96">
        <f t="shared" si="13"/>
        <v>307</v>
      </c>
      <c r="CX20" s="36">
        <v>110</v>
      </c>
      <c r="CY20" s="36">
        <v>124</v>
      </c>
      <c r="CZ20" s="36">
        <v>117</v>
      </c>
      <c r="DA20" s="36">
        <v>123</v>
      </c>
      <c r="DB20" s="96">
        <f t="shared" si="14"/>
        <v>474</v>
      </c>
      <c r="DC20" s="96">
        <v>125</v>
      </c>
      <c r="DD20" s="96">
        <v>132</v>
      </c>
      <c r="DE20" s="96">
        <v>140</v>
      </c>
      <c r="DF20" s="96">
        <v>135</v>
      </c>
      <c r="DG20" s="96">
        <f t="shared" si="15"/>
        <v>532</v>
      </c>
      <c r="DH20" s="96">
        <v>140</v>
      </c>
      <c r="DI20" s="96">
        <v>145</v>
      </c>
      <c r="DJ20" s="96">
        <v>150</v>
      </c>
      <c r="DK20" s="96">
        <v>155</v>
      </c>
      <c r="DL20" s="190">
        <f t="shared" si="16"/>
        <v>590</v>
      </c>
      <c r="DM20" s="190">
        <v>810</v>
      </c>
      <c r="DN20" s="190">
        <v>876.82082223959992</v>
      </c>
      <c r="DO20" s="190">
        <v>894.289402300392</v>
      </c>
      <c r="DP20" s="190">
        <v>908.842632487272</v>
      </c>
    </row>
    <row r="21" spans="1:120" x14ac:dyDescent="0.2">
      <c r="A21" s="97" t="s">
        <v>62</v>
      </c>
      <c r="B21" s="98"/>
      <c r="C21" s="98"/>
      <c r="D21" s="98"/>
      <c r="E21" s="98"/>
      <c r="F21" s="98"/>
      <c r="G21" s="83"/>
      <c r="H21" s="83"/>
      <c r="I21" s="83"/>
      <c r="J21" s="83"/>
      <c r="K21" s="83"/>
      <c r="L21" s="83"/>
      <c r="M21" s="83"/>
      <c r="N21" s="83"/>
      <c r="O21" s="99"/>
      <c r="P21" s="83"/>
      <c r="Q21" s="99"/>
      <c r="R21" s="99"/>
      <c r="S21" s="99"/>
      <c r="T21" s="99"/>
      <c r="U21" s="100"/>
      <c r="V21" s="100"/>
      <c r="W21" s="100"/>
      <c r="X21" s="100"/>
      <c r="Y21" s="100"/>
      <c r="Z21" s="100"/>
      <c r="AA21" s="100"/>
      <c r="AB21" s="100"/>
      <c r="AC21" s="100"/>
      <c r="AD21" s="100"/>
      <c r="AE21" s="101"/>
      <c r="AF21" s="100"/>
      <c r="AG21" s="100"/>
      <c r="AH21" s="100"/>
      <c r="AI21" s="100"/>
      <c r="AJ21" s="101"/>
      <c r="AK21" s="100"/>
      <c r="AL21" s="100"/>
      <c r="AM21" s="100"/>
      <c r="AN21" s="100"/>
      <c r="AO21" s="101"/>
      <c r="AP21" s="100"/>
      <c r="AQ21" s="100"/>
      <c r="AR21" s="100"/>
      <c r="AS21" s="100"/>
      <c r="AT21" s="101"/>
      <c r="AU21" s="101"/>
      <c r="AV21" s="101"/>
      <c r="AW21" s="101"/>
      <c r="AX21" s="101"/>
      <c r="AY21" s="101"/>
      <c r="AZ21" s="101"/>
      <c r="BA21" s="101"/>
      <c r="BB21" s="101"/>
      <c r="BC21" s="101"/>
      <c r="BD21" s="83"/>
      <c r="BE21" s="83"/>
      <c r="BF21" s="83"/>
      <c r="BG21" s="102"/>
      <c r="BH21" s="102"/>
      <c r="BI21" s="83"/>
      <c r="BJ21" s="83"/>
      <c r="BK21" s="83"/>
      <c r="BL21" s="102"/>
      <c r="BM21" s="102"/>
      <c r="BN21" s="83"/>
      <c r="BO21" s="83"/>
      <c r="BP21" s="83"/>
      <c r="BQ21" s="102"/>
      <c r="BR21" s="102"/>
      <c r="BS21" s="83"/>
      <c r="BT21" s="83"/>
      <c r="BU21" s="83"/>
      <c r="BV21" s="102"/>
      <c r="BW21" s="102"/>
      <c r="BX21" s="83"/>
      <c r="BY21" s="83"/>
      <c r="BZ21" s="83"/>
      <c r="CA21" s="102"/>
      <c r="CB21" s="102"/>
      <c r="CC21" s="83"/>
      <c r="CD21" s="83"/>
      <c r="CE21" s="83"/>
      <c r="CF21" s="102"/>
      <c r="CG21" s="102"/>
      <c r="CH21" s="83"/>
      <c r="CI21" s="83"/>
      <c r="CJ21" s="83"/>
      <c r="CK21" s="83"/>
      <c r="CL21" s="80"/>
      <c r="CM21" s="80"/>
      <c r="CN21" s="97">
        <f t="shared" ref="CN21:CU21" si="17">CN20+CN19</f>
        <v>79</v>
      </c>
      <c r="CO21" s="97">
        <f t="shared" si="17"/>
        <v>111</v>
      </c>
      <c r="CP21" s="97">
        <f t="shared" si="17"/>
        <v>124</v>
      </c>
      <c r="CQ21" s="97">
        <f>CQ20+CQ19+1</f>
        <v>132</v>
      </c>
      <c r="CR21" s="97">
        <f t="shared" si="17"/>
        <v>445</v>
      </c>
      <c r="CS21" s="97">
        <f t="shared" si="17"/>
        <v>145</v>
      </c>
      <c r="CT21" s="97">
        <f t="shared" si="17"/>
        <v>178</v>
      </c>
      <c r="CU21" s="97">
        <f t="shared" si="17"/>
        <v>196</v>
      </c>
      <c r="CV21" s="97">
        <f>CV20+CV19+1</f>
        <v>206</v>
      </c>
      <c r="CW21" s="103">
        <f t="shared" si="13"/>
        <v>725</v>
      </c>
      <c r="CX21" s="97">
        <f>SUM(CX19:CX20)</f>
        <v>228</v>
      </c>
      <c r="CY21" s="97">
        <f>SUM(CY19:CY20)</f>
        <v>248</v>
      </c>
      <c r="CZ21" s="97">
        <f>SUM(CZ19:CZ20)</f>
        <v>246</v>
      </c>
      <c r="DA21" s="97">
        <f>SUM(DA19:DA20)</f>
        <v>267</v>
      </c>
      <c r="DB21" s="103">
        <f t="shared" si="14"/>
        <v>989</v>
      </c>
      <c r="DC21" s="103">
        <f>DC20+DC19</f>
        <v>266</v>
      </c>
      <c r="DD21" s="103">
        <f>DD20+DD19</f>
        <v>275</v>
      </c>
      <c r="DE21" s="103">
        <f>DE20+DE19</f>
        <v>284</v>
      </c>
      <c r="DF21" s="103">
        <f>DF20+DF19</f>
        <v>292</v>
      </c>
      <c r="DG21" s="103">
        <f t="shared" si="15"/>
        <v>1117</v>
      </c>
      <c r="DH21" s="103">
        <f>DH20+DH19</f>
        <v>300</v>
      </c>
      <c r="DI21" s="103">
        <f>DI20+DI19</f>
        <v>315</v>
      </c>
      <c r="DJ21" s="103">
        <f>DJ20+DJ19</f>
        <v>320</v>
      </c>
      <c r="DK21" s="103">
        <f>DK20+DK19</f>
        <v>335</v>
      </c>
      <c r="DL21" s="191">
        <f t="shared" si="16"/>
        <v>1270</v>
      </c>
      <c r="DM21" s="191">
        <f t="shared" ref="DM21:DP21" si="18">DM20+DM19</f>
        <v>1535.8590233099999</v>
      </c>
      <c r="DN21" s="191">
        <f t="shared" si="18"/>
        <v>1631.714206482</v>
      </c>
      <c r="DO21" s="191">
        <f t="shared" si="18"/>
        <v>1509.536747740392</v>
      </c>
      <c r="DP21" s="191">
        <f t="shared" si="18"/>
        <v>1542.5473982904723</v>
      </c>
    </row>
    <row r="22" spans="1:120" x14ac:dyDescent="0.2">
      <c r="A22" s="36" t="s">
        <v>63</v>
      </c>
      <c r="G22" s="67"/>
      <c r="H22" s="67"/>
      <c r="I22" s="67"/>
      <c r="J22" s="67"/>
      <c r="K22" s="67"/>
      <c r="L22" s="67"/>
      <c r="M22" s="67"/>
      <c r="N22" s="67"/>
      <c r="O22" s="92"/>
      <c r="P22" s="67"/>
      <c r="Q22" s="92"/>
      <c r="R22" s="92"/>
      <c r="S22" s="92"/>
      <c r="T22" s="92"/>
      <c r="U22" s="93"/>
      <c r="V22" s="93"/>
      <c r="W22" s="93"/>
      <c r="X22" s="93"/>
      <c r="Y22" s="93"/>
      <c r="Z22" s="93"/>
      <c r="AA22" s="93"/>
      <c r="AB22" s="93"/>
      <c r="AC22" s="93"/>
      <c r="AD22" s="93"/>
      <c r="AE22" s="94"/>
      <c r="AF22" s="93"/>
      <c r="AG22" s="93"/>
      <c r="AH22" s="93"/>
      <c r="AI22" s="93"/>
      <c r="AJ22" s="94"/>
      <c r="AK22" s="93"/>
      <c r="AL22" s="93"/>
      <c r="AM22" s="93"/>
      <c r="AN22" s="93"/>
      <c r="AO22" s="94"/>
      <c r="AP22" s="93"/>
      <c r="AQ22" s="93"/>
      <c r="AR22" s="93"/>
      <c r="AS22" s="93"/>
      <c r="AT22" s="94"/>
      <c r="AU22" s="94"/>
      <c r="AV22" s="94"/>
      <c r="AW22" s="94"/>
      <c r="AX22" s="94"/>
      <c r="AY22" s="94"/>
      <c r="AZ22" s="94"/>
      <c r="BA22" s="94"/>
      <c r="BB22" s="94"/>
      <c r="BC22" s="94"/>
      <c r="BD22" s="67"/>
      <c r="BE22" s="67"/>
      <c r="BF22" s="67"/>
      <c r="BG22" s="95"/>
      <c r="BH22" s="95"/>
      <c r="BI22" s="67"/>
      <c r="BJ22" s="67"/>
      <c r="BK22" s="67"/>
      <c r="BL22" s="95"/>
      <c r="BM22" s="95"/>
      <c r="BN22" s="67"/>
      <c r="BO22" s="67"/>
      <c r="BP22" s="67"/>
      <c r="BQ22" s="95"/>
      <c r="BR22" s="95"/>
      <c r="BS22" s="67"/>
      <c r="BT22" s="67"/>
      <c r="BU22" s="67"/>
      <c r="BV22" s="95"/>
      <c r="BW22" s="95"/>
      <c r="BX22" s="67"/>
      <c r="BY22" s="67"/>
      <c r="BZ22" s="67"/>
      <c r="CA22" s="95"/>
      <c r="CB22" s="95"/>
      <c r="CC22" s="67"/>
      <c r="CD22" s="67"/>
      <c r="CE22" s="67"/>
      <c r="CF22" s="95"/>
      <c r="CG22" s="95"/>
      <c r="CH22" s="67"/>
      <c r="CI22" s="67"/>
      <c r="CJ22" s="67"/>
      <c r="CK22" s="67"/>
      <c r="CL22" s="69"/>
      <c r="CM22" s="69"/>
      <c r="CN22" s="36">
        <v>50</v>
      </c>
      <c r="CO22" s="36">
        <v>54</v>
      </c>
      <c r="CP22" s="36">
        <v>65</v>
      </c>
      <c r="CQ22" s="36">
        <v>70</v>
      </c>
      <c r="CR22" s="36">
        <f>SUM(CN22:CQ22)</f>
        <v>239</v>
      </c>
      <c r="CS22" s="36">
        <v>90</v>
      </c>
      <c r="CT22" s="36">
        <v>98</v>
      </c>
      <c r="CU22" s="36">
        <v>82</v>
      </c>
      <c r="CV22" s="36">
        <v>90</v>
      </c>
      <c r="CW22" s="72">
        <f t="shared" si="13"/>
        <v>360</v>
      </c>
      <c r="CX22" s="36">
        <v>85</v>
      </c>
      <c r="CY22" s="36">
        <v>88</v>
      </c>
      <c r="CZ22" s="36">
        <v>114</v>
      </c>
      <c r="DA22" s="36">
        <v>131</v>
      </c>
      <c r="DB22" s="72">
        <f t="shared" si="14"/>
        <v>418</v>
      </c>
      <c r="DC22" s="72">
        <v>156</v>
      </c>
      <c r="DD22" s="72">
        <v>128</v>
      </c>
      <c r="DE22" s="72">
        <v>142</v>
      </c>
      <c r="DF22" s="72">
        <v>154</v>
      </c>
      <c r="DG22" s="36">
        <f t="shared" si="15"/>
        <v>580</v>
      </c>
      <c r="DH22" s="36">
        <f t="shared" ref="DH22:DK23" si="19">DC22*(1+DH25)</f>
        <v>195</v>
      </c>
      <c r="DI22" s="36">
        <f t="shared" si="19"/>
        <v>160</v>
      </c>
      <c r="DJ22" s="36">
        <f t="shared" si="19"/>
        <v>177.5</v>
      </c>
      <c r="DK22" s="36">
        <f t="shared" si="19"/>
        <v>192.5</v>
      </c>
      <c r="DL22" s="183">
        <f t="shared" si="16"/>
        <v>725</v>
      </c>
      <c r="DM22" s="183">
        <f t="shared" ref="DM22:DP23" si="20">DL22*(1+DM25)</f>
        <v>797.50000000000011</v>
      </c>
      <c r="DN22" s="183">
        <f t="shared" si="20"/>
        <v>821.42500000000018</v>
      </c>
      <c r="DO22" s="183">
        <f t="shared" si="20"/>
        <v>698.21125000000018</v>
      </c>
      <c r="DP22" s="183">
        <f t="shared" si="20"/>
        <v>719.1575875000002</v>
      </c>
    </row>
    <row r="23" spans="1:120" x14ac:dyDescent="0.2">
      <c r="A23" s="36" t="s">
        <v>64</v>
      </c>
      <c r="G23" s="67"/>
      <c r="H23" s="67"/>
      <c r="I23" s="67"/>
      <c r="J23" s="67"/>
      <c r="K23" s="67"/>
      <c r="L23" s="67"/>
      <c r="M23" s="67"/>
      <c r="N23" s="67"/>
      <c r="O23" s="92"/>
      <c r="P23" s="67"/>
      <c r="Q23" s="92"/>
      <c r="R23" s="92"/>
      <c r="S23" s="92"/>
      <c r="T23" s="92"/>
      <c r="U23" s="93"/>
      <c r="V23" s="93"/>
      <c r="W23" s="93"/>
      <c r="X23" s="93"/>
      <c r="Y23" s="93"/>
      <c r="Z23" s="93"/>
      <c r="AA23" s="93"/>
      <c r="AB23" s="93"/>
      <c r="AC23" s="93"/>
      <c r="AD23" s="93"/>
      <c r="AE23" s="94"/>
      <c r="AF23" s="93"/>
      <c r="AG23" s="93"/>
      <c r="AH23" s="93"/>
      <c r="AI23" s="93"/>
      <c r="AJ23" s="94"/>
      <c r="AK23" s="93"/>
      <c r="AL23" s="93"/>
      <c r="AM23" s="93"/>
      <c r="AN23" s="93"/>
      <c r="AO23" s="94"/>
      <c r="AP23" s="93"/>
      <c r="AQ23" s="93"/>
      <c r="AR23" s="93"/>
      <c r="AS23" s="93"/>
      <c r="AT23" s="94"/>
      <c r="AU23" s="94"/>
      <c r="AV23" s="94"/>
      <c r="AW23" s="94"/>
      <c r="AX23" s="94"/>
      <c r="AY23" s="94"/>
      <c r="AZ23" s="94"/>
      <c r="BA23" s="94"/>
      <c r="BB23" s="94"/>
      <c r="BC23" s="94"/>
      <c r="BD23" s="67"/>
      <c r="BE23" s="67"/>
      <c r="BF23" s="67"/>
      <c r="BG23" s="95"/>
      <c r="BH23" s="95"/>
      <c r="BI23" s="67"/>
      <c r="BJ23" s="67"/>
      <c r="BK23" s="67"/>
      <c r="BL23" s="95"/>
      <c r="BM23" s="95"/>
      <c r="BN23" s="67"/>
      <c r="BO23" s="67"/>
      <c r="BP23" s="67"/>
      <c r="BQ23" s="95"/>
      <c r="BR23" s="95"/>
      <c r="BS23" s="67"/>
      <c r="BT23" s="67"/>
      <c r="BU23" s="67"/>
      <c r="BV23" s="95"/>
      <c r="BW23" s="95"/>
      <c r="BX23" s="67"/>
      <c r="BY23" s="67"/>
      <c r="BZ23" s="67"/>
      <c r="CA23" s="95"/>
      <c r="CB23" s="95"/>
      <c r="CC23" s="67"/>
      <c r="CD23" s="67"/>
      <c r="CE23" s="67"/>
      <c r="CF23" s="95"/>
      <c r="CG23" s="95"/>
      <c r="CH23" s="67"/>
      <c r="CI23" s="67"/>
      <c r="CJ23" s="67"/>
      <c r="CK23" s="67"/>
      <c r="CL23" s="69"/>
      <c r="CM23" s="69"/>
      <c r="CN23" s="36">
        <v>24</v>
      </c>
      <c r="CO23" s="36">
        <v>43</v>
      </c>
      <c r="CP23" s="36">
        <v>44</v>
      </c>
      <c r="CQ23" s="36">
        <v>53</v>
      </c>
      <c r="CR23" s="36">
        <f>SUM(CN23:CQ23)</f>
        <v>164</v>
      </c>
      <c r="CS23" s="36">
        <v>38</v>
      </c>
      <c r="CT23" s="36">
        <v>53</v>
      </c>
      <c r="CU23" s="36">
        <v>60</v>
      </c>
      <c r="CV23" s="36">
        <v>69</v>
      </c>
      <c r="CW23" s="72">
        <f t="shared" si="13"/>
        <v>220</v>
      </c>
      <c r="CX23" s="36">
        <v>44</v>
      </c>
      <c r="CY23" s="36">
        <v>93</v>
      </c>
      <c r="CZ23" s="36">
        <v>74</v>
      </c>
      <c r="DA23" s="36">
        <v>75</v>
      </c>
      <c r="DB23" s="72">
        <f t="shared" si="14"/>
        <v>286</v>
      </c>
      <c r="DC23" s="72">
        <v>71</v>
      </c>
      <c r="DD23" s="72">
        <v>103</v>
      </c>
      <c r="DE23" s="72">
        <v>60</v>
      </c>
      <c r="DF23" s="72">
        <v>62</v>
      </c>
      <c r="DG23" s="36">
        <f t="shared" si="15"/>
        <v>296</v>
      </c>
      <c r="DH23" s="36">
        <f t="shared" si="19"/>
        <v>79.52000000000001</v>
      </c>
      <c r="DI23" s="36">
        <f t="shared" si="19"/>
        <v>115.36000000000001</v>
      </c>
      <c r="DJ23" s="36">
        <f t="shared" si="19"/>
        <v>67.2</v>
      </c>
      <c r="DK23" s="36">
        <f t="shared" si="19"/>
        <v>69.440000000000012</v>
      </c>
      <c r="DL23" s="183">
        <f t="shared" si="16"/>
        <v>331.52000000000004</v>
      </c>
      <c r="DM23" s="183">
        <f t="shared" si="20"/>
        <v>358.04160000000007</v>
      </c>
      <c r="DN23" s="183">
        <f t="shared" si="20"/>
        <v>368.78284800000006</v>
      </c>
      <c r="DO23" s="183">
        <f t="shared" si="20"/>
        <v>379.84633344000008</v>
      </c>
      <c r="DP23" s="183">
        <f t="shared" si="20"/>
        <v>391.2417234432001</v>
      </c>
    </row>
    <row r="24" spans="1:120" x14ac:dyDescent="0.2">
      <c r="A24" s="39" t="s">
        <v>65</v>
      </c>
      <c r="G24" s="67"/>
      <c r="H24" s="67"/>
      <c r="I24" s="67"/>
      <c r="J24" s="67"/>
      <c r="K24" s="67"/>
      <c r="L24" s="67"/>
      <c r="M24" s="67"/>
      <c r="N24" s="67"/>
      <c r="O24" s="92"/>
      <c r="P24" s="67"/>
      <c r="Q24" s="92"/>
      <c r="R24" s="92"/>
      <c r="S24" s="92"/>
      <c r="T24" s="92"/>
      <c r="U24" s="93"/>
      <c r="V24" s="93"/>
      <c r="W24" s="93"/>
      <c r="X24" s="93"/>
      <c r="Y24" s="93"/>
      <c r="Z24" s="93"/>
      <c r="AA24" s="93"/>
      <c r="AB24" s="93"/>
      <c r="AC24" s="93"/>
      <c r="AD24" s="93"/>
      <c r="AE24" s="94"/>
      <c r="AF24" s="93"/>
      <c r="AG24" s="93"/>
      <c r="AH24" s="93"/>
      <c r="AI24" s="93"/>
      <c r="AJ24" s="94"/>
      <c r="AK24" s="93"/>
      <c r="AL24" s="93"/>
      <c r="AM24" s="93"/>
      <c r="AN24" s="93"/>
      <c r="AO24" s="94"/>
      <c r="AP24" s="93"/>
      <c r="AQ24" s="93"/>
      <c r="AR24" s="93"/>
      <c r="AS24" s="93"/>
      <c r="AT24" s="94"/>
      <c r="AU24" s="94"/>
      <c r="AV24" s="94"/>
      <c r="AW24" s="94"/>
      <c r="AX24" s="94"/>
      <c r="AY24" s="94"/>
      <c r="AZ24" s="94"/>
      <c r="BA24" s="94"/>
      <c r="BB24" s="94"/>
      <c r="BC24" s="94"/>
      <c r="BD24" s="67"/>
      <c r="BE24" s="67"/>
      <c r="BF24" s="67"/>
      <c r="BG24" s="95"/>
      <c r="BH24" s="95"/>
      <c r="BI24" s="67"/>
      <c r="BJ24" s="67"/>
      <c r="BK24" s="67"/>
      <c r="BL24" s="95"/>
      <c r="BM24" s="95"/>
      <c r="BN24" s="67"/>
      <c r="BO24" s="67"/>
      <c r="BP24" s="67"/>
      <c r="BQ24" s="95"/>
      <c r="BR24" s="95"/>
      <c r="BS24" s="67"/>
      <c r="BT24" s="67"/>
      <c r="BU24" s="67"/>
      <c r="BV24" s="95"/>
      <c r="BW24" s="95"/>
      <c r="BX24" s="67"/>
      <c r="BY24" s="67"/>
      <c r="BZ24" s="67"/>
      <c r="CA24" s="95"/>
      <c r="CB24" s="95"/>
      <c r="CC24" s="67"/>
      <c r="CD24" s="67"/>
      <c r="CE24" s="67"/>
      <c r="CF24" s="95"/>
      <c r="CG24" s="95"/>
      <c r="CH24" s="67"/>
      <c r="CI24" s="67"/>
      <c r="CJ24" s="67"/>
      <c r="CK24" s="67"/>
      <c r="CL24" s="69"/>
      <c r="CM24" s="69"/>
      <c r="CN24" s="39">
        <f t="shared" ref="CN24:CU24" si="21">CN23+CN22</f>
        <v>74</v>
      </c>
      <c r="CO24" s="39">
        <f t="shared" si="21"/>
        <v>97</v>
      </c>
      <c r="CP24" s="39">
        <f t="shared" si="21"/>
        <v>109</v>
      </c>
      <c r="CQ24" s="39">
        <f>CQ23+CQ22+1</f>
        <v>124</v>
      </c>
      <c r="CR24" s="39">
        <f t="shared" si="21"/>
        <v>403</v>
      </c>
      <c r="CS24" s="39">
        <f t="shared" si="21"/>
        <v>128</v>
      </c>
      <c r="CT24" s="39">
        <f t="shared" si="21"/>
        <v>151</v>
      </c>
      <c r="CU24" s="39">
        <f t="shared" si="21"/>
        <v>142</v>
      </c>
      <c r="CV24" s="39">
        <f>CV23+CV22-1</f>
        <v>158</v>
      </c>
      <c r="CW24" s="74">
        <f t="shared" si="13"/>
        <v>579</v>
      </c>
      <c r="CX24" s="39">
        <f>SUM(CX22:CX23)</f>
        <v>129</v>
      </c>
      <c r="CY24" s="39">
        <f>SUM(CY22:CY23)</f>
        <v>181</v>
      </c>
      <c r="CZ24" s="39">
        <f>SUM(CZ22:CZ23)</f>
        <v>188</v>
      </c>
      <c r="DA24" s="39">
        <f>SUM(DA22:DA23)</f>
        <v>206</v>
      </c>
      <c r="DB24" s="74">
        <f t="shared" si="14"/>
        <v>704</v>
      </c>
      <c r="DC24" s="74">
        <f>DC23+DC22</f>
        <v>227</v>
      </c>
      <c r="DD24" s="74">
        <f>DD23+DD22</f>
        <v>231</v>
      </c>
      <c r="DE24" s="74">
        <f>DE23+DE22</f>
        <v>202</v>
      </c>
      <c r="DF24" s="74">
        <f>DF23+DF22</f>
        <v>216</v>
      </c>
      <c r="DG24" s="39">
        <f t="shared" si="15"/>
        <v>876</v>
      </c>
      <c r="DH24" s="39">
        <f>DH23+DH22</f>
        <v>274.52</v>
      </c>
      <c r="DI24" s="39">
        <f>DI23+DI22</f>
        <v>275.36</v>
      </c>
      <c r="DJ24" s="39">
        <f>DJ23+DJ22</f>
        <v>244.7</v>
      </c>
      <c r="DK24" s="39">
        <f>DK23+DK22</f>
        <v>261.94</v>
      </c>
      <c r="DL24" s="187">
        <f t="shared" si="16"/>
        <v>1056.52</v>
      </c>
      <c r="DM24" s="187">
        <f t="shared" ref="DM24:DP24" si="22">DM23+DM22</f>
        <v>1155.5416000000002</v>
      </c>
      <c r="DN24" s="187">
        <f t="shared" si="22"/>
        <v>1190.2078480000002</v>
      </c>
      <c r="DO24" s="187">
        <f t="shared" si="22"/>
        <v>1078.0575834400001</v>
      </c>
      <c r="DP24" s="187">
        <f t="shared" si="22"/>
        <v>1110.3993109432004</v>
      </c>
    </row>
    <row r="25" spans="1:120" x14ac:dyDescent="0.2">
      <c r="A25" s="68" t="s">
        <v>54</v>
      </c>
      <c r="G25" s="67"/>
      <c r="H25" s="67"/>
      <c r="I25" s="67"/>
      <c r="J25" s="67"/>
      <c r="K25" s="67"/>
      <c r="L25" s="67"/>
      <c r="M25" s="67"/>
      <c r="N25" s="67"/>
      <c r="O25" s="92"/>
      <c r="P25" s="67"/>
      <c r="Q25" s="92"/>
      <c r="R25" s="92"/>
      <c r="S25" s="92"/>
      <c r="T25" s="92"/>
      <c r="U25" s="93"/>
      <c r="V25" s="93"/>
      <c r="W25" s="93"/>
      <c r="X25" s="93"/>
      <c r="Y25" s="93"/>
      <c r="Z25" s="93"/>
      <c r="AA25" s="93"/>
      <c r="AB25" s="93"/>
      <c r="AC25" s="93"/>
      <c r="AD25" s="93"/>
      <c r="AE25" s="94"/>
      <c r="AF25" s="93"/>
      <c r="AG25" s="93"/>
      <c r="AH25" s="93"/>
      <c r="AI25" s="93"/>
      <c r="AJ25" s="94"/>
      <c r="AK25" s="93"/>
      <c r="AL25" s="93"/>
      <c r="AM25" s="93"/>
      <c r="AN25" s="93"/>
      <c r="AO25" s="94"/>
      <c r="AP25" s="93"/>
      <c r="AQ25" s="93"/>
      <c r="AR25" s="93"/>
      <c r="AS25" s="93"/>
      <c r="AT25" s="94"/>
      <c r="AU25" s="94"/>
      <c r="AV25" s="94"/>
      <c r="AW25" s="94"/>
      <c r="AX25" s="94"/>
      <c r="AY25" s="94"/>
      <c r="AZ25" s="94"/>
      <c r="BA25" s="94"/>
      <c r="BB25" s="94"/>
      <c r="BC25" s="94"/>
      <c r="BD25" s="67"/>
      <c r="BE25" s="67"/>
      <c r="BF25" s="67"/>
      <c r="BG25" s="95"/>
      <c r="BH25" s="95"/>
      <c r="BI25" s="67"/>
      <c r="BJ25" s="67"/>
      <c r="BK25" s="67"/>
      <c r="BL25" s="95"/>
      <c r="BM25" s="95"/>
      <c r="BN25" s="67"/>
      <c r="BO25" s="67"/>
      <c r="BP25" s="67"/>
      <c r="BQ25" s="95"/>
      <c r="BR25" s="95"/>
      <c r="BS25" s="67"/>
      <c r="BT25" s="67"/>
      <c r="BU25" s="67"/>
      <c r="BV25" s="95"/>
      <c r="BW25" s="95"/>
      <c r="BX25" s="67"/>
      <c r="BY25" s="67"/>
      <c r="BZ25" s="67"/>
      <c r="CA25" s="95"/>
      <c r="CB25" s="95"/>
      <c r="CC25" s="67"/>
      <c r="CD25" s="67"/>
      <c r="CE25" s="67"/>
      <c r="CF25" s="95"/>
      <c r="CG25" s="95"/>
      <c r="CH25" s="67"/>
      <c r="CI25" s="67"/>
      <c r="CJ25" s="67"/>
      <c r="CK25" s="67"/>
      <c r="CL25" s="69"/>
      <c r="CM25" s="69"/>
      <c r="CN25" s="69"/>
      <c r="CO25" s="69"/>
      <c r="CP25" s="69"/>
      <c r="CQ25" s="69"/>
      <c r="CR25" s="69"/>
      <c r="CS25" s="75"/>
      <c r="CT25" s="75">
        <f t="shared" ref="CT25:DF27" si="23">CT22/CO22-1</f>
        <v>0.81481481481481488</v>
      </c>
      <c r="CU25" s="75">
        <f t="shared" si="23"/>
        <v>0.2615384615384615</v>
      </c>
      <c r="CV25" s="75">
        <f t="shared" si="23"/>
        <v>0.28571428571428581</v>
      </c>
      <c r="CW25" s="90">
        <f t="shared" si="23"/>
        <v>0.506276150627615</v>
      </c>
      <c r="CX25" s="75">
        <f t="shared" si="23"/>
        <v>-5.555555555555558E-2</v>
      </c>
      <c r="CY25" s="75">
        <f t="shared" si="23"/>
        <v>-0.10204081632653061</v>
      </c>
      <c r="CZ25" s="75">
        <f t="shared" si="23"/>
        <v>0.39024390243902429</v>
      </c>
      <c r="DA25" s="75">
        <f t="shared" si="23"/>
        <v>0.45555555555555549</v>
      </c>
      <c r="DB25" s="77">
        <f>DB22/CW22-1</f>
        <v>0.1611111111111112</v>
      </c>
      <c r="DC25" s="75">
        <f t="shared" si="23"/>
        <v>0.83529411764705874</v>
      </c>
      <c r="DD25" s="75">
        <f t="shared" si="23"/>
        <v>0.45454545454545459</v>
      </c>
      <c r="DE25" s="75">
        <f t="shared" si="23"/>
        <v>0.2456140350877194</v>
      </c>
      <c r="DF25" s="75">
        <f t="shared" si="23"/>
        <v>0.17557251908396942</v>
      </c>
      <c r="DG25" s="90">
        <f>DG22/DB22-1</f>
        <v>0.3875598086124401</v>
      </c>
      <c r="DH25" s="90">
        <v>0.25</v>
      </c>
      <c r="DI25" s="90">
        <v>0.25</v>
      </c>
      <c r="DJ25" s="90">
        <v>0.25</v>
      </c>
      <c r="DK25" s="90">
        <v>0.25</v>
      </c>
      <c r="DL25" s="188">
        <f>DL22/DG22-1</f>
        <v>0.25</v>
      </c>
      <c r="DM25" s="188">
        <v>0.1</v>
      </c>
      <c r="DN25" s="188">
        <v>0.03</v>
      </c>
      <c r="DO25" s="188">
        <f>3%-0.4*0.45</f>
        <v>-0.15000000000000002</v>
      </c>
      <c r="DP25" s="188">
        <v>0.03</v>
      </c>
    </row>
    <row r="26" spans="1:120" x14ac:dyDescent="0.2">
      <c r="A26" s="68" t="s">
        <v>55</v>
      </c>
      <c r="G26" s="67"/>
      <c r="H26" s="67"/>
      <c r="I26" s="67"/>
      <c r="J26" s="67"/>
      <c r="K26" s="67"/>
      <c r="L26" s="67"/>
      <c r="M26" s="67"/>
      <c r="N26" s="67"/>
      <c r="O26" s="92"/>
      <c r="P26" s="67"/>
      <c r="Q26" s="92"/>
      <c r="R26" s="92"/>
      <c r="S26" s="92"/>
      <c r="T26" s="92"/>
      <c r="U26" s="93"/>
      <c r="V26" s="93"/>
      <c r="W26" s="93"/>
      <c r="X26" s="93"/>
      <c r="Y26" s="93"/>
      <c r="Z26" s="93"/>
      <c r="AA26" s="93"/>
      <c r="AB26" s="93"/>
      <c r="AC26" s="93"/>
      <c r="AD26" s="93"/>
      <c r="AE26" s="94"/>
      <c r="AF26" s="93"/>
      <c r="AG26" s="93"/>
      <c r="AH26" s="93"/>
      <c r="AI26" s="93"/>
      <c r="AJ26" s="94"/>
      <c r="AK26" s="93"/>
      <c r="AL26" s="93"/>
      <c r="AM26" s="93"/>
      <c r="AN26" s="93"/>
      <c r="AO26" s="94"/>
      <c r="AP26" s="93"/>
      <c r="AQ26" s="93"/>
      <c r="AR26" s="93"/>
      <c r="AS26" s="93"/>
      <c r="AT26" s="94"/>
      <c r="AU26" s="94"/>
      <c r="AV26" s="94"/>
      <c r="AW26" s="94"/>
      <c r="AX26" s="94"/>
      <c r="AY26" s="94"/>
      <c r="AZ26" s="94"/>
      <c r="BA26" s="94"/>
      <c r="BB26" s="94"/>
      <c r="BC26" s="94"/>
      <c r="BD26" s="67"/>
      <c r="BE26" s="67"/>
      <c r="BF26" s="67"/>
      <c r="BG26" s="95"/>
      <c r="BH26" s="95"/>
      <c r="BI26" s="67"/>
      <c r="BJ26" s="67"/>
      <c r="BK26" s="67"/>
      <c r="BL26" s="95"/>
      <c r="BM26" s="95"/>
      <c r="BN26" s="67"/>
      <c r="BO26" s="67"/>
      <c r="BP26" s="67"/>
      <c r="BQ26" s="95"/>
      <c r="BR26" s="95"/>
      <c r="BS26" s="67"/>
      <c r="BT26" s="67"/>
      <c r="BU26" s="67"/>
      <c r="BV26" s="95"/>
      <c r="BW26" s="95"/>
      <c r="BX26" s="67"/>
      <c r="BY26" s="67"/>
      <c r="BZ26" s="67"/>
      <c r="CA26" s="95"/>
      <c r="CB26" s="95"/>
      <c r="CC26" s="67"/>
      <c r="CD26" s="67"/>
      <c r="CE26" s="67"/>
      <c r="CF26" s="95"/>
      <c r="CG26" s="95"/>
      <c r="CH26" s="67"/>
      <c r="CI26" s="67"/>
      <c r="CJ26" s="67"/>
      <c r="CK26" s="67"/>
      <c r="CL26" s="69"/>
      <c r="CM26" s="69"/>
      <c r="CN26" s="69"/>
      <c r="CO26" s="69"/>
      <c r="CP26" s="69"/>
      <c r="CQ26" s="69"/>
      <c r="CR26" s="69"/>
      <c r="CS26" s="75"/>
      <c r="CT26" s="75">
        <f t="shared" si="23"/>
        <v>0.23255813953488369</v>
      </c>
      <c r="CU26" s="75">
        <f t="shared" si="23"/>
        <v>0.36363636363636354</v>
      </c>
      <c r="CV26" s="75">
        <f t="shared" si="23"/>
        <v>0.30188679245283012</v>
      </c>
      <c r="CW26" s="90">
        <f t="shared" si="23"/>
        <v>0.34146341463414642</v>
      </c>
      <c r="CX26" s="75">
        <f t="shared" si="23"/>
        <v>0.15789473684210531</v>
      </c>
      <c r="CY26" s="75">
        <f t="shared" si="23"/>
        <v>0.75471698113207553</v>
      </c>
      <c r="CZ26" s="75">
        <f t="shared" si="23"/>
        <v>0.23333333333333339</v>
      </c>
      <c r="DA26" s="75">
        <f t="shared" si="23"/>
        <v>8.6956521739130377E-2</v>
      </c>
      <c r="DB26" s="77">
        <f>DB23/CW23-1</f>
        <v>0.30000000000000004</v>
      </c>
      <c r="DC26" s="75">
        <f t="shared" si="23"/>
        <v>0.61363636363636354</v>
      </c>
      <c r="DD26" s="75">
        <f t="shared" si="23"/>
        <v>0.10752688172043001</v>
      </c>
      <c r="DE26" s="75">
        <f t="shared" si="23"/>
        <v>-0.18918918918918914</v>
      </c>
      <c r="DF26" s="75">
        <f t="shared" si="23"/>
        <v>-0.17333333333333334</v>
      </c>
      <c r="DG26" s="90">
        <f>DG23/DB23-1</f>
        <v>3.4965034965035002E-2</v>
      </c>
      <c r="DH26" s="90">
        <v>0.12</v>
      </c>
      <c r="DI26" s="90">
        <v>0.12</v>
      </c>
      <c r="DJ26" s="90">
        <v>0.12</v>
      </c>
      <c r="DK26" s="90">
        <v>0.12</v>
      </c>
      <c r="DL26" s="188">
        <f>DL23/DG23-1</f>
        <v>0.12000000000000011</v>
      </c>
      <c r="DM26" s="188">
        <v>0.08</v>
      </c>
      <c r="DN26" s="188">
        <v>0.03</v>
      </c>
      <c r="DO26" s="188">
        <v>0.03</v>
      </c>
      <c r="DP26" s="188">
        <v>0.03</v>
      </c>
    </row>
    <row r="27" spans="1:120" x14ac:dyDescent="0.2">
      <c r="A27" s="78" t="s">
        <v>56</v>
      </c>
      <c r="B27" s="98"/>
      <c r="C27" s="98"/>
      <c r="D27" s="98"/>
      <c r="E27" s="98"/>
      <c r="F27" s="98"/>
      <c r="G27" s="83"/>
      <c r="H27" s="83"/>
      <c r="I27" s="83"/>
      <c r="J27" s="83"/>
      <c r="K27" s="83"/>
      <c r="L27" s="83"/>
      <c r="M27" s="83"/>
      <c r="N27" s="83"/>
      <c r="O27" s="99"/>
      <c r="P27" s="83"/>
      <c r="Q27" s="99"/>
      <c r="R27" s="99"/>
      <c r="S27" s="99"/>
      <c r="T27" s="99"/>
      <c r="U27" s="100"/>
      <c r="V27" s="100"/>
      <c r="W27" s="100"/>
      <c r="X27" s="100"/>
      <c r="Y27" s="100"/>
      <c r="Z27" s="100"/>
      <c r="AA27" s="100"/>
      <c r="AB27" s="100"/>
      <c r="AC27" s="100"/>
      <c r="AD27" s="100"/>
      <c r="AE27" s="101"/>
      <c r="AF27" s="100"/>
      <c r="AG27" s="100"/>
      <c r="AH27" s="100"/>
      <c r="AI27" s="100"/>
      <c r="AJ27" s="101"/>
      <c r="AK27" s="100"/>
      <c r="AL27" s="100"/>
      <c r="AM27" s="100"/>
      <c r="AN27" s="100"/>
      <c r="AO27" s="101"/>
      <c r="AP27" s="100"/>
      <c r="AQ27" s="100"/>
      <c r="AR27" s="100"/>
      <c r="AS27" s="100"/>
      <c r="AT27" s="101"/>
      <c r="AU27" s="101"/>
      <c r="AV27" s="101"/>
      <c r="AW27" s="101"/>
      <c r="AX27" s="101"/>
      <c r="AY27" s="101"/>
      <c r="AZ27" s="101"/>
      <c r="BA27" s="101"/>
      <c r="BB27" s="101"/>
      <c r="BC27" s="101"/>
      <c r="BD27" s="83"/>
      <c r="BE27" s="83"/>
      <c r="BF27" s="83"/>
      <c r="BG27" s="102"/>
      <c r="BH27" s="102"/>
      <c r="BI27" s="83"/>
      <c r="BJ27" s="83"/>
      <c r="BK27" s="83"/>
      <c r="BL27" s="102"/>
      <c r="BM27" s="102"/>
      <c r="BN27" s="83"/>
      <c r="BO27" s="83"/>
      <c r="BP27" s="83"/>
      <c r="BQ27" s="102"/>
      <c r="BR27" s="102"/>
      <c r="BS27" s="83"/>
      <c r="BT27" s="83"/>
      <c r="BU27" s="83"/>
      <c r="BV27" s="102"/>
      <c r="BW27" s="102"/>
      <c r="BX27" s="83"/>
      <c r="BY27" s="83"/>
      <c r="BZ27" s="83"/>
      <c r="CA27" s="102"/>
      <c r="CB27" s="102"/>
      <c r="CC27" s="83"/>
      <c r="CD27" s="83"/>
      <c r="CE27" s="83"/>
      <c r="CF27" s="102"/>
      <c r="CG27" s="102"/>
      <c r="CH27" s="83"/>
      <c r="CI27" s="83"/>
      <c r="CJ27" s="83"/>
      <c r="CK27" s="83"/>
      <c r="CL27" s="80"/>
      <c r="CM27" s="80"/>
      <c r="CN27" s="80"/>
      <c r="CO27" s="80"/>
      <c r="CP27" s="80"/>
      <c r="CQ27" s="80"/>
      <c r="CR27" s="80"/>
      <c r="CS27" s="83">
        <f>CS24/CN24-1</f>
        <v>0.72972972972972983</v>
      </c>
      <c r="CT27" s="83">
        <f t="shared" si="23"/>
        <v>0.55670103092783507</v>
      </c>
      <c r="CU27" s="83">
        <f t="shared" si="23"/>
        <v>0.30275229357798161</v>
      </c>
      <c r="CV27" s="83">
        <f t="shared" si="23"/>
        <v>0.27419354838709675</v>
      </c>
      <c r="CW27" s="80">
        <f t="shared" si="23"/>
        <v>0.43672456575682372</v>
      </c>
      <c r="CX27" s="83">
        <v>0.2407599309153714</v>
      </c>
      <c r="CY27" s="83">
        <v>0.2407599309153714</v>
      </c>
      <c r="CZ27" s="83">
        <v>0.2407599309153714</v>
      </c>
      <c r="DA27" s="83">
        <v>0.2407599309153714</v>
      </c>
      <c r="DB27" s="84">
        <f>DB24/CW24-1</f>
        <v>0.21588946459412783</v>
      </c>
      <c r="DC27" s="84">
        <f>DC24/CX24-1</f>
        <v>0.75968992248062017</v>
      </c>
      <c r="DD27" s="84">
        <f>DD24/CY24-1</f>
        <v>0.27624309392265189</v>
      </c>
      <c r="DE27" s="84">
        <f>DE24/CZ24-1</f>
        <v>7.4468085106383031E-2</v>
      </c>
      <c r="DF27" s="84">
        <f>DF24/DA24-1</f>
        <v>4.8543689320388328E-2</v>
      </c>
      <c r="DG27" s="80">
        <f>DG24/DB24-1</f>
        <v>0.24431818181818188</v>
      </c>
      <c r="DH27" s="80">
        <f>DH24/DC24-1</f>
        <v>0.2093392070484581</v>
      </c>
      <c r="DI27" s="80">
        <f>DI24/DD24-1</f>
        <v>0.192034632034632</v>
      </c>
      <c r="DJ27" s="80">
        <f>DJ24/DE24-1</f>
        <v>0.21138613861386135</v>
      </c>
      <c r="DK27" s="80">
        <f>DK24/DF24-1</f>
        <v>0.2126851851851852</v>
      </c>
      <c r="DL27" s="189">
        <f>DL24/DG24-1</f>
        <v>0.2060730593607305</v>
      </c>
      <c r="DM27" s="189">
        <f t="shared" ref="DM27:DP27" si="24">DM24/DL24-1</f>
        <v>9.3724302426835493E-2</v>
      </c>
      <c r="DN27" s="189">
        <f t="shared" si="24"/>
        <v>3.0000000000000027E-2</v>
      </c>
      <c r="DO27" s="189">
        <f t="shared" si="24"/>
        <v>-9.4227461823962133E-2</v>
      </c>
      <c r="DP27" s="189">
        <f t="shared" si="24"/>
        <v>3.0000000000000249E-2</v>
      </c>
    </row>
    <row r="28" spans="1:120" x14ac:dyDescent="0.2">
      <c r="A28" s="36" t="s">
        <v>66</v>
      </c>
      <c r="G28" s="67"/>
      <c r="H28" s="67"/>
      <c r="I28" s="67"/>
      <c r="J28" s="67"/>
      <c r="K28" s="67"/>
      <c r="L28" s="67"/>
      <c r="M28" s="67"/>
      <c r="N28" s="67"/>
      <c r="O28" s="92"/>
      <c r="P28" s="67"/>
      <c r="Q28" s="92"/>
      <c r="R28" s="92"/>
      <c r="S28" s="92"/>
      <c r="T28" s="92"/>
      <c r="U28" s="93"/>
      <c r="V28" s="93"/>
      <c r="W28" s="93"/>
      <c r="X28" s="93"/>
      <c r="Y28" s="93"/>
      <c r="Z28" s="93"/>
      <c r="AA28" s="93"/>
      <c r="AB28" s="93"/>
      <c r="AC28" s="93"/>
      <c r="AD28" s="93"/>
      <c r="AE28" s="94"/>
      <c r="AF28" s="93"/>
      <c r="AG28" s="93"/>
      <c r="AH28" s="93"/>
      <c r="AI28" s="93"/>
      <c r="AJ28" s="94"/>
      <c r="AK28" s="93"/>
      <c r="AL28" s="93"/>
      <c r="AM28" s="93"/>
      <c r="AN28" s="93"/>
      <c r="AO28" s="94"/>
      <c r="AP28" s="93"/>
      <c r="AQ28" s="93"/>
      <c r="AR28" s="93"/>
      <c r="AS28" s="93"/>
      <c r="AT28" s="94"/>
      <c r="AU28" s="94"/>
      <c r="AV28" s="94"/>
      <c r="AW28" s="94"/>
      <c r="AX28" s="94"/>
      <c r="AY28" s="94"/>
      <c r="AZ28" s="94"/>
      <c r="BA28" s="94"/>
      <c r="BB28" s="94"/>
      <c r="BC28" s="94"/>
      <c r="BD28" s="67"/>
      <c r="BE28" s="67"/>
      <c r="BF28" s="67"/>
      <c r="BG28" s="95"/>
      <c r="BH28" s="95"/>
      <c r="BI28" s="67"/>
      <c r="BJ28" s="67"/>
      <c r="BK28" s="67"/>
      <c r="BL28" s="95"/>
      <c r="BM28" s="95"/>
      <c r="BN28" s="67"/>
      <c r="BO28" s="67"/>
      <c r="BP28" s="67"/>
      <c r="BQ28" s="95"/>
      <c r="BR28" s="95"/>
      <c r="BS28" s="67"/>
      <c r="BT28" s="67"/>
      <c r="BU28" s="67"/>
      <c r="BV28" s="95"/>
      <c r="BW28" s="95"/>
      <c r="BX28" s="67"/>
      <c r="BY28" s="67"/>
      <c r="BZ28" s="67"/>
      <c r="CA28" s="95"/>
      <c r="CB28" s="95"/>
      <c r="CC28" s="67"/>
      <c r="CD28" s="67"/>
      <c r="CE28" s="67"/>
      <c r="CF28" s="95"/>
      <c r="CG28" s="95"/>
      <c r="CH28" s="67"/>
      <c r="CI28" s="67"/>
      <c r="CJ28" s="67"/>
      <c r="CK28" s="67"/>
      <c r="CL28" s="69"/>
      <c r="CM28" s="69"/>
      <c r="CN28" s="36"/>
      <c r="CO28" s="36"/>
      <c r="CP28" s="36"/>
      <c r="CQ28" s="36"/>
      <c r="CR28" s="36"/>
      <c r="CS28" s="36"/>
      <c r="CT28" s="36"/>
      <c r="CU28" s="36"/>
      <c r="CV28" s="36"/>
      <c r="CW28" s="72"/>
      <c r="CX28" s="36"/>
      <c r="CY28" s="36"/>
      <c r="CZ28" s="36"/>
      <c r="DA28" s="36"/>
      <c r="DB28" s="72"/>
      <c r="DC28" s="72">
        <v>27</v>
      </c>
      <c r="DD28" s="72">
        <v>28</v>
      </c>
      <c r="DE28" s="72">
        <v>32</v>
      </c>
      <c r="DF28" s="72">
        <v>36</v>
      </c>
      <c r="DG28" s="36">
        <f>SUM(DC28:DF28)</f>
        <v>123</v>
      </c>
      <c r="DH28" s="36">
        <f>DC28*(1+DH31)</f>
        <v>35.1</v>
      </c>
      <c r="DI28" s="36">
        <f>DD28*(1+DI31)</f>
        <v>35</v>
      </c>
      <c r="DJ28" s="36">
        <f>DE28*(1+DJ31)</f>
        <v>40</v>
      </c>
      <c r="DK28" s="36">
        <f>DF28*(1+DK31)</f>
        <v>45</v>
      </c>
      <c r="DL28" s="183">
        <f>SUM(DH28:DK28)</f>
        <v>155.1</v>
      </c>
      <c r="DM28" s="183">
        <f t="shared" ref="DM28:DP29" si="25">DL28*(1+DM31)</f>
        <v>189.22199999999998</v>
      </c>
      <c r="DN28" s="183">
        <f t="shared" si="25"/>
        <v>227.06639999999996</v>
      </c>
      <c r="DO28" s="183">
        <f t="shared" si="25"/>
        <v>267.93835199999995</v>
      </c>
      <c r="DP28" s="183">
        <f t="shared" si="25"/>
        <v>308.12910479999994</v>
      </c>
    </row>
    <row r="29" spans="1:120" x14ac:dyDescent="0.2">
      <c r="A29" s="36" t="s">
        <v>67</v>
      </c>
      <c r="G29" s="67"/>
      <c r="H29" s="67"/>
      <c r="I29" s="67"/>
      <c r="J29" s="67"/>
      <c r="K29" s="67"/>
      <c r="L29" s="67"/>
      <c r="M29" s="67"/>
      <c r="N29" s="67"/>
      <c r="O29" s="92"/>
      <c r="P29" s="67"/>
      <c r="Q29" s="92"/>
      <c r="R29" s="92"/>
      <c r="S29" s="92"/>
      <c r="T29" s="92"/>
      <c r="U29" s="93"/>
      <c r="V29" s="93"/>
      <c r="W29" s="93"/>
      <c r="X29" s="93"/>
      <c r="Y29" s="93"/>
      <c r="Z29" s="93"/>
      <c r="AA29" s="93"/>
      <c r="AB29" s="93"/>
      <c r="AC29" s="93"/>
      <c r="AD29" s="93"/>
      <c r="AE29" s="94"/>
      <c r="AF29" s="93"/>
      <c r="AG29" s="93"/>
      <c r="AH29" s="93"/>
      <c r="AI29" s="93"/>
      <c r="AJ29" s="94"/>
      <c r="AK29" s="93"/>
      <c r="AL29" s="93"/>
      <c r="AM29" s="93"/>
      <c r="AN29" s="93"/>
      <c r="AO29" s="94"/>
      <c r="AP29" s="93"/>
      <c r="AQ29" s="93"/>
      <c r="AR29" s="93"/>
      <c r="AS29" s="93"/>
      <c r="AT29" s="94"/>
      <c r="AU29" s="94"/>
      <c r="AV29" s="94"/>
      <c r="AW29" s="94"/>
      <c r="AX29" s="94"/>
      <c r="AY29" s="94"/>
      <c r="AZ29" s="94"/>
      <c r="BA29" s="94"/>
      <c r="BB29" s="94"/>
      <c r="BC29" s="94"/>
      <c r="BD29" s="67"/>
      <c r="BE29" s="67"/>
      <c r="BF29" s="67"/>
      <c r="BG29" s="95"/>
      <c r="BH29" s="95"/>
      <c r="BI29" s="67"/>
      <c r="BJ29" s="67"/>
      <c r="BK29" s="67"/>
      <c r="BL29" s="95"/>
      <c r="BM29" s="95"/>
      <c r="BN29" s="67"/>
      <c r="BO29" s="67"/>
      <c r="BP29" s="67"/>
      <c r="BQ29" s="95"/>
      <c r="BR29" s="95"/>
      <c r="BS29" s="67"/>
      <c r="BT29" s="67"/>
      <c r="BU29" s="67"/>
      <c r="BV29" s="95"/>
      <c r="BW29" s="95"/>
      <c r="BX29" s="67"/>
      <c r="BY29" s="67"/>
      <c r="BZ29" s="67"/>
      <c r="CA29" s="95"/>
      <c r="CB29" s="95"/>
      <c r="CC29" s="67"/>
      <c r="CD29" s="67"/>
      <c r="CE29" s="67"/>
      <c r="CF29" s="95"/>
      <c r="CG29" s="95"/>
      <c r="CH29" s="67"/>
      <c r="CI29" s="67"/>
      <c r="CJ29" s="67"/>
      <c r="CK29" s="67"/>
      <c r="CL29" s="69"/>
      <c r="CM29" s="69"/>
      <c r="CN29" s="36"/>
      <c r="CO29" s="36"/>
      <c r="CP29" s="36"/>
      <c r="CQ29" s="36"/>
      <c r="CR29" s="36"/>
      <c r="CS29" s="36"/>
      <c r="CT29" s="36"/>
      <c r="CU29" s="36"/>
      <c r="CV29" s="36"/>
      <c r="CW29" s="72"/>
      <c r="CX29" s="36"/>
      <c r="CY29" s="36"/>
      <c r="CZ29" s="36"/>
      <c r="DA29" s="36"/>
      <c r="DB29" s="72"/>
      <c r="DC29" s="72">
        <v>25</v>
      </c>
      <c r="DD29" s="72">
        <v>5</v>
      </c>
      <c r="DE29" s="72">
        <v>7</v>
      </c>
      <c r="DF29" s="72">
        <v>6</v>
      </c>
      <c r="DG29" s="36">
        <f>SUM(DC29:DF29)</f>
        <v>43</v>
      </c>
      <c r="DH29" s="36">
        <v>10</v>
      </c>
      <c r="DI29" s="36">
        <v>12</v>
      </c>
      <c r="DJ29" s="36">
        <v>14</v>
      </c>
      <c r="DK29" s="36">
        <v>16</v>
      </c>
      <c r="DL29" s="183">
        <f>SUM(DH29:DK29)</f>
        <v>52</v>
      </c>
      <c r="DM29" s="183">
        <v>100</v>
      </c>
      <c r="DN29" s="183">
        <f t="shared" si="25"/>
        <v>128</v>
      </c>
      <c r="DO29" s="183">
        <f t="shared" si="25"/>
        <v>160</v>
      </c>
      <c r="DP29" s="183">
        <f t="shared" si="25"/>
        <v>188.79999999999998</v>
      </c>
    </row>
    <row r="30" spans="1:120" x14ac:dyDescent="0.2">
      <c r="A30" s="39" t="s">
        <v>68</v>
      </c>
      <c r="G30" s="67"/>
      <c r="H30" s="67"/>
      <c r="I30" s="67"/>
      <c r="J30" s="67"/>
      <c r="K30" s="67"/>
      <c r="L30" s="67"/>
      <c r="M30" s="67"/>
      <c r="N30" s="67"/>
      <c r="O30" s="92"/>
      <c r="P30" s="67"/>
      <c r="Q30" s="92"/>
      <c r="R30" s="92"/>
      <c r="S30" s="92"/>
      <c r="T30" s="92"/>
      <c r="U30" s="93"/>
      <c r="V30" s="93"/>
      <c r="W30" s="93"/>
      <c r="X30" s="93"/>
      <c r="Y30" s="93"/>
      <c r="Z30" s="93"/>
      <c r="AA30" s="93"/>
      <c r="AB30" s="93"/>
      <c r="AC30" s="93"/>
      <c r="AD30" s="93"/>
      <c r="AE30" s="94"/>
      <c r="AF30" s="93"/>
      <c r="AG30" s="93"/>
      <c r="AH30" s="93"/>
      <c r="AI30" s="93"/>
      <c r="AJ30" s="94"/>
      <c r="AK30" s="93"/>
      <c r="AL30" s="93"/>
      <c r="AM30" s="93"/>
      <c r="AN30" s="93"/>
      <c r="AO30" s="94"/>
      <c r="AP30" s="93"/>
      <c r="AQ30" s="93"/>
      <c r="AR30" s="93"/>
      <c r="AS30" s="93"/>
      <c r="AT30" s="94"/>
      <c r="AU30" s="94"/>
      <c r="AV30" s="94"/>
      <c r="AW30" s="94"/>
      <c r="AX30" s="94"/>
      <c r="AY30" s="94"/>
      <c r="AZ30" s="94"/>
      <c r="BA30" s="94"/>
      <c r="BB30" s="94"/>
      <c r="BC30" s="94"/>
      <c r="BD30" s="67"/>
      <c r="BE30" s="67"/>
      <c r="BF30" s="67"/>
      <c r="BG30" s="95"/>
      <c r="BH30" s="95"/>
      <c r="BI30" s="67"/>
      <c r="BJ30" s="67"/>
      <c r="BK30" s="67"/>
      <c r="BL30" s="95"/>
      <c r="BM30" s="95"/>
      <c r="BN30" s="67"/>
      <c r="BO30" s="67"/>
      <c r="BP30" s="67"/>
      <c r="BQ30" s="95"/>
      <c r="BR30" s="95"/>
      <c r="BS30" s="67"/>
      <c r="BT30" s="67"/>
      <c r="BU30" s="67"/>
      <c r="BV30" s="95"/>
      <c r="BW30" s="95"/>
      <c r="BX30" s="67"/>
      <c r="BY30" s="67"/>
      <c r="BZ30" s="67"/>
      <c r="CA30" s="95"/>
      <c r="CB30" s="95"/>
      <c r="CC30" s="67"/>
      <c r="CD30" s="67"/>
      <c r="CE30" s="67"/>
      <c r="CF30" s="95"/>
      <c r="CG30" s="95"/>
      <c r="CH30" s="67"/>
      <c r="CI30" s="67"/>
      <c r="CJ30" s="67"/>
      <c r="CK30" s="67"/>
      <c r="CL30" s="69"/>
      <c r="CM30" s="69"/>
      <c r="CN30" s="39"/>
      <c r="CO30" s="39"/>
      <c r="CP30" s="39"/>
      <c r="CQ30" s="39"/>
      <c r="CR30" s="39"/>
      <c r="CS30" s="39"/>
      <c r="CT30" s="39"/>
      <c r="CU30" s="39"/>
      <c r="CV30" s="39"/>
      <c r="CW30" s="74"/>
      <c r="CX30" s="39"/>
      <c r="CY30" s="39"/>
      <c r="CZ30" s="39"/>
      <c r="DA30" s="39"/>
      <c r="DB30" s="74"/>
      <c r="DC30" s="74">
        <f>DC29+DC28</f>
        <v>52</v>
      </c>
      <c r="DD30" s="74">
        <f>DD29+DD28</f>
        <v>33</v>
      </c>
      <c r="DE30" s="74">
        <f>DE29+DE28</f>
        <v>39</v>
      </c>
      <c r="DF30" s="74">
        <f>DF29+DF28</f>
        <v>42</v>
      </c>
      <c r="DG30" s="39">
        <f>SUM(DC30:DF30)</f>
        <v>166</v>
      </c>
      <c r="DH30" s="39">
        <f>DH29+DH28</f>
        <v>45.1</v>
      </c>
      <c r="DI30" s="39">
        <f>DI29+DI28</f>
        <v>47</v>
      </c>
      <c r="DJ30" s="39">
        <f>DJ29+DJ28</f>
        <v>54</v>
      </c>
      <c r="DK30" s="39">
        <f>DK29+DK28</f>
        <v>61</v>
      </c>
      <c r="DL30" s="187">
        <f>SUM(DH30:DK30)</f>
        <v>207.1</v>
      </c>
      <c r="DM30" s="187">
        <f t="shared" ref="DM30:DP30" si="26">DM29+DM28</f>
        <v>289.22199999999998</v>
      </c>
      <c r="DN30" s="187">
        <f t="shared" si="26"/>
        <v>355.06639999999993</v>
      </c>
      <c r="DO30" s="187">
        <f t="shared" si="26"/>
        <v>427.93835199999995</v>
      </c>
      <c r="DP30" s="187">
        <f t="shared" si="26"/>
        <v>496.92910479999989</v>
      </c>
    </row>
    <row r="31" spans="1:120" x14ac:dyDescent="0.2">
      <c r="A31" s="68" t="s">
        <v>54</v>
      </c>
      <c r="G31" s="67"/>
      <c r="H31" s="67"/>
      <c r="I31" s="67"/>
      <c r="J31" s="67"/>
      <c r="K31" s="67"/>
      <c r="L31" s="67"/>
      <c r="M31" s="67"/>
      <c r="N31" s="67"/>
      <c r="O31" s="92"/>
      <c r="P31" s="67"/>
      <c r="Q31" s="92"/>
      <c r="R31" s="92"/>
      <c r="S31" s="92"/>
      <c r="T31" s="92"/>
      <c r="U31" s="93"/>
      <c r="V31" s="93"/>
      <c r="W31" s="93"/>
      <c r="X31" s="93"/>
      <c r="Y31" s="93"/>
      <c r="Z31" s="93"/>
      <c r="AA31" s="93"/>
      <c r="AB31" s="93"/>
      <c r="AC31" s="93"/>
      <c r="AD31" s="93"/>
      <c r="AE31" s="94"/>
      <c r="AF31" s="93"/>
      <c r="AG31" s="93"/>
      <c r="AH31" s="93"/>
      <c r="AI31" s="93"/>
      <c r="AJ31" s="94"/>
      <c r="AK31" s="93"/>
      <c r="AL31" s="93"/>
      <c r="AM31" s="93"/>
      <c r="AN31" s="93"/>
      <c r="AO31" s="94"/>
      <c r="AP31" s="93"/>
      <c r="AQ31" s="93"/>
      <c r="AR31" s="93"/>
      <c r="AS31" s="93"/>
      <c r="AT31" s="94"/>
      <c r="AU31" s="94"/>
      <c r="AV31" s="94"/>
      <c r="AW31" s="94"/>
      <c r="AX31" s="94"/>
      <c r="AY31" s="94"/>
      <c r="AZ31" s="94"/>
      <c r="BA31" s="94"/>
      <c r="BB31" s="94"/>
      <c r="BC31" s="94"/>
      <c r="BD31" s="67"/>
      <c r="BE31" s="67"/>
      <c r="BF31" s="67"/>
      <c r="BG31" s="95"/>
      <c r="BH31" s="95"/>
      <c r="BI31" s="67"/>
      <c r="BJ31" s="67"/>
      <c r="BK31" s="67"/>
      <c r="BL31" s="95"/>
      <c r="BM31" s="95"/>
      <c r="BN31" s="67"/>
      <c r="BO31" s="67"/>
      <c r="BP31" s="67"/>
      <c r="BQ31" s="95"/>
      <c r="BR31" s="95"/>
      <c r="BS31" s="67"/>
      <c r="BT31" s="67"/>
      <c r="BU31" s="67"/>
      <c r="BV31" s="95"/>
      <c r="BW31" s="95"/>
      <c r="BX31" s="67"/>
      <c r="BY31" s="67"/>
      <c r="BZ31" s="67"/>
      <c r="CA31" s="95"/>
      <c r="CB31" s="95"/>
      <c r="CC31" s="67"/>
      <c r="CD31" s="67"/>
      <c r="CE31" s="67"/>
      <c r="CF31" s="95"/>
      <c r="CG31" s="95"/>
      <c r="CH31" s="67"/>
      <c r="CI31" s="67"/>
      <c r="CJ31" s="67"/>
      <c r="CK31" s="67"/>
      <c r="CL31" s="69"/>
      <c r="CM31" s="69"/>
      <c r="CN31" s="69"/>
      <c r="CO31" s="69"/>
      <c r="CP31" s="69"/>
      <c r="CQ31" s="69"/>
      <c r="CR31" s="69"/>
      <c r="CS31" s="75"/>
      <c r="CT31" s="75"/>
      <c r="CU31" s="75"/>
      <c r="CV31" s="75"/>
      <c r="CW31" s="90"/>
      <c r="CX31" s="75"/>
      <c r="CY31" s="75"/>
      <c r="CZ31" s="75"/>
      <c r="DA31" s="75"/>
      <c r="DB31" s="77"/>
      <c r="DC31" s="75"/>
      <c r="DD31" s="77"/>
      <c r="DE31" s="77"/>
      <c r="DF31" s="77"/>
      <c r="DG31" s="90"/>
      <c r="DH31" s="90">
        <v>0.3</v>
      </c>
      <c r="DI31" s="90">
        <v>0.25</v>
      </c>
      <c r="DJ31" s="90">
        <v>0.25</v>
      </c>
      <c r="DK31" s="90">
        <v>0.25</v>
      </c>
      <c r="DL31" s="188"/>
      <c r="DM31" s="188">
        <v>0.22</v>
      </c>
      <c r="DN31" s="188">
        <v>0.2</v>
      </c>
      <c r="DO31" s="188">
        <v>0.18</v>
      </c>
      <c r="DP31" s="188">
        <v>0.15</v>
      </c>
    </row>
    <row r="32" spans="1:120" x14ac:dyDescent="0.2">
      <c r="A32" s="68" t="s">
        <v>55</v>
      </c>
      <c r="G32" s="67"/>
      <c r="H32" s="67"/>
      <c r="I32" s="67"/>
      <c r="J32" s="67"/>
      <c r="K32" s="67"/>
      <c r="L32" s="67"/>
      <c r="M32" s="67"/>
      <c r="N32" s="67"/>
      <c r="O32" s="92"/>
      <c r="P32" s="67"/>
      <c r="Q32" s="92"/>
      <c r="R32" s="92"/>
      <c r="S32" s="92"/>
      <c r="T32" s="92"/>
      <c r="U32" s="93"/>
      <c r="V32" s="93"/>
      <c r="W32" s="93"/>
      <c r="X32" s="93"/>
      <c r="Y32" s="93"/>
      <c r="Z32" s="93"/>
      <c r="AA32" s="93"/>
      <c r="AB32" s="93"/>
      <c r="AC32" s="93"/>
      <c r="AD32" s="93"/>
      <c r="AE32" s="94"/>
      <c r="AF32" s="93"/>
      <c r="AG32" s="93"/>
      <c r="AH32" s="93"/>
      <c r="AI32" s="93"/>
      <c r="AJ32" s="94"/>
      <c r="AK32" s="93"/>
      <c r="AL32" s="93"/>
      <c r="AM32" s="93"/>
      <c r="AN32" s="93"/>
      <c r="AO32" s="94"/>
      <c r="AP32" s="93"/>
      <c r="AQ32" s="93"/>
      <c r="AR32" s="93"/>
      <c r="AS32" s="93"/>
      <c r="AT32" s="94"/>
      <c r="AU32" s="94"/>
      <c r="AV32" s="94"/>
      <c r="AW32" s="94"/>
      <c r="AX32" s="94"/>
      <c r="AY32" s="94"/>
      <c r="AZ32" s="94"/>
      <c r="BA32" s="94"/>
      <c r="BB32" s="94"/>
      <c r="BC32" s="94"/>
      <c r="BD32" s="67"/>
      <c r="BE32" s="67"/>
      <c r="BF32" s="67"/>
      <c r="BG32" s="95"/>
      <c r="BH32" s="95"/>
      <c r="BI32" s="67"/>
      <c r="BJ32" s="67"/>
      <c r="BK32" s="67"/>
      <c r="BL32" s="95"/>
      <c r="BM32" s="95"/>
      <c r="BN32" s="67"/>
      <c r="BO32" s="67"/>
      <c r="BP32" s="67"/>
      <c r="BQ32" s="95"/>
      <c r="BR32" s="95"/>
      <c r="BS32" s="67"/>
      <c r="BT32" s="67"/>
      <c r="BU32" s="67"/>
      <c r="BV32" s="95"/>
      <c r="BW32" s="95"/>
      <c r="BX32" s="67"/>
      <c r="BY32" s="67"/>
      <c r="BZ32" s="67"/>
      <c r="CA32" s="95"/>
      <c r="CB32" s="95"/>
      <c r="CC32" s="67"/>
      <c r="CD32" s="67"/>
      <c r="CE32" s="67"/>
      <c r="CF32" s="95"/>
      <c r="CG32" s="95"/>
      <c r="CH32" s="67"/>
      <c r="CI32" s="67"/>
      <c r="CJ32" s="67"/>
      <c r="CK32" s="67"/>
      <c r="CL32" s="69"/>
      <c r="CM32" s="69"/>
      <c r="CN32" s="69"/>
      <c r="CO32" s="69"/>
      <c r="CP32" s="69"/>
      <c r="CQ32" s="69"/>
      <c r="CR32" s="69"/>
      <c r="CS32" s="75"/>
      <c r="CT32" s="75"/>
      <c r="CU32" s="75"/>
      <c r="CV32" s="75"/>
      <c r="CW32" s="90"/>
      <c r="CX32" s="75"/>
      <c r="CY32" s="75"/>
      <c r="CZ32" s="75"/>
      <c r="DA32" s="75"/>
      <c r="DB32" s="77"/>
      <c r="DC32" s="75"/>
      <c r="DD32" s="77"/>
      <c r="DE32" s="77"/>
      <c r="DF32" s="77"/>
      <c r="DG32" s="90"/>
      <c r="DH32" s="90"/>
      <c r="DI32" s="90"/>
      <c r="DJ32" s="90"/>
      <c r="DK32" s="90"/>
      <c r="DL32" s="188"/>
      <c r="DM32" s="188"/>
      <c r="DN32" s="188">
        <v>0.28000000000000003</v>
      </c>
      <c r="DO32" s="188">
        <v>0.25</v>
      </c>
      <c r="DP32" s="188">
        <v>0.18</v>
      </c>
    </row>
    <row r="33" spans="1:120" x14ac:dyDescent="0.2">
      <c r="A33" s="78" t="s">
        <v>56</v>
      </c>
      <c r="B33" s="98"/>
      <c r="C33" s="98"/>
      <c r="D33" s="98"/>
      <c r="E33" s="98"/>
      <c r="F33" s="98"/>
      <c r="G33" s="83"/>
      <c r="H33" s="83"/>
      <c r="I33" s="83"/>
      <c r="J33" s="83"/>
      <c r="K33" s="83"/>
      <c r="L33" s="83"/>
      <c r="M33" s="83"/>
      <c r="N33" s="83"/>
      <c r="O33" s="99"/>
      <c r="P33" s="83"/>
      <c r="Q33" s="99"/>
      <c r="R33" s="99"/>
      <c r="S33" s="99"/>
      <c r="T33" s="99"/>
      <c r="U33" s="100"/>
      <c r="V33" s="100"/>
      <c r="W33" s="100"/>
      <c r="X33" s="100"/>
      <c r="Y33" s="100"/>
      <c r="Z33" s="100"/>
      <c r="AA33" s="100"/>
      <c r="AB33" s="100"/>
      <c r="AC33" s="100"/>
      <c r="AD33" s="100"/>
      <c r="AE33" s="101"/>
      <c r="AF33" s="100"/>
      <c r="AG33" s="100"/>
      <c r="AH33" s="100"/>
      <c r="AI33" s="100"/>
      <c r="AJ33" s="101"/>
      <c r="AK33" s="100"/>
      <c r="AL33" s="100"/>
      <c r="AM33" s="100"/>
      <c r="AN33" s="100"/>
      <c r="AO33" s="101"/>
      <c r="AP33" s="100"/>
      <c r="AQ33" s="100"/>
      <c r="AR33" s="100"/>
      <c r="AS33" s="100"/>
      <c r="AT33" s="101"/>
      <c r="AU33" s="101"/>
      <c r="AV33" s="101"/>
      <c r="AW33" s="101"/>
      <c r="AX33" s="101"/>
      <c r="AY33" s="101"/>
      <c r="AZ33" s="101"/>
      <c r="BA33" s="101"/>
      <c r="BB33" s="101"/>
      <c r="BC33" s="101"/>
      <c r="BD33" s="83"/>
      <c r="BE33" s="83"/>
      <c r="BF33" s="83"/>
      <c r="BG33" s="102"/>
      <c r="BH33" s="102"/>
      <c r="BI33" s="83"/>
      <c r="BJ33" s="83"/>
      <c r="BK33" s="83"/>
      <c r="BL33" s="102"/>
      <c r="BM33" s="102"/>
      <c r="BN33" s="83"/>
      <c r="BO33" s="83"/>
      <c r="BP33" s="83"/>
      <c r="BQ33" s="102"/>
      <c r="BR33" s="102"/>
      <c r="BS33" s="83"/>
      <c r="BT33" s="83"/>
      <c r="BU33" s="83"/>
      <c r="BV33" s="102"/>
      <c r="BW33" s="102"/>
      <c r="BX33" s="83"/>
      <c r="BY33" s="83"/>
      <c r="BZ33" s="83"/>
      <c r="CA33" s="102"/>
      <c r="CB33" s="102"/>
      <c r="CC33" s="83"/>
      <c r="CD33" s="83"/>
      <c r="CE33" s="83"/>
      <c r="CF33" s="102"/>
      <c r="CG33" s="102"/>
      <c r="CH33" s="83"/>
      <c r="CI33" s="83"/>
      <c r="CJ33" s="83"/>
      <c r="CK33" s="83"/>
      <c r="CL33" s="80"/>
      <c r="CM33" s="80"/>
      <c r="CN33" s="80"/>
      <c r="CO33" s="80"/>
      <c r="CP33" s="80"/>
      <c r="CQ33" s="80"/>
      <c r="CR33" s="80"/>
      <c r="CS33" s="83"/>
      <c r="CT33" s="83"/>
      <c r="CU33" s="83"/>
      <c r="CV33" s="83"/>
      <c r="CW33" s="80"/>
      <c r="CX33" s="83"/>
      <c r="CY33" s="83"/>
      <c r="CZ33" s="83"/>
      <c r="DA33" s="83"/>
      <c r="DB33" s="84"/>
      <c r="DC33" s="84"/>
      <c r="DD33" s="84"/>
      <c r="DE33" s="84"/>
      <c r="DF33" s="84"/>
      <c r="DG33" s="80"/>
      <c r="DH33" s="80">
        <f>DH30/DC30-1</f>
        <v>-0.13269230769230766</v>
      </c>
      <c r="DI33" s="80">
        <f>DI30/DD30-1</f>
        <v>0.42424242424242431</v>
      </c>
      <c r="DJ33" s="80">
        <f>DJ30/DE30-1</f>
        <v>0.38461538461538458</v>
      </c>
      <c r="DK33" s="80">
        <f>DK30/DF30-1</f>
        <v>0.45238095238095233</v>
      </c>
      <c r="DL33" s="189"/>
      <c r="DM33" s="189">
        <f t="shared" ref="DM33:DP33" si="27">DM30/DL30-1</f>
        <v>0.39653307580878794</v>
      </c>
      <c r="DN33" s="189">
        <f t="shared" si="27"/>
        <v>0.22766041310826957</v>
      </c>
      <c r="DO33" s="189">
        <f t="shared" si="27"/>
        <v>0.20523471666144699</v>
      </c>
      <c r="DP33" s="189">
        <f t="shared" si="27"/>
        <v>0.16121656887625702</v>
      </c>
    </row>
    <row r="34" spans="1:120" x14ac:dyDescent="0.2">
      <c r="A34" s="36" t="s">
        <v>69</v>
      </c>
      <c r="G34" s="36"/>
      <c r="H34" s="36"/>
      <c r="I34" s="36"/>
      <c r="J34" s="36"/>
      <c r="K34" s="36"/>
      <c r="L34" s="36">
        <v>25.7</v>
      </c>
      <c r="M34" s="36">
        <v>47.5</v>
      </c>
      <c r="N34" s="36">
        <v>46.5</v>
      </c>
      <c r="O34" s="36">
        <v>39.1</v>
      </c>
      <c r="P34" s="36">
        <f>O34+N34+M34+L34</f>
        <v>158.79999999999998</v>
      </c>
      <c r="Q34" s="36">
        <v>36.799999999999997</v>
      </c>
      <c r="R34" s="36">
        <v>44.8</v>
      </c>
      <c r="S34" s="36">
        <v>60</v>
      </c>
      <c r="T34" s="36">
        <v>79</v>
      </c>
      <c r="U34" s="36">
        <f>T34+S34+R34+Q34</f>
        <v>220.60000000000002</v>
      </c>
      <c r="V34" s="36">
        <v>57</v>
      </c>
      <c r="W34" s="36">
        <v>65</v>
      </c>
      <c r="X34" s="36">
        <v>70</v>
      </c>
      <c r="Y34" s="36">
        <v>73</v>
      </c>
      <c r="Z34" s="36">
        <f>Y34+X34+W34+V34</f>
        <v>265</v>
      </c>
      <c r="AA34" s="36">
        <v>67</v>
      </c>
      <c r="AB34" s="36">
        <v>72</v>
      </c>
      <c r="AC34" s="36">
        <v>72</v>
      </c>
      <c r="AD34" s="36">
        <v>74</v>
      </c>
      <c r="AE34" s="36">
        <f>AD34+AC34+AB34+AA34</f>
        <v>285</v>
      </c>
      <c r="AF34" s="36">
        <v>74</v>
      </c>
      <c r="AG34" s="36">
        <v>79</v>
      </c>
      <c r="AH34" s="36">
        <v>79</v>
      </c>
      <c r="AI34" s="36">
        <v>83</v>
      </c>
      <c r="AJ34" s="36">
        <f>AI34+AH34+AG34+AF34</f>
        <v>315</v>
      </c>
      <c r="AK34" s="36">
        <v>80</v>
      </c>
      <c r="AL34" s="36">
        <v>82</v>
      </c>
      <c r="AM34" s="36">
        <v>96</v>
      </c>
      <c r="AN34" s="36">
        <v>90</v>
      </c>
      <c r="AO34" s="36">
        <f>AN34+AM34+AL34+AK34</f>
        <v>348</v>
      </c>
      <c r="AP34" s="36">
        <v>92</v>
      </c>
      <c r="AQ34" s="36">
        <v>93</v>
      </c>
      <c r="AR34" s="36">
        <v>100</v>
      </c>
      <c r="AS34" s="36">
        <v>103</v>
      </c>
      <c r="AT34" s="36">
        <f>AS34+AR34+AQ34+AP34</f>
        <v>388</v>
      </c>
      <c r="AU34" s="36">
        <v>92</v>
      </c>
      <c r="AV34" s="36">
        <v>103</v>
      </c>
      <c r="AW34" s="36">
        <v>98</v>
      </c>
      <c r="AX34" s="36">
        <v>109</v>
      </c>
      <c r="AY34" s="36">
        <f>AX34+AW34+AV34+AU34</f>
        <v>402</v>
      </c>
      <c r="AZ34" s="36">
        <v>102</v>
      </c>
      <c r="BA34" s="36">
        <v>96</v>
      </c>
      <c r="BB34" s="36">
        <v>100</v>
      </c>
      <c r="BC34" s="36">
        <v>99</v>
      </c>
      <c r="BD34" s="36">
        <f>BC34+BB34+BA34+AZ34</f>
        <v>397</v>
      </c>
      <c r="BE34" s="36">
        <v>105</v>
      </c>
      <c r="BF34" s="36">
        <v>106</v>
      </c>
      <c r="BG34" s="36">
        <v>111</v>
      </c>
      <c r="BH34" s="36">
        <v>101</v>
      </c>
      <c r="BI34" s="36">
        <f>SUM(BE34:BH34)</f>
        <v>423</v>
      </c>
      <c r="BJ34" s="36">
        <v>108</v>
      </c>
      <c r="BK34" s="36">
        <v>108</v>
      </c>
      <c r="BL34" s="36">
        <v>71</v>
      </c>
      <c r="BM34" s="36">
        <v>17</v>
      </c>
      <c r="BN34" s="36">
        <f>SUM(BJ34:BM34)</f>
        <v>304</v>
      </c>
      <c r="BO34" s="36">
        <v>0</v>
      </c>
      <c r="BP34" s="36">
        <v>5</v>
      </c>
      <c r="BQ34" s="36">
        <v>1</v>
      </c>
      <c r="BR34" s="36">
        <v>3</v>
      </c>
      <c r="BS34" s="36">
        <f>SUM(BO34:BR34)</f>
        <v>9</v>
      </c>
      <c r="BT34" s="36">
        <v>0</v>
      </c>
      <c r="BU34" s="36">
        <v>2</v>
      </c>
      <c r="BV34" s="36">
        <v>6</v>
      </c>
      <c r="BW34" s="36">
        <v>1</v>
      </c>
      <c r="BX34" s="36">
        <f>SUM(BT34:BW34)</f>
        <v>9</v>
      </c>
      <c r="BY34" s="36">
        <v>4</v>
      </c>
      <c r="BZ34" s="36">
        <v>1</v>
      </c>
      <c r="CA34" s="36">
        <v>5</v>
      </c>
      <c r="CB34" s="36">
        <v>6</v>
      </c>
      <c r="CC34" s="36">
        <f>SUM(BY34:CB34)</f>
        <v>16</v>
      </c>
      <c r="CD34" s="36">
        <v>1</v>
      </c>
      <c r="CE34" s="36">
        <v>3</v>
      </c>
      <c r="CF34" s="36">
        <v>0</v>
      </c>
      <c r="CG34" s="36">
        <v>12</v>
      </c>
      <c r="CH34" s="36">
        <f>SUM(CD34:CG34)</f>
        <v>16</v>
      </c>
      <c r="CI34" s="36">
        <v>1</v>
      </c>
      <c r="CJ34" s="36">
        <v>1.3</v>
      </c>
      <c r="CK34" s="36">
        <v>0</v>
      </c>
      <c r="CL34" s="36">
        <v>3</v>
      </c>
      <c r="CM34" s="36">
        <f>SUM(CI34:CL34)</f>
        <v>5.3</v>
      </c>
      <c r="CN34" s="36"/>
      <c r="CO34" s="36"/>
      <c r="CP34" s="36"/>
      <c r="CQ34" s="36"/>
      <c r="CR34" s="36"/>
      <c r="CS34" s="36"/>
      <c r="CT34" s="36"/>
      <c r="CU34" s="36"/>
      <c r="CV34" s="36"/>
      <c r="CW34" s="36"/>
      <c r="CX34" s="36"/>
      <c r="CY34" s="36"/>
      <c r="CZ34" s="36"/>
      <c r="DA34" s="36"/>
      <c r="DB34" s="36"/>
      <c r="DC34" s="36"/>
      <c r="DD34" s="36"/>
      <c r="DE34" s="36"/>
      <c r="DF34" s="36"/>
      <c r="DG34" s="36"/>
      <c r="DH34" s="36"/>
      <c r="DI34" s="36"/>
      <c r="DJ34" s="36"/>
      <c r="DK34" s="36"/>
      <c r="DL34" s="183"/>
      <c r="DM34" s="183"/>
      <c r="DN34" s="183"/>
      <c r="DO34" s="183"/>
      <c r="DP34" s="183"/>
    </row>
    <row r="35" spans="1:120" x14ac:dyDescent="0.2">
      <c r="A35" s="36" t="s">
        <v>70</v>
      </c>
      <c r="G35" s="36"/>
      <c r="H35" s="36"/>
      <c r="I35" s="36"/>
      <c r="J35" s="36"/>
      <c r="K35" s="36"/>
      <c r="L35" s="36">
        <v>33.700000000000003</v>
      </c>
      <c r="M35" s="36">
        <v>39.5</v>
      </c>
      <c r="N35" s="36">
        <v>43.9</v>
      </c>
      <c r="O35" s="36">
        <v>48</v>
      </c>
      <c r="P35" s="36">
        <f>O35+N35+M35+L35</f>
        <v>165.10000000000002</v>
      </c>
      <c r="Q35" s="36">
        <v>48.8</v>
      </c>
      <c r="R35" s="36">
        <v>57</v>
      </c>
      <c r="S35" s="36">
        <v>61</v>
      </c>
      <c r="T35" s="36">
        <v>72</v>
      </c>
      <c r="U35" s="36">
        <f>T35+S35+R35+Q35</f>
        <v>238.8</v>
      </c>
      <c r="V35" s="36">
        <v>74</v>
      </c>
      <c r="W35" s="36">
        <v>80</v>
      </c>
      <c r="X35" s="36">
        <v>82</v>
      </c>
      <c r="Y35" s="36">
        <v>87</v>
      </c>
      <c r="Z35" s="36">
        <f>Y35+X35+W35+V35</f>
        <v>323</v>
      </c>
      <c r="AA35" s="36">
        <v>96</v>
      </c>
      <c r="AB35" s="36">
        <v>99</v>
      </c>
      <c r="AC35" s="36">
        <v>107</v>
      </c>
      <c r="AD35" s="36">
        <v>115</v>
      </c>
      <c r="AE35" s="36">
        <f>AD35+AC35+AB35+AA35</f>
        <v>417</v>
      </c>
      <c r="AF35" s="36">
        <v>122</v>
      </c>
      <c r="AG35" s="36">
        <v>137</v>
      </c>
      <c r="AH35" s="36">
        <v>136</v>
      </c>
      <c r="AI35" s="36">
        <v>151</v>
      </c>
      <c r="AJ35" s="36">
        <f>AI35+AH35+AG35+AF35</f>
        <v>546</v>
      </c>
      <c r="AK35" s="36">
        <v>156</v>
      </c>
      <c r="AL35" s="36">
        <v>169</v>
      </c>
      <c r="AM35" s="36">
        <v>177</v>
      </c>
      <c r="AN35" s="36">
        <v>152</v>
      </c>
      <c r="AO35" s="36">
        <f>AN35+AM35+AL35+AK35</f>
        <v>654</v>
      </c>
      <c r="AP35" s="36">
        <v>155</v>
      </c>
      <c r="AQ35" s="36">
        <v>163</v>
      </c>
      <c r="AR35" s="36">
        <v>178</v>
      </c>
      <c r="AS35" s="36">
        <v>189</v>
      </c>
      <c r="AT35" s="36">
        <f>AS35+AR35+AQ35+AP35</f>
        <v>685</v>
      </c>
      <c r="AU35" s="36">
        <v>182</v>
      </c>
      <c r="AV35" s="36">
        <v>168</v>
      </c>
      <c r="AW35" s="36">
        <v>156</v>
      </c>
      <c r="AX35" s="36">
        <v>157</v>
      </c>
      <c r="AY35" s="36">
        <f>AX35+AW35+AV35+AU35</f>
        <v>663</v>
      </c>
      <c r="AZ35" s="36">
        <v>145</v>
      </c>
      <c r="BA35" s="36">
        <v>138</v>
      </c>
      <c r="BB35" s="36">
        <v>123</v>
      </c>
      <c r="BC35" s="36">
        <v>132</v>
      </c>
      <c r="BD35" s="36">
        <f>BC35+BB35+BA35+AZ35</f>
        <v>538</v>
      </c>
      <c r="BE35" s="36">
        <v>132</v>
      </c>
      <c r="BF35" s="36">
        <v>119</v>
      </c>
      <c r="BG35" s="36">
        <v>116</v>
      </c>
      <c r="BH35" s="36">
        <v>128</v>
      </c>
      <c r="BI35" s="36">
        <f>SUM(BE35:BH35)</f>
        <v>495</v>
      </c>
      <c r="BJ35" s="36">
        <v>108</v>
      </c>
      <c r="BK35" s="36">
        <v>111</v>
      </c>
      <c r="BL35" s="36">
        <v>91</v>
      </c>
      <c r="BM35" s="36">
        <v>95</v>
      </c>
      <c r="BN35" s="36">
        <f>SUM(BJ35:BM35)</f>
        <v>405</v>
      </c>
      <c r="BO35" s="36">
        <v>83</v>
      </c>
      <c r="BP35" s="36">
        <v>88</v>
      </c>
      <c r="BQ35" s="36">
        <v>87</v>
      </c>
      <c r="BR35" s="36">
        <v>83</v>
      </c>
      <c r="BS35" s="36">
        <f>SUM(BO35:BR35)</f>
        <v>341</v>
      </c>
      <c r="BT35" s="36">
        <v>74</v>
      </c>
      <c r="BU35" s="36">
        <v>78</v>
      </c>
      <c r="BV35" s="36">
        <v>77</v>
      </c>
      <c r="BW35" s="36">
        <v>74</v>
      </c>
      <c r="BX35" s="36">
        <f>SUM(BT35:BW35)</f>
        <v>303</v>
      </c>
      <c r="BY35" s="36">
        <v>62</v>
      </c>
      <c r="BZ35" s="36">
        <v>72</v>
      </c>
      <c r="CA35" s="36">
        <v>73</v>
      </c>
      <c r="CB35" s="36">
        <v>61</v>
      </c>
      <c r="CC35" s="36">
        <f>SUM(BY35:CB35)</f>
        <v>268</v>
      </c>
      <c r="CD35" s="36">
        <v>65</v>
      </c>
      <c r="CE35" s="36">
        <v>61</v>
      </c>
      <c r="CF35" s="36">
        <v>68</v>
      </c>
      <c r="CG35" s="36">
        <v>62</v>
      </c>
      <c r="CH35" s="36">
        <f>SUM(CD35:CG35)</f>
        <v>256</v>
      </c>
      <c r="CI35" s="36">
        <v>56</v>
      </c>
      <c r="CJ35" s="36">
        <v>54.3</v>
      </c>
      <c r="CK35" s="36">
        <v>46</v>
      </c>
      <c r="CL35" s="36">
        <v>52</v>
      </c>
      <c r="CM35" s="36">
        <f>SUM(CI35:CL35)</f>
        <v>208.3</v>
      </c>
      <c r="CN35" s="36"/>
      <c r="CO35" s="36"/>
      <c r="CP35" s="36"/>
      <c r="CQ35" s="36"/>
      <c r="CR35" s="36"/>
      <c r="CS35" s="36"/>
      <c r="CT35" s="36"/>
      <c r="CU35" s="36"/>
      <c r="CV35" s="36"/>
      <c r="CW35" s="36"/>
      <c r="CX35" s="36"/>
      <c r="CY35" s="36"/>
      <c r="CZ35" s="36"/>
      <c r="DA35" s="36"/>
      <c r="DB35" s="36"/>
      <c r="DC35" s="36"/>
      <c r="DD35" s="36"/>
      <c r="DE35" s="36"/>
      <c r="DF35" s="36"/>
      <c r="DG35" s="36"/>
      <c r="DH35" s="36"/>
      <c r="DI35" s="36"/>
      <c r="DJ35" s="36"/>
      <c r="DK35" s="36"/>
      <c r="DL35" s="183"/>
      <c r="DM35" s="183"/>
      <c r="DN35" s="183"/>
      <c r="DO35" s="183"/>
      <c r="DP35" s="183"/>
    </row>
    <row r="36" spans="1:120" x14ac:dyDescent="0.2">
      <c r="A36" s="39" t="s">
        <v>71</v>
      </c>
      <c r="G36" s="39"/>
      <c r="H36" s="39"/>
      <c r="I36" s="39"/>
      <c r="J36" s="39"/>
      <c r="K36" s="39"/>
      <c r="L36" s="39">
        <f>L35+L34</f>
        <v>59.400000000000006</v>
      </c>
      <c r="M36" s="39">
        <f>M35+M34</f>
        <v>87</v>
      </c>
      <c r="N36" s="39">
        <f>N35+N34</f>
        <v>90.4</v>
      </c>
      <c r="O36" s="39">
        <f>O35+O34</f>
        <v>87.1</v>
      </c>
      <c r="P36" s="39">
        <f>O36+N36+M36+L36</f>
        <v>323.89999999999998</v>
      </c>
      <c r="Q36" s="39">
        <f>Q35+Q34</f>
        <v>85.6</v>
      </c>
      <c r="R36" s="39">
        <f>R35+R34</f>
        <v>101.8</v>
      </c>
      <c r="S36" s="39">
        <f>S35+S34</f>
        <v>121</v>
      </c>
      <c r="T36" s="39">
        <f>T35+T34</f>
        <v>151</v>
      </c>
      <c r="U36" s="39">
        <f>T36+S36+R36+Q36</f>
        <v>459.4</v>
      </c>
      <c r="V36" s="39">
        <f>V35+V34</f>
        <v>131</v>
      </c>
      <c r="W36" s="39">
        <f>W35+W34</f>
        <v>145</v>
      </c>
      <c r="X36" s="39">
        <f>X35+X34</f>
        <v>152</v>
      </c>
      <c r="Y36" s="39">
        <f>Y35+Y34</f>
        <v>160</v>
      </c>
      <c r="Z36" s="39">
        <f>Y36+X36+W36+V36</f>
        <v>588</v>
      </c>
      <c r="AA36" s="39">
        <f>AA35+AA34</f>
        <v>163</v>
      </c>
      <c r="AB36" s="39">
        <f>AB35+AB34</f>
        <v>171</v>
      </c>
      <c r="AC36" s="39">
        <f>AC35+AC34</f>
        <v>179</v>
      </c>
      <c r="AD36" s="39">
        <f>AD35+AD34</f>
        <v>189</v>
      </c>
      <c r="AE36" s="39">
        <f>AD36+AC36+AB36+AA36</f>
        <v>702</v>
      </c>
      <c r="AF36" s="39">
        <f>AF35+AF34</f>
        <v>196</v>
      </c>
      <c r="AG36" s="39">
        <f>AG35+AG34</f>
        <v>216</v>
      </c>
      <c r="AH36" s="39">
        <f>AH35+AH34</f>
        <v>215</v>
      </c>
      <c r="AI36" s="39">
        <f>AI35+AI34</f>
        <v>234</v>
      </c>
      <c r="AJ36" s="39">
        <f>AI36+AH36+AG36+AF36</f>
        <v>861</v>
      </c>
      <c r="AK36" s="39">
        <f>AK35+AK34</f>
        <v>236</v>
      </c>
      <c r="AL36" s="39">
        <f>AL35+AL34</f>
        <v>251</v>
      </c>
      <c r="AM36" s="39">
        <f>AM35+AM34</f>
        <v>273</v>
      </c>
      <c r="AN36" s="39">
        <f>AN35+AN34</f>
        <v>242</v>
      </c>
      <c r="AO36" s="39">
        <f>AN36+AM36+AL36+AK36</f>
        <v>1002</v>
      </c>
      <c r="AP36" s="39">
        <f>AP35+AP34</f>
        <v>247</v>
      </c>
      <c r="AQ36" s="39">
        <f>AQ35+AQ34</f>
        <v>256</v>
      </c>
      <c r="AR36" s="39">
        <f>AR35+AR34</f>
        <v>278</v>
      </c>
      <c r="AS36" s="39">
        <f>AS35+AS34</f>
        <v>292</v>
      </c>
      <c r="AT36" s="39">
        <f>AS36+AR36+AQ36+AP36</f>
        <v>1073</v>
      </c>
      <c r="AU36" s="39">
        <f>AU35+AU34</f>
        <v>274</v>
      </c>
      <c r="AV36" s="39">
        <f>AV35+AV34</f>
        <v>271</v>
      </c>
      <c r="AW36" s="39">
        <f>AW35+AW34</f>
        <v>254</v>
      </c>
      <c r="AX36" s="39">
        <f>AX35+AX34</f>
        <v>266</v>
      </c>
      <c r="AY36" s="39">
        <f>AX36+AW36+AV36+AU36</f>
        <v>1065</v>
      </c>
      <c r="AZ36" s="39">
        <f>AZ35+AZ34</f>
        <v>247</v>
      </c>
      <c r="BA36" s="39">
        <f>BA35+BA34</f>
        <v>234</v>
      </c>
      <c r="BB36" s="39">
        <f>BB35+BB34</f>
        <v>223</v>
      </c>
      <c r="BC36" s="39">
        <f>BC35+BC34</f>
        <v>231</v>
      </c>
      <c r="BD36" s="39">
        <f>BC36+BB36+BA36+AZ36</f>
        <v>935</v>
      </c>
      <c r="BE36" s="39">
        <f>BE34+BE35</f>
        <v>237</v>
      </c>
      <c r="BF36" s="39">
        <f>BF34+BF35</f>
        <v>225</v>
      </c>
      <c r="BG36" s="39">
        <f>BG34+BG35</f>
        <v>227</v>
      </c>
      <c r="BH36" s="39">
        <f>BH34+BH35</f>
        <v>229</v>
      </c>
      <c r="BI36" s="39">
        <f t="shared" ref="BI36:CM36" si="28">BI35+BI34</f>
        <v>918</v>
      </c>
      <c r="BJ36" s="39">
        <f t="shared" si="28"/>
        <v>216</v>
      </c>
      <c r="BK36" s="39">
        <f t="shared" si="28"/>
        <v>219</v>
      </c>
      <c r="BL36" s="39">
        <f t="shared" si="28"/>
        <v>162</v>
      </c>
      <c r="BM36" s="39">
        <f t="shared" si="28"/>
        <v>112</v>
      </c>
      <c r="BN36" s="39">
        <f t="shared" si="28"/>
        <v>709</v>
      </c>
      <c r="BO36" s="39">
        <f t="shared" si="28"/>
        <v>83</v>
      </c>
      <c r="BP36" s="39">
        <f t="shared" si="28"/>
        <v>93</v>
      </c>
      <c r="BQ36" s="39">
        <f t="shared" si="28"/>
        <v>88</v>
      </c>
      <c r="BR36" s="39">
        <f t="shared" si="28"/>
        <v>86</v>
      </c>
      <c r="BS36" s="39">
        <f t="shared" si="28"/>
        <v>350</v>
      </c>
      <c r="BT36" s="39">
        <f t="shared" si="28"/>
        <v>74</v>
      </c>
      <c r="BU36" s="39">
        <f t="shared" si="28"/>
        <v>80</v>
      </c>
      <c r="BV36" s="39">
        <f t="shared" si="28"/>
        <v>83</v>
      </c>
      <c r="BW36" s="39">
        <f t="shared" si="28"/>
        <v>75</v>
      </c>
      <c r="BX36" s="39">
        <f t="shared" si="28"/>
        <v>312</v>
      </c>
      <c r="BY36" s="39">
        <f t="shared" si="28"/>
        <v>66</v>
      </c>
      <c r="BZ36" s="39">
        <f t="shared" si="28"/>
        <v>73</v>
      </c>
      <c r="CA36" s="39">
        <f t="shared" si="28"/>
        <v>78</v>
      </c>
      <c r="CB36" s="39">
        <f t="shared" si="28"/>
        <v>67</v>
      </c>
      <c r="CC36" s="39">
        <f t="shared" si="28"/>
        <v>284</v>
      </c>
      <c r="CD36" s="39">
        <f t="shared" si="28"/>
        <v>66</v>
      </c>
      <c r="CE36" s="39">
        <f t="shared" si="28"/>
        <v>64</v>
      </c>
      <c r="CF36" s="39">
        <f t="shared" si="28"/>
        <v>68</v>
      </c>
      <c r="CG36" s="39">
        <f t="shared" si="28"/>
        <v>74</v>
      </c>
      <c r="CH36" s="39">
        <f t="shared" si="28"/>
        <v>272</v>
      </c>
      <c r="CI36" s="39">
        <f t="shared" si="28"/>
        <v>57</v>
      </c>
      <c r="CJ36" s="39">
        <f t="shared" si="28"/>
        <v>55.599999999999994</v>
      </c>
      <c r="CK36" s="39">
        <f t="shared" si="28"/>
        <v>46</v>
      </c>
      <c r="CL36" s="39">
        <f t="shared" si="28"/>
        <v>55</v>
      </c>
      <c r="CM36" s="39">
        <f t="shared" si="28"/>
        <v>213.60000000000002</v>
      </c>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187"/>
      <c r="DM36" s="187"/>
      <c r="DN36" s="187"/>
      <c r="DO36" s="187"/>
      <c r="DP36" s="187"/>
    </row>
    <row r="37" spans="1:120" x14ac:dyDescent="0.2">
      <c r="A37" s="68" t="s">
        <v>54</v>
      </c>
      <c r="G37" s="75"/>
      <c r="H37" s="75"/>
      <c r="I37" s="75"/>
      <c r="J37" s="75"/>
      <c r="K37" s="75"/>
      <c r="L37" s="75" t="e">
        <f t="shared" ref="L37:O39" si="29">L34/G34-1</f>
        <v>#DIV/0!</v>
      </c>
      <c r="M37" s="75" t="e">
        <f t="shared" si="29"/>
        <v>#DIV/0!</v>
      </c>
      <c r="N37" s="75" t="e">
        <f t="shared" si="29"/>
        <v>#DIV/0!</v>
      </c>
      <c r="O37" s="75" t="e">
        <f t="shared" si="29"/>
        <v>#DIV/0!</v>
      </c>
      <c r="P37" s="75"/>
      <c r="Q37" s="75">
        <f t="shared" ref="Q37:CB39" si="30">Q34/L34-1</f>
        <v>0.43190661478599224</v>
      </c>
      <c r="R37" s="75">
        <f t="shared" si="30"/>
        <v>-5.6842105263157916E-2</v>
      </c>
      <c r="S37" s="75">
        <f t="shared" si="30"/>
        <v>0.29032258064516125</v>
      </c>
      <c r="T37" s="75">
        <f t="shared" si="30"/>
        <v>1.0204603580562659</v>
      </c>
      <c r="U37" s="75">
        <f t="shared" si="30"/>
        <v>0.38916876574307335</v>
      </c>
      <c r="V37" s="75">
        <f t="shared" si="30"/>
        <v>0.54891304347826098</v>
      </c>
      <c r="W37" s="75">
        <f t="shared" si="30"/>
        <v>0.45089285714285721</v>
      </c>
      <c r="X37" s="75">
        <f t="shared" si="30"/>
        <v>0.16666666666666674</v>
      </c>
      <c r="Y37" s="75">
        <f t="shared" si="30"/>
        <v>-7.5949367088607556E-2</v>
      </c>
      <c r="Z37" s="75">
        <f t="shared" si="30"/>
        <v>0.2012692656391657</v>
      </c>
      <c r="AA37" s="75">
        <f t="shared" si="30"/>
        <v>0.17543859649122817</v>
      </c>
      <c r="AB37" s="75">
        <f t="shared" si="30"/>
        <v>0.10769230769230775</v>
      </c>
      <c r="AC37" s="75">
        <f t="shared" si="30"/>
        <v>2.857142857142847E-2</v>
      </c>
      <c r="AD37" s="75">
        <f t="shared" si="30"/>
        <v>1.3698630136986356E-2</v>
      </c>
      <c r="AE37" s="75">
        <f t="shared" si="30"/>
        <v>7.547169811320753E-2</v>
      </c>
      <c r="AF37" s="75">
        <f t="shared" si="30"/>
        <v>0.10447761194029859</v>
      </c>
      <c r="AG37" s="75">
        <f t="shared" si="30"/>
        <v>9.7222222222222321E-2</v>
      </c>
      <c r="AH37" s="75">
        <f t="shared" si="30"/>
        <v>9.7222222222222321E-2</v>
      </c>
      <c r="AI37" s="75">
        <f t="shared" si="30"/>
        <v>0.12162162162162171</v>
      </c>
      <c r="AJ37" s="75">
        <f t="shared" si="30"/>
        <v>0.10526315789473695</v>
      </c>
      <c r="AK37" s="75">
        <f t="shared" si="30"/>
        <v>8.1081081081081141E-2</v>
      </c>
      <c r="AL37" s="75">
        <f t="shared" si="30"/>
        <v>3.7974683544303778E-2</v>
      </c>
      <c r="AM37" s="75">
        <f t="shared" si="30"/>
        <v>0.21518987341772156</v>
      </c>
      <c r="AN37" s="75">
        <f t="shared" si="30"/>
        <v>8.43373493975903E-2</v>
      </c>
      <c r="AO37" s="75">
        <f t="shared" si="30"/>
        <v>0.10476190476190483</v>
      </c>
      <c r="AP37" s="75">
        <f t="shared" si="30"/>
        <v>0.14999999999999991</v>
      </c>
      <c r="AQ37" s="75">
        <f t="shared" si="30"/>
        <v>0.13414634146341453</v>
      </c>
      <c r="AR37" s="75">
        <f t="shared" si="30"/>
        <v>4.1666666666666741E-2</v>
      </c>
      <c r="AS37" s="75">
        <f t="shared" si="30"/>
        <v>0.14444444444444438</v>
      </c>
      <c r="AT37" s="75">
        <f t="shared" si="30"/>
        <v>0.11494252873563227</v>
      </c>
      <c r="AU37" s="75">
        <f t="shared" si="30"/>
        <v>0</v>
      </c>
      <c r="AV37" s="75">
        <f t="shared" si="30"/>
        <v>0.10752688172043001</v>
      </c>
      <c r="AW37" s="75">
        <f t="shared" si="30"/>
        <v>-2.0000000000000018E-2</v>
      </c>
      <c r="AX37" s="75">
        <f t="shared" si="30"/>
        <v>5.8252427184465994E-2</v>
      </c>
      <c r="AY37" s="75">
        <f t="shared" si="30"/>
        <v>3.6082474226804218E-2</v>
      </c>
      <c r="AZ37" s="75">
        <f t="shared" si="30"/>
        <v>0.10869565217391308</v>
      </c>
      <c r="BA37" s="75">
        <f t="shared" si="30"/>
        <v>-6.7961165048543659E-2</v>
      </c>
      <c r="BB37" s="75">
        <f t="shared" si="30"/>
        <v>2.0408163265306145E-2</v>
      </c>
      <c r="BC37" s="75">
        <f t="shared" si="30"/>
        <v>-9.1743119266055051E-2</v>
      </c>
      <c r="BD37" s="75">
        <f t="shared" si="30"/>
        <v>-1.2437810945273631E-2</v>
      </c>
      <c r="BE37" s="76">
        <f t="shared" si="30"/>
        <v>2.9411764705882248E-2</v>
      </c>
      <c r="BF37" s="76">
        <f t="shared" si="30"/>
        <v>0.10416666666666674</v>
      </c>
      <c r="BG37" s="76">
        <f t="shared" si="30"/>
        <v>0.1100000000000001</v>
      </c>
      <c r="BH37" s="76">
        <f t="shared" si="30"/>
        <v>2.020202020202011E-2</v>
      </c>
      <c r="BI37" s="90">
        <f t="shared" si="30"/>
        <v>6.5491183879093251E-2</v>
      </c>
      <c r="BJ37" s="76">
        <f t="shared" si="30"/>
        <v>2.857142857142847E-2</v>
      </c>
      <c r="BK37" s="76">
        <f t="shared" si="30"/>
        <v>1.8867924528301883E-2</v>
      </c>
      <c r="BL37" s="76">
        <f t="shared" si="30"/>
        <v>-0.36036036036036034</v>
      </c>
      <c r="BM37" s="76">
        <f t="shared" si="30"/>
        <v>-0.83168316831683164</v>
      </c>
      <c r="BN37" s="90">
        <f>BN34/BI34-1</f>
        <v>-0.28132387706855788</v>
      </c>
      <c r="BO37" s="76"/>
      <c r="BP37" s="76">
        <f t="shared" si="30"/>
        <v>-0.95370370370370372</v>
      </c>
      <c r="BQ37" s="76">
        <f t="shared" si="30"/>
        <v>-0.9859154929577465</v>
      </c>
      <c r="BR37" s="76">
        <f t="shared" si="30"/>
        <v>-0.82352941176470584</v>
      </c>
      <c r="BS37" s="90">
        <f>BS34/BN34-1</f>
        <v>-0.97039473684210531</v>
      </c>
      <c r="BT37" s="76"/>
      <c r="BU37" s="76">
        <f t="shared" si="30"/>
        <v>-0.6</v>
      </c>
      <c r="BV37" s="76">
        <f t="shared" si="30"/>
        <v>5</v>
      </c>
      <c r="BW37" s="76">
        <f t="shared" si="30"/>
        <v>-0.66666666666666674</v>
      </c>
      <c r="BX37" s="75">
        <f>BX34/BS34-1</f>
        <v>0</v>
      </c>
      <c r="BY37" s="76"/>
      <c r="BZ37" s="76">
        <f t="shared" si="30"/>
        <v>-0.5</v>
      </c>
      <c r="CA37" s="76">
        <f t="shared" si="30"/>
        <v>-0.16666666666666663</v>
      </c>
      <c r="CB37" s="76">
        <f t="shared" si="30"/>
        <v>5</v>
      </c>
      <c r="CC37" s="75">
        <f>CC34/BX34-1</f>
        <v>0.77777777777777768</v>
      </c>
      <c r="CD37" s="76">
        <f t="shared" ref="CD37:CK38" si="31">CD34/BY34-1</f>
        <v>-0.75</v>
      </c>
      <c r="CE37" s="76">
        <f t="shared" si="31"/>
        <v>2</v>
      </c>
      <c r="CF37" s="76">
        <f t="shared" si="31"/>
        <v>-1</v>
      </c>
      <c r="CG37" s="76">
        <f t="shared" si="31"/>
        <v>1</v>
      </c>
      <c r="CH37" s="75">
        <f>CH34/CC34-1</f>
        <v>0</v>
      </c>
      <c r="CI37" s="76">
        <f t="shared" si="31"/>
        <v>0</v>
      </c>
      <c r="CJ37" s="76">
        <f t="shared" si="31"/>
        <v>-0.56666666666666665</v>
      </c>
      <c r="CK37" s="76"/>
      <c r="CL37" s="76">
        <f t="shared" ref="CL37:CM39" si="32">CL34/CG34-1</f>
        <v>-0.75</v>
      </c>
      <c r="CM37" s="75">
        <f t="shared" si="32"/>
        <v>-0.66874999999999996</v>
      </c>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5"/>
      <c r="DL37" s="192"/>
      <c r="DM37" s="192"/>
      <c r="DN37" s="192"/>
      <c r="DO37" s="192"/>
      <c r="DP37" s="192"/>
    </row>
    <row r="38" spans="1:120" x14ac:dyDescent="0.2">
      <c r="A38" s="68" t="s">
        <v>55</v>
      </c>
      <c r="G38" s="75"/>
      <c r="H38" s="75"/>
      <c r="I38" s="75"/>
      <c r="J38" s="75"/>
      <c r="K38" s="75"/>
      <c r="L38" s="75" t="e">
        <f t="shared" si="29"/>
        <v>#DIV/0!</v>
      </c>
      <c r="M38" s="75" t="e">
        <f t="shared" si="29"/>
        <v>#DIV/0!</v>
      </c>
      <c r="N38" s="75" t="e">
        <f t="shared" si="29"/>
        <v>#DIV/0!</v>
      </c>
      <c r="O38" s="75" t="e">
        <f t="shared" si="29"/>
        <v>#DIV/0!</v>
      </c>
      <c r="P38" s="75"/>
      <c r="Q38" s="75">
        <f t="shared" si="30"/>
        <v>0.4480712166172105</v>
      </c>
      <c r="R38" s="75">
        <f t="shared" si="30"/>
        <v>0.44303797468354422</v>
      </c>
      <c r="S38" s="75">
        <f t="shared" si="30"/>
        <v>0.38952164009111612</v>
      </c>
      <c r="T38" s="75">
        <f t="shared" si="30"/>
        <v>0.5</v>
      </c>
      <c r="U38" s="75">
        <f t="shared" si="30"/>
        <v>0.44639612356147773</v>
      </c>
      <c r="V38" s="75">
        <f t="shared" si="30"/>
        <v>0.51639344262295084</v>
      </c>
      <c r="W38" s="75">
        <f t="shared" si="30"/>
        <v>0.40350877192982448</v>
      </c>
      <c r="X38" s="75">
        <f t="shared" si="30"/>
        <v>0.34426229508196715</v>
      </c>
      <c r="Y38" s="75">
        <f t="shared" si="30"/>
        <v>0.20833333333333326</v>
      </c>
      <c r="Z38" s="75">
        <f t="shared" si="30"/>
        <v>0.35259631490787258</v>
      </c>
      <c r="AA38" s="75">
        <f t="shared" si="30"/>
        <v>0.29729729729729737</v>
      </c>
      <c r="AB38" s="75">
        <f t="shared" si="30"/>
        <v>0.23750000000000004</v>
      </c>
      <c r="AC38" s="75">
        <f t="shared" si="30"/>
        <v>0.30487804878048785</v>
      </c>
      <c r="AD38" s="75">
        <f t="shared" si="30"/>
        <v>0.32183908045977017</v>
      </c>
      <c r="AE38" s="75">
        <f t="shared" si="30"/>
        <v>0.29102167182662542</v>
      </c>
      <c r="AF38" s="75">
        <f t="shared" si="30"/>
        <v>0.27083333333333326</v>
      </c>
      <c r="AG38" s="75">
        <f t="shared" si="30"/>
        <v>0.38383838383838387</v>
      </c>
      <c r="AH38" s="75">
        <f t="shared" si="30"/>
        <v>0.27102803738317749</v>
      </c>
      <c r="AI38" s="75">
        <f t="shared" si="30"/>
        <v>0.31304347826086953</v>
      </c>
      <c r="AJ38" s="75">
        <f t="shared" si="30"/>
        <v>0.30935251798561159</v>
      </c>
      <c r="AK38" s="75">
        <f t="shared" si="30"/>
        <v>0.27868852459016402</v>
      </c>
      <c r="AL38" s="75">
        <f t="shared" si="30"/>
        <v>0.23357664233576636</v>
      </c>
      <c r="AM38" s="75">
        <f t="shared" si="30"/>
        <v>0.30147058823529416</v>
      </c>
      <c r="AN38" s="75">
        <f t="shared" si="30"/>
        <v>6.6225165562914245E-3</v>
      </c>
      <c r="AO38" s="75">
        <f t="shared" si="30"/>
        <v>0.19780219780219777</v>
      </c>
      <c r="AP38" s="75">
        <f t="shared" si="30"/>
        <v>-6.4102564102563875E-3</v>
      </c>
      <c r="AQ38" s="75">
        <f t="shared" si="30"/>
        <v>-3.5502958579881616E-2</v>
      </c>
      <c r="AR38" s="75">
        <f t="shared" si="30"/>
        <v>5.6497175141243527E-3</v>
      </c>
      <c r="AS38" s="75">
        <f t="shared" si="30"/>
        <v>0.24342105263157898</v>
      </c>
      <c r="AT38" s="75">
        <f t="shared" si="30"/>
        <v>4.7400611620795008E-2</v>
      </c>
      <c r="AU38" s="75">
        <f t="shared" si="30"/>
        <v>0.17419354838709666</v>
      </c>
      <c r="AV38" s="75">
        <f t="shared" si="30"/>
        <v>3.0674846625766916E-2</v>
      </c>
      <c r="AW38" s="75">
        <f t="shared" si="30"/>
        <v>-0.1235955056179775</v>
      </c>
      <c r="AX38" s="75">
        <f t="shared" si="30"/>
        <v>-0.1693121693121693</v>
      </c>
      <c r="AY38" s="75">
        <f t="shared" si="30"/>
        <v>-3.2116788321167933E-2</v>
      </c>
      <c r="AZ38" s="75">
        <f t="shared" si="30"/>
        <v>-0.20329670329670335</v>
      </c>
      <c r="BA38" s="75">
        <f t="shared" si="30"/>
        <v>-0.1785714285714286</v>
      </c>
      <c r="BB38" s="75">
        <f t="shared" si="30"/>
        <v>-0.21153846153846156</v>
      </c>
      <c r="BC38" s="75">
        <f t="shared" si="30"/>
        <v>-0.15923566878980888</v>
      </c>
      <c r="BD38" s="75">
        <f t="shared" si="30"/>
        <v>-0.18853695324283559</v>
      </c>
      <c r="BE38" s="76">
        <f t="shared" si="30"/>
        <v>-8.9655172413793061E-2</v>
      </c>
      <c r="BF38" s="76">
        <f t="shared" si="30"/>
        <v>-0.1376811594202898</v>
      </c>
      <c r="BG38" s="76">
        <f t="shared" si="30"/>
        <v>-5.6910569105691033E-2</v>
      </c>
      <c r="BH38" s="76">
        <f t="shared" si="30"/>
        <v>-3.0303030303030276E-2</v>
      </c>
      <c r="BI38" s="90">
        <f t="shared" si="30"/>
        <v>-7.9925650557620798E-2</v>
      </c>
      <c r="BJ38" s="76">
        <f t="shared" si="30"/>
        <v>-0.18181818181818177</v>
      </c>
      <c r="BK38" s="76">
        <f t="shared" si="30"/>
        <v>-6.7226890756302504E-2</v>
      </c>
      <c r="BL38" s="76">
        <f t="shared" si="30"/>
        <v>-0.21551724137931039</v>
      </c>
      <c r="BM38" s="76">
        <f t="shared" si="30"/>
        <v>-0.2578125</v>
      </c>
      <c r="BN38" s="90">
        <f>BN35/BI35-1</f>
        <v>-0.18181818181818177</v>
      </c>
      <c r="BO38" s="76">
        <f t="shared" si="30"/>
        <v>-0.23148148148148151</v>
      </c>
      <c r="BP38" s="76">
        <f t="shared" si="30"/>
        <v>-0.2072072072072072</v>
      </c>
      <c r="BQ38" s="76">
        <f t="shared" si="30"/>
        <v>-4.3956043956043911E-2</v>
      </c>
      <c r="BR38" s="76">
        <f t="shared" si="30"/>
        <v>-0.12631578947368416</v>
      </c>
      <c r="BS38" s="90">
        <f>BS35/BN35-1</f>
        <v>-0.15802469135802466</v>
      </c>
      <c r="BT38" s="76">
        <f t="shared" si="30"/>
        <v>-0.10843373493975905</v>
      </c>
      <c r="BU38" s="76">
        <f t="shared" si="30"/>
        <v>-0.11363636363636365</v>
      </c>
      <c r="BV38" s="76">
        <f t="shared" si="30"/>
        <v>-0.11494252873563215</v>
      </c>
      <c r="BW38" s="76">
        <f t="shared" si="30"/>
        <v>-0.10843373493975905</v>
      </c>
      <c r="BX38" s="75">
        <f>BX35/BS35-1</f>
        <v>-0.11143695014662758</v>
      </c>
      <c r="BY38" s="76">
        <f t="shared" si="30"/>
        <v>-0.16216216216216217</v>
      </c>
      <c r="BZ38" s="76">
        <f t="shared" si="30"/>
        <v>-7.6923076923076872E-2</v>
      </c>
      <c r="CA38" s="76">
        <f t="shared" si="30"/>
        <v>-5.1948051948051965E-2</v>
      </c>
      <c r="CB38" s="76">
        <f t="shared" si="30"/>
        <v>-0.17567567567567566</v>
      </c>
      <c r="CC38" s="75">
        <f>CC35/BX35-1</f>
        <v>-0.11551155115511547</v>
      </c>
      <c r="CD38" s="76">
        <f t="shared" si="31"/>
        <v>4.8387096774193505E-2</v>
      </c>
      <c r="CE38" s="76">
        <f t="shared" si="31"/>
        <v>-0.15277777777777779</v>
      </c>
      <c r="CF38" s="76">
        <f t="shared" si="31"/>
        <v>-6.8493150684931559E-2</v>
      </c>
      <c r="CG38" s="76">
        <f t="shared" si="31"/>
        <v>1.6393442622950838E-2</v>
      </c>
      <c r="CH38" s="75">
        <f>CH35/CC35-1</f>
        <v>-4.4776119402985093E-2</v>
      </c>
      <c r="CI38" s="76">
        <f t="shared" si="31"/>
        <v>-0.13846153846153841</v>
      </c>
      <c r="CJ38" s="76">
        <f t="shared" si="31"/>
        <v>-0.10983606557377057</v>
      </c>
      <c r="CK38" s="76">
        <f t="shared" si="31"/>
        <v>-0.32352941176470584</v>
      </c>
      <c r="CL38" s="76">
        <f t="shared" si="32"/>
        <v>-0.16129032258064513</v>
      </c>
      <c r="CM38" s="75">
        <f t="shared" si="32"/>
        <v>-0.18632812499999996</v>
      </c>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5"/>
      <c r="DL38" s="192"/>
      <c r="DM38" s="192"/>
      <c r="DN38" s="192"/>
      <c r="DO38" s="192"/>
      <c r="DP38" s="192"/>
    </row>
    <row r="39" spans="1:120" x14ac:dyDescent="0.2">
      <c r="A39" s="78" t="s">
        <v>56</v>
      </c>
      <c r="F39" s="98"/>
      <c r="G39" s="83"/>
      <c r="H39" s="83"/>
      <c r="I39" s="83"/>
      <c r="J39" s="83"/>
      <c r="K39" s="83"/>
      <c r="L39" s="83" t="e">
        <f t="shared" si="29"/>
        <v>#DIV/0!</v>
      </c>
      <c r="M39" s="83" t="e">
        <f t="shared" si="29"/>
        <v>#DIV/0!</v>
      </c>
      <c r="N39" s="83" t="e">
        <f t="shared" si="29"/>
        <v>#DIV/0!</v>
      </c>
      <c r="O39" s="83" t="e">
        <f t="shared" si="29"/>
        <v>#DIV/0!</v>
      </c>
      <c r="P39" s="83"/>
      <c r="Q39" s="83">
        <f t="shared" si="30"/>
        <v>0.44107744107744074</v>
      </c>
      <c r="R39" s="83">
        <f t="shared" si="30"/>
        <v>0.1701149425287356</v>
      </c>
      <c r="S39" s="83">
        <f t="shared" si="30"/>
        <v>0.33849557522123885</v>
      </c>
      <c r="T39" s="83">
        <f t="shared" si="30"/>
        <v>0.73363949483352475</v>
      </c>
      <c r="U39" s="83">
        <f t="shared" si="30"/>
        <v>0.41833899351651738</v>
      </c>
      <c r="V39" s="83">
        <f t="shared" si="30"/>
        <v>0.53037383177570097</v>
      </c>
      <c r="W39" s="83">
        <f t="shared" si="30"/>
        <v>0.42436149312377225</v>
      </c>
      <c r="X39" s="83">
        <f t="shared" si="30"/>
        <v>0.25619834710743805</v>
      </c>
      <c r="Y39" s="83">
        <f t="shared" si="30"/>
        <v>5.9602649006622599E-2</v>
      </c>
      <c r="Z39" s="83">
        <f t="shared" si="30"/>
        <v>0.27993034392686122</v>
      </c>
      <c r="AA39" s="83">
        <f t="shared" si="30"/>
        <v>0.24427480916030531</v>
      </c>
      <c r="AB39" s="83">
        <f t="shared" si="30"/>
        <v>0.17931034482758612</v>
      </c>
      <c r="AC39" s="83">
        <f t="shared" si="30"/>
        <v>0.17763157894736836</v>
      </c>
      <c r="AD39" s="83">
        <f t="shared" si="30"/>
        <v>0.18124999999999991</v>
      </c>
      <c r="AE39" s="83">
        <f t="shared" si="30"/>
        <v>0.19387755102040827</v>
      </c>
      <c r="AF39" s="83">
        <f t="shared" si="30"/>
        <v>0.20245398773006129</v>
      </c>
      <c r="AG39" s="83">
        <f t="shared" si="30"/>
        <v>0.26315789473684204</v>
      </c>
      <c r="AH39" s="83">
        <f t="shared" si="30"/>
        <v>0.2011173184357542</v>
      </c>
      <c r="AI39" s="83">
        <f t="shared" si="30"/>
        <v>0.23809523809523814</v>
      </c>
      <c r="AJ39" s="83">
        <f t="shared" si="30"/>
        <v>0.22649572649572658</v>
      </c>
      <c r="AK39" s="83">
        <f t="shared" si="30"/>
        <v>0.20408163265306123</v>
      </c>
      <c r="AL39" s="83">
        <f t="shared" si="30"/>
        <v>0.16203703703703698</v>
      </c>
      <c r="AM39" s="83">
        <f t="shared" si="30"/>
        <v>0.2697674418604652</v>
      </c>
      <c r="AN39" s="83">
        <f t="shared" si="30"/>
        <v>3.4188034188034289E-2</v>
      </c>
      <c r="AO39" s="83">
        <f t="shared" si="30"/>
        <v>0.16376306620209058</v>
      </c>
      <c r="AP39" s="83">
        <f t="shared" si="30"/>
        <v>4.6610169491525522E-2</v>
      </c>
      <c r="AQ39" s="83">
        <f t="shared" si="30"/>
        <v>1.9920318725099584E-2</v>
      </c>
      <c r="AR39" s="83">
        <f t="shared" si="30"/>
        <v>1.831501831501825E-2</v>
      </c>
      <c r="AS39" s="83">
        <f t="shared" si="30"/>
        <v>0.20661157024793386</v>
      </c>
      <c r="AT39" s="83">
        <f t="shared" si="30"/>
        <v>7.0858283433133717E-2</v>
      </c>
      <c r="AU39" s="83">
        <f t="shared" si="30"/>
        <v>0.10931174089068829</v>
      </c>
      <c r="AV39" s="83">
        <f t="shared" si="30"/>
        <v>5.859375E-2</v>
      </c>
      <c r="AW39" s="83">
        <f t="shared" si="30"/>
        <v>-8.633093525179858E-2</v>
      </c>
      <c r="AX39" s="83">
        <f t="shared" si="30"/>
        <v>-8.9041095890410982E-2</v>
      </c>
      <c r="AY39" s="83">
        <f t="shared" si="30"/>
        <v>-7.45573159366264E-3</v>
      </c>
      <c r="AZ39" s="83">
        <f t="shared" si="30"/>
        <v>-9.8540145985401506E-2</v>
      </c>
      <c r="BA39" s="83">
        <f t="shared" si="30"/>
        <v>-0.13653136531365317</v>
      </c>
      <c r="BB39" s="83">
        <f t="shared" si="30"/>
        <v>-0.12204724409448819</v>
      </c>
      <c r="BC39" s="83">
        <f t="shared" si="30"/>
        <v>-0.13157894736842102</v>
      </c>
      <c r="BD39" s="83">
        <f t="shared" si="30"/>
        <v>-0.1220657276995305</v>
      </c>
      <c r="BE39" s="80">
        <f t="shared" si="30"/>
        <v>-4.0485829959514219E-2</v>
      </c>
      <c r="BF39" s="80">
        <f t="shared" si="30"/>
        <v>-3.8461538461538436E-2</v>
      </c>
      <c r="BG39" s="80">
        <f>BG36/BB36-1</f>
        <v>1.7937219730941756E-2</v>
      </c>
      <c r="BH39" s="80">
        <f>BH36/BC36-1</f>
        <v>-8.6580086580086979E-3</v>
      </c>
      <c r="BI39" s="80">
        <f t="shared" si="30"/>
        <v>-1.8181818181818188E-2</v>
      </c>
      <c r="BJ39" s="80">
        <f t="shared" si="30"/>
        <v>-8.8607594936708889E-2</v>
      </c>
      <c r="BK39" s="91">
        <f>BK36/BF36-1</f>
        <v>-2.6666666666666616E-2</v>
      </c>
      <c r="BL39" s="91">
        <f>BL36/BG36-1</f>
        <v>-0.28634361233480177</v>
      </c>
      <c r="BM39" s="91">
        <f>BM36/BH36-1</f>
        <v>-0.51091703056768556</v>
      </c>
      <c r="BN39" s="80">
        <f>BN36/BI36-1</f>
        <v>-0.22766884531590414</v>
      </c>
      <c r="BO39" s="80">
        <f>BO36/BJ36-1</f>
        <v>-0.6157407407407407</v>
      </c>
      <c r="BP39" s="91">
        <f>BP36/BK36-1</f>
        <v>-0.57534246575342474</v>
      </c>
      <c r="BQ39" s="91">
        <f>BQ36/BL36-1</f>
        <v>-0.45679012345679015</v>
      </c>
      <c r="BR39" s="91">
        <f>BR36/BM36-1</f>
        <v>-0.2321428571428571</v>
      </c>
      <c r="BS39" s="80">
        <f>BS36/BN36-1</f>
        <v>-0.50634696755994357</v>
      </c>
      <c r="BT39" s="80">
        <f>BT36/BO36-1</f>
        <v>-0.10843373493975905</v>
      </c>
      <c r="BU39" s="80">
        <f>BU36/BP36-1</f>
        <v>-0.13978494623655913</v>
      </c>
      <c r="BV39" s="91">
        <f>BV36/BQ36-1</f>
        <v>-5.6818181818181768E-2</v>
      </c>
      <c r="BW39" s="91">
        <f>BW36/BR36-1</f>
        <v>-0.12790697674418605</v>
      </c>
      <c r="BX39" s="83">
        <f>BX36/BS36-1</f>
        <v>-0.10857142857142854</v>
      </c>
      <c r="BY39" s="83">
        <f>BY36/BT36-1</f>
        <v>-0.10810810810810811</v>
      </c>
      <c r="BZ39" s="83">
        <f>BZ36/BU36-1</f>
        <v>-8.7500000000000022E-2</v>
      </c>
      <c r="CA39" s="83">
        <f>CA36/BV36-1</f>
        <v>-6.0240963855421659E-2</v>
      </c>
      <c r="CB39" s="83">
        <f>CB36/BW36-1</f>
        <v>-0.10666666666666669</v>
      </c>
      <c r="CC39" s="83">
        <f>CC36/BX36-1</f>
        <v>-8.9743589743589758E-2</v>
      </c>
      <c r="CD39" s="83">
        <f>CD36/BY36-1</f>
        <v>0</v>
      </c>
      <c r="CE39" s="83">
        <f>CE36/BZ36-1</f>
        <v>-0.12328767123287676</v>
      </c>
      <c r="CF39" s="83">
        <f>CF36/CA36-1</f>
        <v>-0.12820512820512819</v>
      </c>
      <c r="CG39" s="83">
        <f>CG36/CB36-1</f>
        <v>0.10447761194029859</v>
      </c>
      <c r="CH39" s="83">
        <f>CH36/CC36-1</f>
        <v>-4.2253521126760618E-2</v>
      </c>
      <c r="CI39" s="83">
        <f>CI36/CD36-1</f>
        <v>-0.13636363636363635</v>
      </c>
      <c r="CJ39" s="83">
        <f>CJ36/CE36-1</f>
        <v>-0.13125000000000009</v>
      </c>
      <c r="CK39" s="83">
        <f>CK36/CF36-1</f>
        <v>-0.32352941176470584</v>
      </c>
      <c r="CL39" s="83">
        <f t="shared" si="32"/>
        <v>-0.2567567567567568</v>
      </c>
      <c r="CM39" s="83">
        <f t="shared" si="32"/>
        <v>-0.21470588235294108</v>
      </c>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193"/>
      <c r="DM39" s="193"/>
      <c r="DN39" s="193"/>
      <c r="DO39" s="193"/>
      <c r="DP39" s="193"/>
    </row>
    <row r="40" spans="1:120" x14ac:dyDescent="0.2">
      <c r="A40" s="66" t="s">
        <v>72</v>
      </c>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7"/>
      <c r="DC40" s="67"/>
      <c r="DD40" s="67"/>
      <c r="DE40" s="67"/>
      <c r="DF40" s="67"/>
      <c r="DG40" s="67"/>
      <c r="DH40" s="67"/>
      <c r="DI40" s="67"/>
      <c r="DJ40" s="67"/>
      <c r="DK40" s="67"/>
      <c r="DL40" s="194"/>
      <c r="DM40" s="194"/>
      <c r="DN40" s="194"/>
      <c r="DO40" s="194"/>
      <c r="DP40" s="194"/>
    </row>
    <row r="41" spans="1:120" x14ac:dyDescent="0.2">
      <c r="A41" s="65" t="s">
        <v>73</v>
      </c>
      <c r="B41" s="31"/>
      <c r="C41" s="31"/>
      <c r="D41" s="31"/>
      <c r="E41" s="31"/>
      <c r="F41" s="31"/>
      <c r="G41" s="69"/>
      <c r="H41" s="69"/>
      <c r="I41" s="69"/>
      <c r="J41" s="69"/>
      <c r="K41" s="69"/>
      <c r="L41" s="69"/>
      <c r="M41" s="69"/>
      <c r="N41" s="69"/>
      <c r="O41" s="69"/>
      <c r="P41" s="69"/>
      <c r="Q41" s="69"/>
      <c r="R41" s="69"/>
      <c r="S41" s="69"/>
      <c r="T41" s="69"/>
      <c r="U41" s="69"/>
      <c r="V41" s="72"/>
      <c r="W41" s="72"/>
      <c r="X41" s="72"/>
      <c r="Y41" s="72"/>
      <c r="Z41" s="72"/>
      <c r="AA41" s="72"/>
      <c r="AB41" s="72">
        <v>10</v>
      </c>
      <c r="AC41" s="36">
        <v>70</v>
      </c>
      <c r="AD41" s="36">
        <v>155</v>
      </c>
      <c r="AE41" s="36">
        <f>AD41+AC41+AB41+AA41</f>
        <v>235</v>
      </c>
      <c r="AF41" s="36">
        <v>312</v>
      </c>
      <c r="AG41" s="36">
        <v>286</v>
      </c>
      <c r="AH41" s="36">
        <v>328</v>
      </c>
      <c r="AI41" s="36">
        <v>268</v>
      </c>
      <c r="AJ41" s="36">
        <f>AI41+AH41+AG41+AF41</f>
        <v>1194</v>
      </c>
      <c r="AK41" s="36">
        <v>293</v>
      </c>
      <c r="AL41" s="36">
        <v>255</v>
      </c>
      <c r="AM41" s="36">
        <v>276</v>
      </c>
      <c r="AN41" s="36">
        <v>216</v>
      </c>
      <c r="AO41" s="36">
        <f>AN41+AM41+AL41+AK41</f>
        <v>1040</v>
      </c>
      <c r="AP41" s="36">
        <v>179</v>
      </c>
      <c r="AQ41" s="36">
        <v>184</v>
      </c>
      <c r="AR41" s="36">
        <v>220</v>
      </c>
      <c r="AS41" s="36">
        <v>218</v>
      </c>
      <c r="AT41" s="36">
        <f>AS41+AR41+AQ41+AP41</f>
        <v>801</v>
      </c>
      <c r="AU41" s="36">
        <v>156</v>
      </c>
      <c r="AV41" s="36">
        <v>163</v>
      </c>
      <c r="AW41" s="36">
        <v>247</v>
      </c>
      <c r="AX41" s="36">
        <v>157</v>
      </c>
      <c r="AY41" s="36">
        <f>AX41+AW41+AV41+AU41</f>
        <v>723</v>
      </c>
      <c r="AZ41" s="36">
        <v>151</v>
      </c>
      <c r="BA41" s="36">
        <v>198</v>
      </c>
      <c r="BB41" s="36">
        <v>330</v>
      </c>
      <c r="BC41" s="36">
        <v>202</v>
      </c>
      <c r="BD41" s="36">
        <f>BC41+BB41+BA41+AZ41</f>
        <v>881</v>
      </c>
      <c r="BE41" s="36">
        <v>174</v>
      </c>
      <c r="BF41" s="36">
        <v>224</v>
      </c>
      <c r="BG41" s="36">
        <v>412</v>
      </c>
      <c r="BH41" s="36">
        <v>304</v>
      </c>
      <c r="BI41" s="36">
        <f>SUM(BE41:BH41)</f>
        <v>1114</v>
      </c>
      <c r="BJ41" s="36">
        <v>247</v>
      </c>
      <c r="BK41" s="36">
        <v>252</v>
      </c>
      <c r="BL41" s="36">
        <v>548</v>
      </c>
      <c r="BM41" s="36">
        <v>248</v>
      </c>
      <c r="BN41" s="36">
        <f>SUM(BJ41:BM41)</f>
        <v>1295</v>
      </c>
      <c r="BO41" s="36">
        <v>271</v>
      </c>
      <c r="BP41" s="36">
        <v>294</v>
      </c>
      <c r="BQ41" s="36">
        <v>511</v>
      </c>
      <c r="BR41" s="36">
        <v>244</v>
      </c>
      <c r="BS41" s="36">
        <f>SUM(BO41:BR41)</f>
        <v>1320</v>
      </c>
      <c r="BT41" s="36">
        <v>295</v>
      </c>
      <c r="BU41" s="36">
        <v>308</v>
      </c>
      <c r="BV41" s="36">
        <v>556</v>
      </c>
      <c r="BW41" s="36">
        <v>361</v>
      </c>
      <c r="BX41" s="36">
        <f>SUM(BT41:BW41)</f>
        <v>1520</v>
      </c>
      <c r="BY41" s="36">
        <v>320</v>
      </c>
      <c r="BZ41" s="36">
        <v>315</v>
      </c>
      <c r="CA41" s="36">
        <v>737</v>
      </c>
      <c r="CB41" s="36">
        <v>408</v>
      </c>
      <c r="CC41" s="36">
        <f>SUM(BY41:CB41)</f>
        <v>1780</v>
      </c>
      <c r="CD41" s="36">
        <v>398</v>
      </c>
      <c r="CE41" s="36">
        <v>312</v>
      </c>
      <c r="CF41" s="36">
        <v>484</v>
      </c>
      <c r="CG41" s="36">
        <v>370</v>
      </c>
      <c r="CH41" s="36">
        <f>SUM(CD41:CG41)</f>
        <v>1564</v>
      </c>
      <c r="CI41" s="36">
        <v>380</v>
      </c>
      <c r="CJ41" s="36">
        <v>302</v>
      </c>
      <c r="CK41" s="36">
        <v>740</v>
      </c>
      <c r="CL41" s="36">
        <v>450</v>
      </c>
      <c r="CM41" s="36">
        <f>SUM(CI41:CL41)</f>
        <v>1872</v>
      </c>
      <c r="CN41" s="36">
        <v>362</v>
      </c>
      <c r="CO41" s="36">
        <v>456</v>
      </c>
      <c r="CP41" s="36">
        <v>761</v>
      </c>
      <c r="CQ41" s="36">
        <v>252</v>
      </c>
      <c r="CR41" s="36">
        <f>SUM(CN41:CQ41)</f>
        <v>1831</v>
      </c>
      <c r="CS41" s="36">
        <v>461</v>
      </c>
      <c r="CT41" s="36">
        <v>168</v>
      </c>
      <c r="CU41" s="36">
        <v>579</v>
      </c>
      <c r="CV41" s="36">
        <v>546</v>
      </c>
      <c r="CW41" s="72">
        <f>SUM(CS41:CV41)</f>
        <v>1754</v>
      </c>
      <c r="CX41" s="36">
        <v>313</v>
      </c>
      <c r="CY41" s="36">
        <v>454</v>
      </c>
      <c r="CZ41" s="36">
        <v>839</v>
      </c>
      <c r="DA41" s="36">
        <v>275</v>
      </c>
      <c r="DB41" s="72">
        <f>SUM(CX41:DA41)</f>
        <v>1881</v>
      </c>
      <c r="DC41" s="72">
        <v>418</v>
      </c>
      <c r="DD41" s="72">
        <v>428</v>
      </c>
      <c r="DE41" s="72">
        <v>957</v>
      </c>
      <c r="DF41" s="72">
        <v>262</v>
      </c>
      <c r="DG41" s="36">
        <f>SUM(DC41:DF41)</f>
        <v>2065</v>
      </c>
      <c r="DH41" s="36">
        <f t="shared" ref="DH41:DK42" si="33">DC41*(1+DH44)</f>
        <v>438.90000000000003</v>
      </c>
      <c r="DI41" s="36">
        <f t="shared" si="33"/>
        <v>449.40000000000003</v>
      </c>
      <c r="DJ41" s="36">
        <f t="shared" si="33"/>
        <v>1004.85</v>
      </c>
      <c r="DK41" s="36">
        <f t="shared" si="33"/>
        <v>275.10000000000002</v>
      </c>
      <c r="DL41" s="183">
        <f>SUM(DH41:DK41)</f>
        <v>2168.25</v>
      </c>
      <c r="DM41" s="183">
        <f t="shared" ref="DM41:DP42" si="34">DL41*(1+DM44)</f>
        <v>2233.2975000000001</v>
      </c>
      <c r="DN41" s="183">
        <f t="shared" si="34"/>
        <v>2300.296425</v>
      </c>
      <c r="DO41" s="183">
        <f t="shared" si="34"/>
        <v>2369.3053177500001</v>
      </c>
      <c r="DP41" s="183">
        <f t="shared" si="34"/>
        <v>2416.6914241050004</v>
      </c>
    </row>
    <row r="42" spans="1:120" x14ac:dyDescent="0.2">
      <c r="A42" s="65" t="s">
        <v>74</v>
      </c>
      <c r="B42" s="31"/>
      <c r="C42" s="31"/>
      <c r="D42" s="31"/>
      <c r="E42" s="31"/>
      <c r="F42" s="31"/>
      <c r="G42" s="69"/>
      <c r="H42" s="69"/>
      <c r="I42" s="69"/>
      <c r="J42" s="69"/>
      <c r="K42" s="69"/>
      <c r="L42" s="69"/>
      <c r="M42" s="69"/>
      <c r="N42" s="69"/>
      <c r="O42" s="69"/>
      <c r="P42" s="69"/>
      <c r="Q42" s="69"/>
      <c r="R42" s="69"/>
      <c r="S42" s="69"/>
      <c r="T42" s="69"/>
      <c r="U42" s="69"/>
      <c r="V42" s="72"/>
      <c r="W42" s="72"/>
      <c r="X42" s="72"/>
      <c r="Y42" s="72"/>
      <c r="Z42" s="72"/>
      <c r="AA42" s="72"/>
      <c r="AB42" s="72"/>
      <c r="AC42" s="36">
        <f>X42*(1+AC45)</f>
        <v>0</v>
      </c>
      <c r="AD42" s="36">
        <f>Y42*(1+AD45)</f>
        <v>0</v>
      </c>
      <c r="AE42" s="36">
        <f>AD42+AC42+AB42+AA42</f>
        <v>0</v>
      </c>
      <c r="AF42" s="36">
        <v>53</v>
      </c>
      <c r="AG42" s="36">
        <v>72</v>
      </c>
      <c r="AH42" s="36">
        <v>91</v>
      </c>
      <c r="AI42" s="36">
        <v>71</v>
      </c>
      <c r="AJ42" s="36">
        <f>AI42+AH42+AG42+AF42</f>
        <v>287</v>
      </c>
      <c r="AK42" s="36">
        <v>97</v>
      </c>
      <c r="AL42" s="36">
        <v>71</v>
      </c>
      <c r="AM42" s="36">
        <v>125</v>
      </c>
      <c r="AN42" s="36">
        <v>69</v>
      </c>
      <c r="AO42" s="36">
        <f>AN42+AM42+AL42+AK42</f>
        <v>362</v>
      </c>
      <c r="AP42" s="36">
        <v>83</v>
      </c>
      <c r="AQ42" s="36">
        <v>84</v>
      </c>
      <c r="AR42" s="36">
        <v>91</v>
      </c>
      <c r="AS42" s="36">
        <v>59</v>
      </c>
      <c r="AT42" s="36">
        <f>AS42+AR42+AQ42+AP42</f>
        <v>317</v>
      </c>
      <c r="AU42" s="36">
        <v>77</v>
      </c>
      <c r="AV42" s="36">
        <v>56</v>
      </c>
      <c r="AW42" s="36">
        <v>70</v>
      </c>
      <c r="AX42" s="36">
        <v>64</v>
      </c>
      <c r="AY42" s="36">
        <f>AX42+AW42+AV42+AU42</f>
        <v>267</v>
      </c>
      <c r="AZ42" s="36">
        <v>63</v>
      </c>
      <c r="BA42" s="36">
        <v>79</v>
      </c>
      <c r="BB42" s="36">
        <v>115</v>
      </c>
      <c r="BC42" s="36">
        <v>72</v>
      </c>
      <c r="BD42" s="36">
        <f>BC42+BB42+BA42+AZ42</f>
        <v>329</v>
      </c>
      <c r="BE42" s="36">
        <v>110</v>
      </c>
      <c r="BF42" s="36">
        <v>101</v>
      </c>
      <c r="BG42" s="36">
        <v>169</v>
      </c>
      <c r="BH42" s="36">
        <v>138</v>
      </c>
      <c r="BI42" s="36">
        <f>SUM(BE42:BH42)</f>
        <v>518</v>
      </c>
      <c r="BJ42" s="36">
        <v>142</v>
      </c>
      <c r="BK42" s="36">
        <v>131</v>
      </c>
      <c r="BL42" s="36">
        <v>117</v>
      </c>
      <c r="BM42" s="36">
        <v>146</v>
      </c>
      <c r="BN42" s="36">
        <f>SUM(BJ42:BM42)</f>
        <v>536</v>
      </c>
      <c r="BO42" s="36">
        <v>113</v>
      </c>
      <c r="BP42" s="36">
        <v>115</v>
      </c>
      <c r="BQ42" s="36">
        <v>79</v>
      </c>
      <c r="BR42" s="36">
        <v>112</v>
      </c>
      <c r="BS42" s="36">
        <f>SUM(BO42:BR42)</f>
        <v>419</v>
      </c>
      <c r="BT42" s="36">
        <v>64</v>
      </c>
      <c r="BU42" s="36">
        <v>118</v>
      </c>
      <c r="BV42" s="36">
        <v>69</v>
      </c>
      <c r="BW42" s="36">
        <v>136</v>
      </c>
      <c r="BX42" s="36">
        <f>SUM(BT42:BW42)</f>
        <v>387</v>
      </c>
      <c r="BY42" s="36">
        <v>58</v>
      </c>
      <c r="BZ42" s="36">
        <v>78</v>
      </c>
      <c r="CA42" s="36">
        <v>124</v>
      </c>
      <c r="CB42" s="36">
        <v>134</v>
      </c>
      <c r="CC42" s="36">
        <f>SUM(BY42:CB42)</f>
        <v>394</v>
      </c>
      <c r="CD42" s="36">
        <v>134</v>
      </c>
      <c r="CE42" s="36">
        <v>156</v>
      </c>
      <c r="CF42" s="36">
        <v>191</v>
      </c>
      <c r="CG42" s="36">
        <v>262</v>
      </c>
      <c r="CH42" s="36">
        <f>SUM(CD42:CG42)</f>
        <v>743</v>
      </c>
      <c r="CI42" s="36">
        <v>280</v>
      </c>
      <c r="CJ42" s="36">
        <v>306</v>
      </c>
      <c r="CK42" s="36">
        <v>308</v>
      </c>
      <c r="CL42" s="36">
        <v>384</v>
      </c>
      <c r="CM42" s="36">
        <f>SUM(CI42:CL42)</f>
        <v>1278</v>
      </c>
      <c r="CN42" s="36">
        <v>476</v>
      </c>
      <c r="CO42" s="36">
        <v>430</v>
      </c>
      <c r="CP42" s="36">
        <v>558</v>
      </c>
      <c r="CQ42" s="36">
        <v>441</v>
      </c>
      <c r="CR42" s="36">
        <f>SUM(CN42:CQ42)</f>
        <v>1905</v>
      </c>
      <c r="CS42" s="36">
        <v>636</v>
      </c>
      <c r="CT42" s="36">
        <v>488</v>
      </c>
      <c r="CU42" s="36">
        <v>608</v>
      </c>
      <c r="CV42" s="36">
        <v>452</v>
      </c>
      <c r="CW42" s="72">
        <f>SUM(CS42:CV42)</f>
        <v>2184</v>
      </c>
      <c r="CX42" s="36">
        <v>604</v>
      </c>
      <c r="CY42" s="36">
        <v>781</v>
      </c>
      <c r="CZ42" s="36">
        <v>1154</v>
      </c>
      <c r="DA42" s="36">
        <v>1253</v>
      </c>
      <c r="DB42" s="72">
        <f>SUM(CX42:DA42)</f>
        <v>3792</v>
      </c>
      <c r="DC42" s="72">
        <v>1042</v>
      </c>
      <c r="DD42" s="72">
        <v>1245</v>
      </c>
      <c r="DE42" s="72">
        <v>1337</v>
      </c>
      <c r="DF42" s="72">
        <v>1207</v>
      </c>
      <c r="DG42" s="36">
        <f>SUM(DC42:DF42)</f>
        <v>4831</v>
      </c>
      <c r="DH42" s="36">
        <f t="shared" si="33"/>
        <v>1250.3999999999999</v>
      </c>
      <c r="DI42" s="36">
        <f t="shared" si="33"/>
        <v>1494</v>
      </c>
      <c r="DJ42" s="36">
        <f t="shared" si="33"/>
        <v>1604.3999999999999</v>
      </c>
      <c r="DK42" s="36">
        <f t="shared" si="33"/>
        <v>1448.3999999999999</v>
      </c>
      <c r="DL42" s="183">
        <f>SUM(DH42:DK42)</f>
        <v>5797.1999999999989</v>
      </c>
      <c r="DM42" s="183">
        <f t="shared" si="34"/>
        <v>6956.6399999999985</v>
      </c>
      <c r="DN42" s="183">
        <f t="shared" si="34"/>
        <v>7652.3039999999992</v>
      </c>
      <c r="DO42" s="183">
        <f t="shared" si="34"/>
        <v>8034.9191999999994</v>
      </c>
      <c r="DP42" s="183">
        <f t="shared" si="34"/>
        <v>8436.6651600000005</v>
      </c>
    </row>
    <row r="43" spans="1:120" x14ac:dyDescent="0.2">
      <c r="A43" s="104" t="s">
        <v>75</v>
      </c>
      <c r="B43" s="31"/>
      <c r="C43" s="31"/>
      <c r="D43" s="31"/>
      <c r="E43" s="31"/>
      <c r="F43" s="31"/>
      <c r="G43" s="69"/>
      <c r="H43" s="69"/>
      <c r="I43" s="69"/>
      <c r="J43" s="69"/>
      <c r="K43" s="69"/>
      <c r="L43" s="69"/>
      <c r="M43" s="69"/>
      <c r="N43" s="69"/>
      <c r="O43" s="69"/>
      <c r="P43" s="69"/>
      <c r="Q43" s="69"/>
      <c r="R43" s="69"/>
      <c r="S43" s="69"/>
      <c r="T43" s="69"/>
      <c r="U43" s="69"/>
      <c r="V43" s="105"/>
      <c r="W43" s="105"/>
      <c r="X43" s="105"/>
      <c r="Y43" s="105"/>
      <c r="Z43" s="105"/>
      <c r="AA43" s="105"/>
      <c r="AB43" s="105"/>
      <c r="AC43" s="39">
        <f t="shared" ref="AC43:BD43" si="35">AC42+AC41</f>
        <v>70</v>
      </c>
      <c r="AD43" s="39">
        <f t="shared" si="35"/>
        <v>155</v>
      </c>
      <c r="AE43" s="39">
        <f t="shared" si="35"/>
        <v>235</v>
      </c>
      <c r="AF43" s="39">
        <f t="shared" si="35"/>
        <v>365</v>
      </c>
      <c r="AG43" s="39">
        <f t="shared" si="35"/>
        <v>358</v>
      </c>
      <c r="AH43" s="39">
        <f t="shared" si="35"/>
        <v>419</v>
      </c>
      <c r="AI43" s="39">
        <f t="shared" si="35"/>
        <v>339</v>
      </c>
      <c r="AJ43" s="39">
        <f t="shared" si="35"/>
        <v>1481</v>
      </c>
      <c r="AK43" s="39">
        <f t="shared" si="35"/>
        <v>390</v>
      </c>
      <c r="AL43" s="39">
        <f t="shared" si="35"/>
        <v>326</v>
      </c>
      <c r="AM43" s="39">
        <f t="shared" si="35"/>
        <v>401</v>
      </c>
      <c r="AN43" s="39">
        <f t="shared" si="35"/>
        <v>285</v>
      </c>
      <c r="AO43" s="39">
        <f t="shared" si="35"/>
        <v>1402</v>
      </c>
      <c r="AP43" s="39">
        <f t="shared" si="35"/>
        <v>262</v>
      </c>
      <c r="AQ43" s="39">
        <f t="shared" si="35"/>
        <v>268</v>
      </c>
      <c r="AR43" s="39">
        <f t="shared" si="35"/>
        <v>311</v>
      </c>
      <c r="AS43" s="39">
        <f t="shared" si="35"/>
        <v>277</v>
      </c>
      <c r="AT43" s="39">
        <f t="shared" si="35"/>
        <v>1118</v>
      </c>
      <c r="AU43" s="39">
        <f t="shared" si="35"/>
        <v>233</v>
      </c>
      <c r="AV43" s="39">
        <f t="shared" si="35"/>
        <v>219</v>
      </c>
      <c r="AW43" s="39">
        <f t="shared" si="35"/>
        <v>317</v>
      </c>
      <c r="AX43" s="39">
        <f t="shared" si="35"/>
        <v>221</v>
      </c>
      <c r="AY43" s="39">
        <f t="shared" si="35"/>
        <v>990</v>
      </c>
      <c r="AZ43" s="39">
        <f t="shared" si="35"/>
        <v>214</v>
      </c>
      <c r="BA43" s="39">
        <f t="shared" si="35"/>
        <v>277</v>
      </c>
      <c r="BB43" s="39">
        <f t="shared" si="35"/>
        <v>445</v>
      </c>
      <c r="BC43" s="39">
        <f t="shared" si="35"/>
        <v>274</v>
      </c>
      <c r="BD43" s="39">
        <f t="shared" si="35"/>
        <v>1210</v>
      </c>
      <c r="BE43" s="39">
        <f>BE41+BE42</f>
        <v>284</v>
      </c>
      <c r="BF43" s="39">
        <f>BF41+BF42</f>
        <v>325</v>
      </c>
      <c r="BG43" s="39">
        <f>BG41+BG42</f>
        <v>581</v>
      </c>
      <c r="BH43" s="39">
        <f>BH41+BH42</f>
        <v>442</v>
      </c>
      <c r="BI43" s="39">
        <f t="shared" ref="BI43:CQ43" si="36">BI42+BI41</f>
        <v>1632</v>
      </c>
      <c r="BJ43" s="39">
        <f t="shared" si="36"/>
        <v>389</v>
      </c>
      <c r="BK43" s="39">
        <f t="shared" si="36"/>
        <v>383</v>
      </c>
      <c r="BL43" s="39">
        <f t="shared" si="36"/>
        <v>665</v>
      </c>
      <c r="BM43" s="39">
        <f t="shared" si="36"/>
        <v>394</v>
      </c>
      <c r="BN43" s="39">
        <f t="shared" si="36"/>
        <v>1831</v>
      </c>
      <c r="BO43" s="39">
        <f t="shared" si="36"/>
        <v>384</v>
      </c>
      <c r="BP43" s="39">
        <f t="shared" si="36"/>
        <v>409</v>
      </c>
      <c r="BQ43" s="39">
        <f t="shared" si="36"/>
        <v>590</v>
      </c>
      <c r="BR43" s="39">
        <f t="shared" si="36"/>
        <v>356</v>
      </c>
      <c r="BS43" s="39">
        <f t="shared" si="36"/>
        <v>1739</v>
      </c>
      <c r="BT43" s="39">
        <f t="shared" si="36"/>
        <v>359</v>
      </c>
      <c r="BU43" s="39">
        <f t="shared" si="36"/>
        <v>426</v>
      </c>
      <c r="BV43" s="39">
        <f t="shared" si="36"/>
        <v>625</v>
      </c>
      <c r="BW43" s="39">
        <f t="shared" si="36"/>
        <v>497</v>
      </c>
      <c r="BX43" s="74">
        <f t="shared" si="36"/>
        <v>1907</v>
      </c>
      <c r="BY43" s="74">
        <f t="shared" si="36"/>
        <v>378</v>
      </c>
      <c r="BZ43" s="74">
        <f t="shared" si="36"/>
        <v>393</v>
      </c>
      <c r="CA43" s="74">
        <f t="shared" si="36"/>
        <v>861</v>
      </c>
      <c r="CB43" s="74">
        <f t="shared" si="36"/>
        <v>542</v>
      </c>
      <c r="CC43" s="74">
        <f t="shared" si="36"/>
        <v>2174</v>
      </c>
      <c r="CD43" s="74">
        <f t="shared" si="36"/>
        <v>532</v>
      </c>
      <c r="CE43" s="74">
        <f t="shared" si="36"/>
        <v>468</v>
      </c>
      <c r="CF43" s="74">
        <f t="shared" si="36"/>
        <v>675</v>
      </c>
      <c r="CG43" s="74">
        <f t="shared" si="36"/>
        <v>632</v>
      </c>
      <c r="CH43" s="74">
        <f t="shared" si="36"/>
        <v>2307</v>
      </c>
      <c r="CI43" s="74">
        <f t="shared" si="36"/>
        <v>660</v>
      </c>
      <c r="CJ43" s="74">
        <f t="shared" si="36"/>
        <v>608</v>
      </c>
      <c r="CK43" s="74">
        <f t="shared" si="36"/>
        <v>1048</v>
      </c>
      <c r="CL43" s="74">
        <f t="shared" si="36"/>
        <v>834</v>
      </c>
      <c r="CM43" s="74">
        <f t="shared" si="36"/>
        <v>3150</v>
      </c>
      <c r="CN43" s="74">
        <f t="shared" si="36"/>
        <v>838</v>
      </c>
      <c r="CO43" s="74">
        <f t="shared" si="36"/>
        <v>886</v>
      </c>
      <c r="CP43" s="74">
        <f t="shared" si="36"/>
        <v>1319</v>
      </c>
      <c r="CQ43" s="74">
        <f t="shared" si="36"/>
        <v>693</v>
      </c>
      <c r="CR43" s="74">
        <f>CR42+CR41</f>
        <v>3736</v>
      </c>
      <c r="CS43" s="39">
        <f>CS42+CS41</f>
        <v>1097</v>
      </c>
      <c r="CT43" s="39">
        <f>CT42+CT41</f>
        <v>656</v>
      </c>
      <c r="CU43" s="39">
        <f>CU42+CU41</f>
        <v>1187</v>
      </c>
      <c r="CV43" s="39">
        <f>CV42+CV41</f>
        <v>998</v>
      </c>
      <c r="CW43" s="74">
        <f>SUM(CS43:CV43)</f>
        <v>3938</v>
      </c>
      <c r="CX43" s="39">
        <f>SUM(CX41:CX42)</f>
        <v>917</v>
      </c>
      <c r="CY43" s="39">
        <f>SUM(CY41:CY42)</f>
        <v>1235</v>
      </c>
      <c r="CZ43" s="39">
        <f>SUM(CZ41:CZ42)</f>
        <v>1993</v>
      </c>
      <c r="DA43" s="39">
        <f>SUM(DA41:DA42)</f>
        <v>1528</v>
      </c>
      <c r="DB43" s="74">
        <f>SUM(CX43:DA43)</f>
        <v>5673</v>
      </c>
      <c r="DC43" s="74">
        <f>DC42+DC41</f>
        <v>1460</v>
      </c>
      <c r="DD43" s="74">
        <f>DD42+DD41</f>
        <v>1673</v>
      </c>
      <c r="DE43" s="74">
        <f>DE42+DE41</f>
        <v>2294</v>
      </c>
      <c r="DF43" s="74">
        <f>DF42+DF41</f>
        <v>1469</v>
      </c>
      <c r="DG43" s="74">
        <f>SUM(DC43:DF43)</f>
        <v>6896</v>
      </c>
      <c r="DH43" s="74">
        <f>DH42+DH41</f>
        <v>1689.3</v>
      </c>
      <c r="DI43" s="74">
        <f>DI42+DI41</f>
        <v>1943.4</v>
      </c>
      <c r="DJ43" s="74">
        <f>DJ42+DJ41</f>
        <v>2609.25</v>
      </c>
      <c r="DK43" s="74">
        <f>DK42+DK41</f>
        <v>1723.5</v>
      </c>
      <c r="DL43" s="184">
        <f>SUM(DH43:DK43)</f>
        <v>7965.45</v>
      </c>
      <c r="DM43" s="184">
        <f t="shared" ref="DM43:DP43" si="37">DM42+DM41</f>
        <v>9189.9374999999982</v>
      </c>
      <c r="DN43" s="184">
        <f t="shared" si="37"/>
        <v>9952.6004249999987</v>
      </c>
      <c r="DO43" s="184">
        <f t="shared" si="37"/>
        <v>10404.224517749999</v>
      </c>
      <c r="DP43" s="184">
        <f t="shared" si="37"/>
        <v>10853.356584105</v>
      </c>
    </row>
    <row r="44" spans="1:120" x14ac:dyDescent="0.2">
      <c r="A44" s="68" t="s">
        <v>54</v>
      </c>
      <c r="B44" s="31"/>
      <c r="C44" s="31"/>
      <c r="D44" s="31"/>
      <c r="E44" s="31"/>
      <c r="F44" s="31"/>
      <c r="G44" s="69"/>
      <c r="H44" s="69"/>
      <c r="I44" s="69"/>
      <c r="J44" s="69"/>
      <c r="K44" s="69"/>
      <c r="L44" s="69"/>
      <c r="M44" s="69"/>
      <c r="N44" s="69"/>
      <c r="O44" s="69"/>
      <c r="P44" s="69"/>
      <c r="Q44" s="69"/>
      <c r="R44" s="69"/>
      <c r="S44" s="69"/>
      <c r="T44" s="69"/>
      <c r="U44" s="69"/>
      <c r="V44" s="69"/>
      <c r="W44" s="69"/>
      <c r="X44" s="69"/>
      <c r="Y44" s="69"/>
      <c r="Z44" s="69"/>
      <c r="AA44" s="69"/>
      <c r="AB44" s="69"/>
      <c r="AC44" s="76"/>
      <c r="AD44" s="76"/>
      <c r="AE44" s="76"/>
      <c r="AF44" s="76"/>
      <c r="AG44" s="76"/>
      <c r="AH44" s="76"/>
      <c r="AI44" s="76"/>
      <c r="AJ44" s="76"/>
      <c r="AK44" s="76"/>
      <c r="AL44" s="76"/>
      <c r="AM44" s="76"/>
      <c r="AN44" s="76"/>
      <c r="AO44" s="76"/>
      <c r="AP44" s="76"/>
      <c r="AQ44" s="76"/>
      <c r="AR44" s="76"/>
      <c r="AS44" s="76"/>
      <c r="AT44" s="76"/>
      <c r="AU44" s="76">
        <f t="shared" ref="AU44:AX46" si="38">AU41/AP41-1</f>
        <v>-0.12849162011173187</v>
      </c>
      <c r="AV44" s="76">
        <f t="shared" si="38"/>
        <v>-0.11413043478260865</v>
      </c>
      <c r="AW44" s="76">
        <f t="shared" si="38"/>
        <v>0.1227272727272728</v>
      </c>
      <c r="AX44" s="76">
        <f t="shared" si="38"/>
        <v>-0.27981651376146788</v>
      </c>
      <c r="AY44" s="76"/>
      <c r="AZ44" s="76">
        <f t="shared" ref="AZ44:DF46" si="39">AZ41/AU41-1</f>
        <v>-3.2051282051282048E-2</v>
      </c>
      <c r="BA44" s="76">
        <f t="shared" si="39"/>
        <v>0.21472392638036819</v>
      </c>
      <c r="BB44" s="76">
        <f t="shared" si="39"/>
        <v>0.33603238866396756</v>
      </c>
      <c r="BC44" s="76">
        <f t="shared" si="39"/>
        <v>0.28662420382165599</v>
      </c>
      <c r="BD44" s="76">
        <f t="shared" si="39"/>
        <v>0.218533886583679</v>
      </c>
      <c r="BE44" s="76">
        <f t="shared" si="39"/>
        <v>0.15231788079470188</v>
      </c>
      <c r="BF44" s="76">
        <f t="shared" si="39"/>
        <v>0.13131313131313127</v>
      </c>
      <c r="BG44" s="76">
        <f t="shared" si="39"/>
        <v>0.24848484848484853</v>
      </c>
      <c r="BH44" s="76">
        <f t="shared" si="39"/>
        <v>0.50495049504950495</v>
      </c>
      <c r="BI44" s="90">
        <f t="shared" si="39"/>
        <v>0.26447219069239503</v>
      </c>
      <c r="BJ44" s="76">
        <f t="shared" si="39"/>
        <v>0.41954022988505746</v>
      </c>
      <c r="BK44" s="76">
        <f t="shared" si="39"/>
        <v>0.125</v>
      </c>
      <c r="BL44" s="76">
        <f t="shared" si="39"/>
        <v>0.33009708737864085</v>
      </c>
      <c r="BM44" s="76">
        <f t="shared" si="39"/>
        <v>-0.18421052631578949</v>
      </c>
      <c r="BN44" s="90">
        <f>BN41/BI41-1</f>
        <v>0.16247755834829447</v>
      </c>
      <c r="BO44" s="76">
        <f t="shared" si="39"/>
        <v>9.7165991902834037E-2</v>
      </c>
      <c r="BP44" s="76">
        <f t="shared" si="39"/>
        <v>0.16666666666666674</v>
      </c>
      <c r="BQ44" s="76">
        <f t="shared" si="39"/>
        <v>-6.7518248175182483E-2</v>
      </c>
      <c r="BR44" s="76">
        <f t="shared" si="39"/>
        <v>-1.6129032258064502E-2</v>
      </c>
      <c r="BS44" s="90">
        <f>BS41/BN41-1</f>
        <v>1.9305019305019266E-2</v>
      </c>
      <c r="BT44" s="76">
        <f t="shared" si="39"/>
        <v>8.8560885608855999E-2</v>
      </c>
      <c r="BU44" s="76">
        <f t="shared" si="39"/>
        <v>4.7619047619047672E-2</v>
      </c>
      <c r="BV44" s="76">
        <f t="shared" si="39"/>
        <v>8.8062622309197591E-2</v>
      </c>
      <c r="BW44" s="76">
        <f t="shared" si="39"/>
        <v>0.47950819672131151</v>
      </c>
      <c r="BX44" s="76">
        <f>BX41/BS41-1</f>
        <v>0.1515151515151516</v>
      </c>
      <c r="BY44" s="76">
        <f t="shared" si="39"/>
        <v>8.4745762711864403E-2</v>
      </c>
      <c r="BZ44" s="76">
        <f t="shared" si="39"/>
        <v>2.2727272727272707E-2</v>
      </c>
      <c r="CA44" s="76">
        <f t="shared" si="39"/>
        <v>0.32553956834532372</v>
      </c>
      <c r="CB44" s="76">
        <f t="shared" si="39"/>
        <v>0.1301939058171746</v>
      </c>
      <c r="CC44" s="76">
        <f>CC41/BX41-1</f>
        <v>0.17105263157894735</v>
      </c>
      <c r="CD44" s="76">
        <f t="shared" si="39"/>
        <v>0.24374999999999991</v>
      </c>
      <c r="CE44" s="76">
        <f t="shared" si="39"/>
        <v>-9.52380952380949E-3</v>
      </c>
      <c r="CF44" s="76">
        <f t="shared" si="39"/>
        <v>-0.34328358208955223</v>
      </c>
      <c r="CG44" s="76">
        <f t="shared" si="39"/>
        <v>-9.3137254901960786E-2</v>
      </c>
      <c r="CH44" s="76">
        <f>CH41/CC41-1</f>
        <v>-0.12134831460674156</v>
      </c>
      <c r="CI44" s="76">
        <f t="shared" si="39"/>
        <v>-4.5226130653266305E-2</v>
      </c>
      <c r="CJ44" s="76">
        <f t="shared" si="39"/>
        <v>-3.2051282051282048E-2</v>
      </c>
      <c r="CK44" s="76">
        <f t="shared" si="39"/>
        <v>0.52892561983471076</v>
      </c>
      <c r="CL44" s="76">
        <f t="shared" si="39"/>
        <v>0.21621621621621623</v>
      </c>
      <c r="CM44" s="76">
        <f t="shared" si="39"/>
        <v>0.19693094629156005</v>
      </c>
      <c r="CN44" s="76">
        <f t="shared" si="39"/>
        <v>-4.7368421052631615E-2</v>
      </c>
      <c r="CO44" s="76">
        <f t="shared" si="39"/>
        <v>0.50993377483443703</v>
      </c>
      <c r="CP44" s="76">
        <f t="shared" si="39"/>
        <v>2.8378378378378422E-2</v>
      </c>
      <c r="CQ44" s="76">
        <f t="shared" si="39"/>
        <v>-0.43999999999999995</v>
      </c>
      <c r="CR44" s="76">
        <f>CR41/CM41-1</f>
        <v>-2.1901709401709435E-2</v>
      </c>
      <c r="CS44" s="76">
        <f t="shared" si="39"/>
        <v>0.27348066298342544</v>
      </c>
      <c r="CT44" s="76">
        <f t="shared" si="39"/>
        <v>-0.63157894736842102</v>
      </c>
      <c r="CU44" s="76">
        <f t="shared" si="39"/>
        <v>-0.23915900131406043</v>
      </c>
      <c r="CV44" s="76">
        <f t="shared" si="39"/>
        <v>1.1666666666666665</v>
      </c>
      <c r="CW44" s="90">
        <f>CW41/CR41-1</f>
        <v>-4.205352266521023E-2</v>
      </c>
      <c r="CX44" s="76">
        <f t="shared" si="39"/>
        <v>-0.32104121475054226</v>
      </c>
      <c r="CY44" s="76">
        <f t="shared" si="39"/>
        <v>1.7023809523809526</v>
      </c>
      <c r="CZ44" s="76">
        <f t="shared" si="39"/>
        <v>0.4490500863557858</v>
      </c>
      <c r="DA44" s="76">
        <f t="shared" si="39"/>
        <v>-0.49633699633699635</v>
      </c>
      <c r="DB44" s="90">
        <f>DB41/CW41-1</f>
        <v>7.2405929304447003E-2</v>
      </c>
      <c r="DC44" s="76">
        <f t="shared" si="39"/>
        <v>0.33546325878594252</v>
      </c>
      <c r="DD44" s="76">
        <f t="shared" si="39"/>
        <v>-5.7268722466960353E-2</v>
      </c>
      <c r="DE44" s="76">
        <f t="shared" si="39"/>
        <v>0.14064362336114411</v>
      </c>
      <c r="DF44" s="76">
        <f t="shared" si="39"/>
        <v>-4.7272727272727244E-2</v>
      </c>
      <c r="DG44" s="76">
        <f>DG41/DB41-1</f>
        <v>9.782030834662403E-2</v>
      </c>
      <c r="DH44" s="76">
        <v>0.05</v>
      </c>
      <c r="DI44" s="76">
        <v>0.05</v>
      </c>
      <c r="DJ44" s="76">
        <v>0.05</v>
      </c>
      <c r="DK44" s="76">
        <v>0.05</v>
      </c>
      <c r="DL44" s="195">
        <f>DL41/DG41-1</f>
        <v>5.0000000000000044E-2</v>
      </c>
      <c r="DM44" s="195">
        <v>0.03</v>
      </c>
      <c r="DN44" s="195">
        <v>0.03</v>
      </c>
      <c r="DO44" s="195">
        <v>0.03</v>
      </c>
      <c r="DP44" s="195">
        <v>0.02</v>
      </c>
    </row>
    <row r="45" spans="1:120" x14ac:dyDescent="0.2">
      <c r="A45" s="68" t="s">
        <v>55</v>
      </c>
      <c r="B45" s="31"/>
      <c r="C45" s="31"/>
      <c r="D45" s="31"/>
      <c r="E45" s="31"/>
      <c r="F45" s="31"/>
      <c r="G45" s="69"/>
      <c r="H45" s="69"/>
      <c r="I45" s="69"/>
      <c r="J45" s="69"/>
      <c r="K45" s="69"/>
      <c r="L45" s="69"/>
      <c r="M45" s="69"/>
      <c r="N45" s="69"/>
      <c r="O45" s="69"/>
      <c r="P45" s="69"/>
      <c r="Q45" s="69"/>
      <c r="R45" s="69"/>
      <c r="S45" s="69"/>
      <c r="T45" s="69"/>
      <c r="U45" s="69"/>
      <c r="V45" s="69"/>
      <c r="W45" s="69"/>
      <c r="X45" s="69"/>
      <c r="Y45" s="69"/>
      <c r="Z45" s="69"/>
      <c r="AA45" s="69"/>
      <c r="AB45" s="69"/>
      <c r="AC45" s="76"/>
      <c r="AD45" s="76"/>
      <c r="AE45" s="76"/>
      <c r="AF45" s="76"/>
      <c r="AG45" s="76"/>
      <c r="AH45" s="76"/>
      <c r="AI45" s="76"/>
      <c r="AJ45" s="76"/>
      <c r="AK45" s="76"/>
      <c r="AL45" s="76"/>
      <c r="AM45" s="76"/>
      <c r="AN45" s="76"/>
      <c r="AO45" s="76"/>
      <c r="AP45" s="76"/>
      <c r="AQ45" s="76"/>
      <c r="AR45" s="76"/>
      <c r="AS45" s="76"/>
      <c r="AT45" s="76"/>
      <c r="AU45" s="76">
        <f t="shared" si="38"/>
        <v>-7.2289156626506035E-2</v>
      </c>
      <c r="AV45" s="76">
        <f t="shared" si="38"/>
        <v>-0.33333333333333337</v>
      </c>
      <c r="AW45" s="76">
        <f t="shared" si="38"/>
        <v>-0.23076923076923073</v>
      </c>
      <c r="AX45" s="76">
        <f t="shared" si="38"/>
        <v>8.4745762711864403E-2</v>
      </c>
      <c r="AY45" s="76"/>
      <c r="AZ45" s="76">
        <f t="shared" si="39"/>
        <v>-0.18181818181818177</v>
      </c>
      <c r="BA45" s="76">
        <f t="shared" si="39"/>
        <v>0.41071428571428581</v>
      </c>
      <c r="BB45" s="76">
        <f t="shared" si="39"/>
        <v>0.64285714285714279</v>
      </c>
      <c r="BC45" s="76">
        <f t="shared" si="39"/>
        <v>0.125</v>
      </c>
      <c r="BD45" s="76">
        <f t="shared" si="39"/>
        <v>0.23220973782771526</v>
      </c>
      <c r="BE45" s="76">
        <f t="shared" si="39"/>
        <v>0.74603174603174605</v>
      </c>
      <c r="BF45" s="76">
        <f t="shared" si="39"/>
        <v>0.27848101265822778</v>
      </c>
      <c r="BG45" s="76">
        <f t="shared" si="39"/>
        <v>0.4695652173913043</v>
      </c>
      <c r="BH45" s="76">
        <f t="shared" si="39"/>
        <v>0.91666666666666674</v>
      </c>
      <c r="BI45" s="90">
        <f t="shared" si="39"/>
        <v>0.57446808510638303</v>
      </c>
      <c r="BJ45" s="76">
        <f t="shared" si="39"/>
        <v>0.29090909090909101</v>
      </c>
      <c r="BK45" s="76">
        <f t="shared" si="39"/>
        <v>0.29702970297029707</v>
      </c>
      <c r="BL45" s="76">
        <f t="shared" si="39"/>
        <v>-0.30769230769230771</v>
      </c>
      <c r="BM45" s="76">
        <f t="shared" si="39"/>
        <v>5.7971014492753659E-2</v>
      </c>
      <c r="BN45" s="90">
        <f>BN42/BI42-1</f>
        <v>3.474903474903468E-2</v>
      </c>
      <c r="BO45" s="76">
        <f t="shared" si="39"/>
        <v>-0.20422535211267601</v>
      </c>
      <c r="BP45" s="76">
        <f t="shared" si="39"/>
        <v>-0.12213740458015265</v>
      </c>
      <c r="BQ45" s="76">
        <f t="shared" si="39"/>
        <v>-0.32478632478632474</v>
      </c>
      <c r="BR45" s="76">
        <f t="shared" si="39"/>
        <v>-0.23287671232876717</v>
      </c>
      <c r="BS45" s="90">
        <f>BS42/BN42-1</f>
        <v>-0.21828358208955223</v>
      </c>
      <c r="BT45" s="76">
        <f t="shared" si="39"/>
        <v>-0.4336283185840708</v>
      </c>
      <c r="BU45" s="76">
        <f t="shared" si="39"/>
        <v>2.6086956521739202E-2</v>
      </c>
      <c r="BV45" s="76">
        <f t="shared" si="39"/>
        <v>-0.12658227848101267</v>
      </c>
      <c r="BW45" s="76">
        <f t="shared" si="39"/>
        <v>0.21428571428571419</v>
      </c>
      <c r="BX45" s="76">
        <f>BX42/BS42-1</f>
        <v>-7.6372315035799554E-2</v>
      </c>
      <c r="BY45" s="76">
        <f t="shared" si="39"/>
        <v>-9.375E-2</v>
      </c>
      <c r="BZ45" s="76">
        <f t="shared" si="39"/>
        <v>-0.33898305084745761</v>
      </c>
      <c r="CA45" s="76">
        <f t="shared" si="39"/>
        <v>0.79710144927536231</v>
      </c>
      <c r="CB45" s="76">
        <f t="shared" si="39"/>
        <v>-1.4705882352941124E-2</v>
      </c>
      <c r="CC45" s="76">
        <f>CC42/BX42-1</f>
        <v>1.8087855297157729E-2</v>
      </c>
      <c r="CD45" s="76">
        <f t="shared" si="39"/>
        <v>1.3103448275862069</v>
      </c>
      <c r="CE45" s="76">
        <f t="shared" si="39"/>
        <v>1</v>
      </c>
      <c r="CF45" s="76">
        <f t="shared" si="39"/>
        <v>0.54032258064516125</v>
      </c>
      <c r="CG45" s="76">
        <f t="shared" si="39"/>
        <v>0.95522388059701502</v>
      </c>
      <c r="CH45" s="76">
        <f>CH42/CC42-1</f>
        <v>0.8857868020304569</v>
      </c>
      <c r="CI45" s="76">
        <f t="shared" si="39"/>
        <v>1.08955223880597</v>
      </c>
      <c r="CJ45" s="76">
        <f t="shared" si="39"/>
        <v>0.96153846153846145</v>
      </c>
      <c r="CK45" s="76">
        <f t="shared" si="39"/>
        <v>0.61256544502617793</v>
      </c>
      <c r="CL45" s="76">
        <f t="shared" si="39"/>
        <v>0.46564885496183206</v>
      </c>
      <c r="CM45" s="76">
        <f t="shared" si="39"/>
        <v>0.72005383580080751</v>
      </c>
      <c r="CN45" s="76">
        <f t="shared" si="39"/>
        <v>0.7</v>
      </c>
      <c r="CO45" s="76">
        <f t="shared" si="39"/>
        <v>0.40522875816993453</v>
      </c>
      <c r="CP45" s="76">
        <f t="shared" si="39"/>
        <v>0.81168831168831179</v>
      </c>
      <c r="CQ45" s="76">
        <f t="shared" si="39"/>
        <v>0.1484375</v>
      </c>
      <c r="CR45" s="76">
        <f>CR42/CM42-1</f>
        <v>0.49061032863849774</v>
      </c>
      <c r="CS45" s="76">
        <f t="shared" si="39"/>
        <v>0.33613445378151252</v>
      </c>
      <c r="CT45" s="76">
        <f t="shared" si="39"/>
        <v>0.13488372093023249</v>
      </c>
      <c r="CU45" s="76">
        <f t="shared" si="39"/>
        <v>8.9605734767025158E-2</v>
      </c>
      <c r="CV45" s="76">
        <f t="shared" si="39"/>
        <v>2.4943310657596474E-2</v>
      </c>
      <c r="CW45" s="90">
        <f>CW42/CR42-1</f>
        <v>0.14645669291338592</v>
      </c>
      <c r="CX45" s="76">
        <f t="shared" si="39"/>
        <v>-5.031446540880502E-2</v>
      </c>
      <c r="CY45" s="76">
        <f t="shared" si="39"/>
        <v>0.60040983606557385</v>
      </c>
      <c r="CZ45" s="76">
        <f t="shared" si="39"/>
        <v>0.89802631578947367</v>
      </c>
      <c r="DA45" s="76">
        <f t="shared" si="39"/>
        <v>1.7721238938053099</v>
      </c>
      <c r="DB45" s="90">
        <f>DB42/CW42-1</f>
        <v>0.73626373626373631</v>
      </c>
      <c r="DC45" s="76">
        <f t="shared" si="39"/>
        <v>0.72516556291390732</v>
      </c>
      <c r="DD45" s="76">
        <f t="shared" si="39"/>
        <v>0.59411011523687574</v>
      </c>
      <c r="DE45" s="76">
        <f t="shared" si="39"/>
        <v>0.15857885615251299</v>
      </c>
      <c r="DF45" s="76">
        <f t="shared" si="39"/>
        <v>-3.6711891460494805E-2</v>
      </c>
      <c r="DG45" s="76">
        <f>DG42/DB42-1</f>
        <v>0.27399789029535859</v>
      </c>
      <c r="DH45" s="76">
        <v>0.2</v>
      </c>
      <c r="DI45" s="76">
        <v>0.2</v>
      </c>
      <c r="DJ45" s="76">
        <v>0.2</v>
      </c>
      <c r="DK45" s="76">
        <v>0.2</v>
      </c>
      <c r="DL45" s="195">
        <f>DL42/DG42-1</f>
        <v>0.19999999999999973</v>
      </c>
      <c r="DM45" s="195">
        <v>0.2</v>
      </c>
      <c r="DN45" s="195">
        <v>0.1</v>
      </c>
      <c r="DO45" s="195">
        <v>0.05</v>
      </c>
      <c r="DP45" s="195">
        <v>0.05</v>
      </c>
    </row>
    <row r="46" spans="1:120" x14ac:dyDescent="0.2">
      <c r="A46" s="78" t="s">
        <v>56</v>
      </c>
      <c r="B46" s="79"/>
      <c r="C46" s="79"/>
      <c r="D46" s="79"/>
      <c r="E46" s="79"/>
      <c r="F46" s="79"/>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f t="shared" si="38"/>
        <v>-0.11068702290076338</v>
      </c>
      <c r="AV46" s="80">
        <f t="shared" si="38"/>
        <v>-0.18283582089552242</v>
      </c>
      <c r="AW46" s="80">
        <f t="shared" si="38"/>
        <v>1.9292604501607746E-2</v>
      </c>
      <c r="AX46" s="80">
        <f t="shared" si="38"/>
        <v>-0.20216606498194944</v>
      </c>
      <c r="AY46" s="80"/>
      <c r="AZ46" s="80">
        <f t="shared" si="39"/>
        <v>-8.1545064377682386E-2</v>
      </c>
      <c r="BA46" s="80">
        <f t="shared" si="39"/>
        <v>0.26484018264840192</v>
      </c>
      <c r="BB46" s="80">
        <f t="shared" si="39"/>
        <v>0.40378548895899047</v>
      </c>
      <c r="BC46" s="80">
        <f t="shared" si="39"/>
        <v>0.23981900452488691</v>
      </c>
      <c r="BD46" s="80">
        <f t="shared" si="39"/>
        <v>0.22222222222222232</v>
      </c>
      <c r="BE46" s="80">
        <f t="shared" si="39"/>
        <v>0.32710280373831768</v>
      </c>
      <c r="BF46" s="80">
        <f t="shared" si="39"/>
        <v>0.1732851985559567</v>
      </c>
      <c r="BG46" s="80">
        <f>BG43/BB43-1</f>
        <v>0.30561797752808983</v>
      </c>
      <c r="BH46" s="80">
        <f>BH43/BC43-1</f>
        <v>0.61313868613138678</v>
      </c>
      <c r="BI46" s="80">
        <f t="shared" si="39"/>
        <v>0.3487603305785123</v>
      </c>
      <c r="BJ46" s="80">
        <f t="shared" si="39"/>
        <v>0.36971830985915499</v>
      </c>
      <c r="BK46" s="91">
        <f>BK43/BF43-1</f>
        <v>0.17846153846153845</v>
      </c>
      <c r="BL46" s="91">
        <f>BL43/BG43-1</f>
        <v>0.14457831325301207</v>
      </c>
      <c r="BM46" s="91">
        <f>BM43/BH43-1</f>
        <v>-0.10859728506787325</v>
      </c>
      <c r="BN46" s="80">
        <f>BN43/BI43-1</f>
        <v>0.12193627450980382</v>
      </c>
      <c r="BO46" s="80">
        <f>BO43/BJ43-1</f>
        <v>-1.2853470437018011E-2</v>
      </c>
      <c r="BP46" s="91">
        <f>BP43/BK43-1</f>
        <v>6.788511749347248E-2</v>
      </c>
      <c r="BQ46" s="91">
        <f>BQ43/BL43-1</f>
        <v>-0.11278195488721809</v>
      </c>
      <c r="BR46" s="91">
        <f>BR43/BM43-1</f>
        <v>-9.6446700507614169E-2</v>
      </c>
      <c r="BS46" s="80">
        <f>BS43/BN43-1</f>
        <v>-5.0245767340251213E-2</v>
      </c>
      <c r="BT46" s="80">
        <f>BT43/BO43-1</f>
        <v>-6.510416666666663E-2</v>
      </c>
      <c r="BU46" s="80">
        <f>BU43/BP43-1</f>
        <v>4.1564792176039145E-2</v>
      </c>
      <c r="BV46" s="91">
        <f>BV43/BQ43-1</f>
        <v>5.9322033898305149E-2</v>
      </c>
      <c r="BW46" s="91">
        <f>BW43/BR43-1</f>
        <v>0.39606741573033699</v>
      </c>
      <c r="BX46" s="80">
        <f>BX43/BS43-1</f>
        <v>9.660724554341571E-2</v>
      </c>
      <c r="BY46" s="80">
        <f>BY43/BT43-1</f>
        <v>5.2924791086351064E-2</v>
      </c>
      <c r="BZ46" s="80">
        <f>BZ43/BU43-1</f>
        <v>-7.7464788732394374E-2</v>
      </c>
      <c r="CA46" s="80">
        <f>CA43/BV43-1</f>
        <v>0.37759999999999994</v>
      </c>
      <c r="CB46" s="80">
        <f>CB43/BW43-1</f>
        <v>9.0543259557344102E-2</v>
      </c>
      <c r="CC46" s="80">
        <f>CC43/BX43-1</f>
        <v>0.14001048767697966</v>
      </c>
      <c r="CD46" s="80">
        <f>CD43/BY43-1</f>
        <v>0.40740740740740744</v>
      </c>
      <c r="CE46" s="80">
        <f t="shared" si="39"/>
        <v>0.19083969465648853</v>
      </c>
      <c r="CF46" s="80">
        <f t="shared" si="39"/>
        <v>-0.21602787456445993</v>
      </c>
      <c r="CG46" s="80">
        <f>CG43/CB43-1</f>
        <v>0.16605166051660514</v>
      </c>
      <c r="CH46" s="80">
        <f>CH43/CC43-1</f>
        <v>6.117755289788418E-2</v>
      </c>
      <c r="CI46" s="80">
        <f>CI43/CD43-1</f>
        <v>0.24060150375939848</v>
      </c>
      <c r="CJ46" s="83">
        <f t="shared" si="39"/>
        <v>0.29914529914529919</v>
      </c>
      <c r="CK46" s="83">
        <f t="shared" si="39"/>
        <v>0.55259259259259252</v>
      </c>
      <c r="CL46" s="83">
        <f t="shared" si="39"/>
        <v>0.31962025316455689</v>
      </c>
      <c r="CM46" s="80">
        <f t="shared" si="39"/>
        <v>0.36540962288686596</v>
      </c>
      <c r="CN46" s="80">
        <f t="shared" si="39"/>
        <v>0.26969696969696977</v>
      </c>
      <c r="CO46" s="80">
        <f t="shared" si="39"/>
        <v>0.45723684210526305</v>
      </c>
      <c r="CP46" s="80">
        <f t="shared" si="39"/>
        <v>0.25858778625954204</v>
      </c>
      <c r="CQ46" s="80">
        <f t="shared" si="39"/>
        <v>-0.1690647482014388</v>
      </c>
      <c r="CR46" s="80">
        <f>CR43/CM43-1</f>
        <v>0.18603174603174599</v>
      </c>
      <c r="CS46" s="80">
        <f t="shared" si="39"/>
        <v>0.30906921241050123</v>
      </c>
      <c r="CT46" s="80">
        <f t="shared" si="39"/>
        <v>-0.2595936794582393</v>
      </c>
      <c r="CU46" s="80">
        <f t="shared" si="39"/>
        <v>-0.1000758150113723</v>
      </c>
      <c r="CV46" s="80">
        <f t="shared" si="39"/>
        <v>0.44011544011544013</v>
      </c>
      <c r="CW46" s="80">
        <f>CW43/CR43-1</f>
        <v>5.4068522483940118E-2</v>
      </c>
      <c r="CX46" s="80">
        <f>CX43/CS43-1</f>
        <v>-0.16408386508659978</v>
      </c>
      <c r="CY46" s="80">
        <f>CY43/CT43-1</f>
        <v>0.88262195121951215</v>
      </c>
      <c r="CZ46" s="80">
        <f>CZ43/CU43-1</f>
        <v>0.67902274641954508</v>
      </c>
      <c r="DA46" s="80">
        <f>DA43/CV43-1</f>
        <v>0.53106212424849697</v>
      </c>
      <c r="DB46" s="80">
        <f>DB43/CW43-1</f>
        <v>0.44057897409852709</v>
      </c>
      <c r="DC46" s="80">
        <f>DC43/CX43-1</f>
        <v>0.59214830970556154</v>
      </c>
      <c r="DD46" s="80">
        <f>DD43/CY43-1</f>
        <v>0.35465587044534419</v>
      </c>
      <c r="DE46" s="80">
        <f>DE43/CZ43-1</f>
        <v>0.15102860010035113</v>
      </c>
      <c r="DF46" s="80">
        <f>DF43/DA43-1</f>
        <v>-3.8612565445026226E-2</v>
      </c>
      <c r="DG46" s="80">
        <f>DG43/DB43-1</f>
        <v>0.21558258417063292</v>
      </c>
      <c r="DH46" s="80">
        <f>DH43/DC43-1</f>
        <v>0.15705479452054782</v>
      </c>
      <c r="DI46" s="80">
        <f>DI43/DD43-1</f>
        <v>0.16162582187686803</v>
      </c>
      <c r="DJ46" s="80">
        <f>DJ43/DE43-1</f>
        <v>0.13742371403661724</v>
      </c>
      <c r="DK46" s="80">
        <f>DK43/DF43-1</f>
        <v>0.17324710687542555</v>
      </c>
      <c r="DL46" s="189">
        <f>DL43/DG43-1</f>
        <v>0.15508265661252896</v>
      </c>
      <c r="DM46" s="189">
        <f t="shared" ref="DM46:DP46" si="40">DM43/DL43-1</f>
        <v>0.15372483663823111</v>
      </c>
      <c r="DN46" s="189">
        <f t="shared" si="40"/>
        <v>8.2988913145492171E-2</v>
      </c>
      <c r="DO46" s="189">
        <f t="shared" si="40"/>
        <v>4.5377496680722995E-2</v>
      </c>
      <c r="DP46" s="189">
        <f t="shared" si="40"/>
        <v>4.3168240515068179E-2</v>
      </c>
    </row>
    <row r="47" spans="1:120" x14ac:dyDescent="0.2">
      <c r="A47" s="21" t="s">
        <v>76</v>
      </c>
      <c r="B47" s="36">
        <v>119.9646</v>
      </c>
      <c r="C47" s="36">
        <v>119.9646</v>
      </c>
      <c r="D47" s="86">
        <v>144.32900000000001</v>
      </c>
      <c r="E47" s="36">
        <v>76.775000000000006</v>
      </c>
      <c r="F47" s="36">
        <v>461.03433603433604</v>
      </c>
      <c r="G47" s="36">
        <v>85</v>
      </c>
      <c r="H47" s="36">
        <v>190</v>
      </c>
      <c r="I47" s="86">
        <v>138</v>
      </c>
      <c r="J47" s="86">
        <v>119</v>
      </c>
      <c r="K47" s="36">
        <f>J47+I47+H47+G47</f>
        <v>532</v>
      </c>
      <c r="L47" s="86">
        <v>109</v>
      </c>
      <c r="M47" s="86">
        <v>125</v>
      </c>
      <c r="N47" s="86">
        <v>149</v>
      </c>
      <c r="O47" s="36">
        <v>111</v>
      </c>
      <c r="P47" s="36">
        <f>O47+N47+M47+L47</f>
        <v>494</v>
      </c>
      <c r="Q47" s="36">
        <v>106</v>
      </c>
      <c r="R47" s="36">
        <v>124</v>
      </c>
      <c r="S47" s="36">
        <v>154</v>
      </c>
      <c r="T47" s="36">
        <v>123</v>
      </c>
      <c r="U47" s="36">
        <f>T47+S47+R47+Q47</f>
        <v>507</v>
      </c>
      <c r="V47" s="36">
        <v>115</v>
      </c>
      <c r="W47" s="36">
        <v>131</v>
      </c>
      <c r="X47" s="36">
        <v>171</v>
      </c>
      <c r="Y47" s="36">
        <v>120</v>
      </c>
      <c r="Z47" s="36">
        <f>Y47+X47+W47+V47</f>
        <v>537</v>
      </c>
      <c r="AA47" s="36">
        <v>136</v>
      </c>
      <c r="AB47" s="36" t="e">
        <f>204-AB41-AB53-AB71-#REF!</f>
        <v>#REF!</v>
      </c>
      <c r="AC47" s="36" t="e">
        <f>368-AC41-AC53-AC71-#REF!</f>
        <v>#REF!</v>
      </c>
      <c r="AD47" s="36" t="e">
        <f>453-AD41-AD53-AD71-#REF!</f>
        <v>#REF!</v>
      </c>
      <c r="AE47" s="36" t="e">
        <f>AD47+AC47+AB47+AA47</f>
        <v>#REF!</v>
      </c>
      <c r="AF47" s="36" t="e">
        <f>227-#REF!</f>
        <v>#REF!</v>
      </c>
      <c r="AG47" s="36">
        <f>327</f>
        <v>327</v>
      </c>
      <c r="AH47" s="36">
        <v>412</v>
      </c>
      <c r="AI47" s="36">
        <v>313</v>
      </c>
      <c r="AJ47" s="36" t="e">
        <f>AI47+AH47+AG47+AF47</f>
        <v>#REF!</v>
      </c>
      <c r="AK47" s="36">
        <v>202</v>
      </c>
      <c r="AL47" s="36">
        <v>291</v>
      </c>
      <c r="AM47" s="36">
        <v>404</v>
      </c>
      <c r="AN47" s="36">
        <v>278</v>
      </c>
      <c r="AO47" s="36">
        <f>AN47+AM47+AL47+AK47</f>
        <v>1175</v>
      </c>
      <c r="AP47" s="36">
        <v>235</v>
      </c>
      <c r="AQ47" s="36">
        <v>303</v>
      </c>
      <c r="AR47" s="36">
        <v>440</v>
      </c>
      <c r="AS47" s="36">
        <v>310</v>
      </c>
      <c r="AT47" s="36">
        <f>AS47+AR47+AQ47+AP47</f>
        <v>1288</v>
      </c>
      <c r="AU47" s="36">
        <v>296</v>
      </c>
      <c r="AV47" s="36">
        <v>323</v>
      </c>
      <c r="AW47" s="36">
        <v>414</v>
      </c>
      <c r="AX47" s="36">
        <v>272</v>
      </c>
      <c r="AY47" s="36">
        <f>AX47+AW47+AV47+AU47</f>
        <v>1305</v>
      </c>
      <c r="AZ47" s="36">
        <v>226</v>
      </c>
      <c r="BA47" s="36">
        <v>270</v>
      </c>
      <c r="BB47" s="36">
        <v>369</v>
      </c>
      <c r="BC47" s="36">
        <v>243</v>
      </c>
      <c r="BD47" s="36">
        <f>BC47+BB47+BA47+AZ47</f>
        <v>1108</v>
      </c>
      <c r="BE47" s="36">
        <v>228</v>
      </c>
      <c r="BF47" s="36">
        <v>285</v>
      </c>
      <c r="BG47" s="36">
        <v>366</v>
      </c>
      <c r="BH47" s="36">
        <v>283</v>
      </c>
      <c r="BI47" s="36">
        <f>SUM(BE47:BH47)</f>
        <v>1162</v>
      </c>
      <c r="BJ47" s="36">
        <v>246</v>
      </c>
      <c r="BK47" s="36">
        <v>301</v>
      </c>
      <c r="BL47" s="36">
        <v>386</v>
      </c>
      <c r="BM47" s="36">
        <v>238</v>
      </c>
      <c r="BN47" s="36">
        <f>SUM(BJ47:BM47)</f>
        <v>1171</v>
      </c>
      <c r="BO47" s="36">
        <v>240</v>
      </c>
      <c r="BP47" s="36">
        <v>276</v>
      </c>
      <c r="BQ47" s="36">
        <v>377</v>
      </c>
      <c r="BR47" s="36">
        <v>296</v>
      </c>
      <c r="BS47" s="36">
        <f>SUM(BO47:BR47)</f>
        <v>1189</v>
      </c>
      <c r="BT47" s="36">
        <v>308</v>
      </c>
      <c r="BU47" s="36">
        <v>301</v>
      </c>
      <c r="BV47" s="36">
        <v>327</v>
      </c>
      <c r="BW47" s="36">
        <v>354</v>
      </c>
      <c r="BX47" s="36">
        <f>SUM(BT47:BW47)</f>
        <v>1290</v>
      </c>
      <c r="BY47" s="36">
        <v>310</v>
      </c>
      <c r="BZ47" s="36">
        <v>324</v>
      </c>
      <c r="CA47" s="36">
        <v>419</v>
      </c>
      <c r="CB47" s="36">
        <v>308</v>
      </c>
      <c r="CC47" s="36">
        <f>SUM(BY47:CB47)</f>
        <v>1361</v>
      </c>
      <c r="CD47" s="36">
        <v>298</v>
      </c>
      <c r="CE47" s="36">
        <v>341</v>
      </c>
      <c r="CF47" s="36">
        <v>419</v>
      </c>
      <c r="CG47" s="36">
        <v>316</v>
      </c>
      <c r="CH47" s="36">
        <f>SUM(CD47:CG47)</f>
        <v>1374</v>
      </c>
      <c r="CI47" s="36">
        <v>312</v>
      </c>
      <c r="CJ47" s="36">
        <v>356</v>
      </c>
      <c r="CK47" s="36">
        <v>429</v>
      </c>
      <c r="CL47" s="36">
        <v>333</v>
      </c>
      <c r="CM47" s="36">
        <f>SUM(CI47:CL47)</f>
        <v>1430</v>
      </c>
      <c r="CN47" s="36">
        <v>343</v>
      </c>
      <c r="CO47" s="36">
        <v>500</v>
      </c>
      <c r="CP47" s="36">
        <v>482</v>
      </c>
      <c r="CQ47" s="36">
        <v>358</v>
      </c>
      <c r="CR47" s="36">
        <f>SUM(CN47:CQ47)</f>
        <v>1683</v>
      </c>
      <c r="CS47" s="36">
        <v>333</v>
      </c>
      <c r="CT47" s="36">
        <v>263</v>
      </c>
      <c r="CU47" s="36">
        <v>437</v>
      </c>
      <c r="CV47" s="36">
        <v>345</v>
      </c>
      <c r="CW47" s="72">
        <f>SUM(CS47:CV47)</f>
        <v>1378</v>
      </c>
      <c r="CX47" s="36">
        <v>333</v>
      </c>
      <c r="CY47" s="36">
        <v>386</v>
      </c>
      <c r="CZ47" s="36">
        <v>537</v>
      </c>
      <c r="DA47" s="36">
        <v>374</v>
      </c>
      <c r="DB47" s="72">
        <f>SUM(CX47:DA47)</f>
        <v>1630</v>
      </c>
      <c r="DC47" s="72">
        <v>371</v>
      </c>
      <c r="DD47" s="72">
        <v>434</v>
      </c>
      <c r="DE47" s="72">
        <v>532</v>
      </c>
      <c r="DF47" s="72">
        <v>387</v>
      </c>
      <c r="DG47" s="36">
        <f>SUM(DC47:DF47)</f>
        <v>1724</v>
      </c>
      <c r="DH47" s="36">
        <f t="shared" ref="DH47:DK48" si="41">DC47*(1+DH50)</f>
        <v>378.42</v>
      </c>
      <c r="DI47" s="36">
        <f t="shared" si="41"/>
        <v>442.68</v>
      </c>
      <c r="DJ47" s="36">
        <f t="shared" si="41"/>
        <v>542.64</v>
      </c>
      <c r="DK47" s="36">
        <f t="shared" si="41"/>
        <v>394.74</v>
      </c>
      <c r="DL47" s="183">
        <f>SUM(DH47:DK47)</f>
        <v>1758.48</v>
      </c>
      <c r="DM47" s="183">
        <f t="shared" ref="DM47:DP48" si="42">DL47*(1+DM50)</f>
        <v>1793.6496</v>
      </c>
      <c r="DN47" s="183">
        <f t="shared" si="42"/>
        <v>1829.522592</v>
      </c>
      <c r="DO47" s="183">
        <f t="shared" si="42"/>
        <v>1866.11304384</v>
      </c>
      <c r="DP47" s="183">
        <f t="shared" si="42"/>
        <v>1903.4353047168001</v>
      </c>
    </row>
    <row r="48" spans="1:120" x14ac:dyDescent="0.2">
      <c r="A48" s="21" t="s">
        <v>77</v>
      </c>
      <c r="B48" s="86">
        <v>15</v>
      </c>
      <c r="C48" s="86">
        <v>5</v>
      </c>
      <c r="D48" s="86">
        <v>10</v>
      </c>
      <c r="E48" s="86">
        <v>5</v>
      </c>
      <c r="F48" s="36">
        <v>35</v>
      </c>
      <c r="G48" s="36">
        <v>4</v>
      </c>
      <c r="H48" s="36">
        <v>4</v>
      </c>
      <c r="I48" s="86">
        <v>6</v>
      </c>
      <c r="J48" s="86">
        <v>7</v>
      </c>
      <c r="K48" s="36">
        <f>J48+I48+H48+G48</f>
        <v>21</v>
      </c>
      <c r="L48" s="86">
        <v>8</v>
      </c>
      <c r="M48" s="86">
        <v>10</v>
      </c>
      <c r="N48" s="86">
        <v>10</v>
      </c>
      <c r="O48" s="36">
        <v>12</v>
      </c>
      <c r="P48" s="36">
        <f>O48+N48+M48+L48</f>
        <v>40</v>
      </c>
      <c r="Q48" s="36">
        <v>11</v>
      </c>
      <c r="R48" s="36">
        <v>11</v>
      </c>
      <c r="S48" s="36">
        <v>13</v>
      </c>
      <c r="T48" s="36">
        <v>13</v>
      </c>
      <c r="U48" s="36">
        <f>T48+S48+R48+Q48</f>
        <v>48</v>
      </c>
      <c r="V48" s="36">
        <v>19</v>
      </c>
      <c r="W48" s="36">
        <v>13</v>
      </c>
      <c r="X48" s="36">
        <v>15</v>
      </c>
      <c r="Y48" s="36">
        <v>14</v>
      </c>
      <c r="Z48" s="36">
        <f>Y48+X48+W48+V48</f>
        <v>61</v>
      </c>
      <c r="AA48" s="36">
        <v>26</v>
      </c>
      <c r="AB48" s="36">
        <v>19</v>
      </c>
      <c r="AC48" s="36">
        <v>21</v>
      </c>
      <c r="AD48" s="36">
        <v>30</v>
      </c>
      <c r="AE48" s="36">
        <f>AD48+AC48+AB48+AA48</f>
        <v>96</v>
      </c>
      <c r="AF48" s="36">
        <v>19</v>
      </c>
      <c r="AG48" s="36">
        <v>16</v>
      </c>
      <c r="AH48" s="36">
        <v>16</v>
      </c>
      <c r="AI48" s="36">
        <v>16</v>
      </c>
      <c r="AJ48" s="36">
        <f>AI48+AH48+AG48+AF48</f>
        <v>67</v>
      </c>
      <c r="AK48" s="36">
        <v>24</v>
      </c>
      <c r="AL48" s="36">
        <v>27</v>
      </c>
      <c r="AM48" s="36">
        <v>27</v>
      </c>
      <c r="AN48" s="36">
        <v>17</v>
      </c>
      <c r="AO48" s="36">
        <f>AN48+AM48+AL48+AK48</f>
        <v>95</v>
      </c>
      <c r="AP48" s="36">
        <v>17</v>
      </c>
      <c r="AQ48" s="36">
        <v>19</v>
      </c>
      <c r="AR48" s="36">
        <v>22</v>
      </c>
      <c r="AS48" s="36">
        <v>22</v>
      </c>
      <c r="AT48" s="36">
        <f>AS48+AR48+AQ48+AP48</f>
        <v>80</v>
      </c>
      <c r="AU48" s="36">
        <v>23</v>
      </c>
      <c r="AV48" s="36">
        <v>17</v>
      </c>
      <c r="AW48" s="36">
        <v>21</v>
      </c>
      <c r="AX48" s="36">
        <v>13</v>
      </c>
      <c r="AY48" s="36">
        <f>AX48+AW48+AV48+AU48</f>
        <v>74</v>
      </c>
      <c r="AZ48" s="36">
        <v>19</v>
      </c>
      <c r="BA48" s="36">
        <v>21</v>
      </c>
      <c r="BB48" s="36">
        <v>22</v>
      </c>
      <c r="BC48" s="36">
        <v>33</v>
      </c>
      <c r="BD48" s="36">
        <f>BC48+BB48+BA48+AZ48</f>
        <v>95</v>
      </c>
      <c r="BE48" s="36">
        <v>27</v>
      </c>
      <c r="BF48" s="36">
        <v>31</v>
      </c>
      <c r="BG48" s="36">
        <v>29</v>
      </c>
      <c r="BH48" s="36">
        <v>22</v>
      </c>
      <c r="BI48" s="36">
        <f>SUM(BE48:BH48)</f>
        <v>109</v>
      </c>
      <c r="BJ48" s="36">
        <v>26</v>
      </c>
      <c r="BK48" s="36">
        <v>38</v>
      </c>
      <c r="BL48" s="36">
        <v>35</v>
      </c>
      <c r="BM48" s="36">
        <v>35</v>
      </c>
      <c r="BN48" s="36">
        <f>SUM(BJ48:BM48)</f>
        <v>134</v>
      </c>
      <c r="BO48" s="36">
        <v>39</v>
      </c>
      <c r="BP48" s="36">
        <v>50</v>
      </c>
      <c r="BQ48" s="36">
        <v>44</v>
      </c>
      <c r="BR48" s="36">
        <v>70</v>
      </c>
      <c r="BS48" s="36">
        <f>SUM(BO48:BR48)</f>
        <v>203</v>
      </c>
      <c r="BT48" s="36">
        <v>40</v>
      </c>
      <c r="BU48" s="36">
        <v>57</v>
      </c>
      <c r="BV48" s="36">
        <v>64</v>
      </c>
      <c r="BW48" s="36">
        <v>55</v>
      </c>
      <c r="BX48" s="36">
        <f>SUM(BT48:BW48)</f>
        <v>216</v>
      </c>
      <c r="BY48" s="36">
        <v>47</v>
      </c>
      <c r="BZ48" s="36">
        <v>58</v>
      </c>
      <c r="CA48" s="36">
        <v>77</v>
      </c>
      <c r="CB48" s="36">
        <v>97</v>
      </c>
      <c r="CC48" s="36">
        <f>SUM(BY48:CB48)</f>
        <v>279</v>
      </c>
      <c r="CD48" s="36">
        <v>57</v>
      </c>
      <c r="CE48" s="36">
        <v>58</v>
      </c>
      <c r="CF48" s="36">
        <v>100</v>
      </c>
      <c r="CG48" s="36">
        <v>88</v>
      </c>
      <c r="CH48" s="36">
        <f>SUM(CD48:CG48)</f>
        <v>303</v>
      </c>
      <c r="CI48" s="36">
        <v>80</v>
      </c>
      <c r="CJ48" s="36">
        <v>70</v>
      </c>
      <c r="CK48" s="36">
        <v>96</v>
      </c>
      <c r="CL48" s="36">
        <v>122</v>
      </c>
      <c r="CM48" s="36">
        <f>SUM(CI48:CL48)</f>
        <v>368</v>
      </c>
      <c r="CN48" s="36">
        <v>153</v>
      </c>
      <c r="CO48" s="36">
        <f>174+1</f>
        <v>175</v>
      </c>
      <c r="CP48" s="36">
        <v>141</v>
      </c>
      <c r="CQ48" s="36">
        <v>123</v>
      </c>
      <c r="CR48" s="36">
        <f>SUM(CN48:CQ48)</f>
        <v>592</v>
      </c>
      <c r="CS48" s="36">
        <v>102</v>
      </c>
      <c r="CT48" s="36">
        <v>115</v>
      </c>
      <c r="CU48" s="36">
        <v>139</v>
      </c>
      <c r="CV48" s="36">
        <v>144</v>
      </c>
      <c r="CW48" s="72">
        <f>SUM(CS48:CV48)</f>
        <v>500</v>
      </c>
      <c r="CX48" s="36">
        <v>117</v>
      </c>
      <c r="CY48" s="36">
        <v>130</v>
      </c>
      <c r="CZ48" s="36">
        <v>125</v>
      </c>
      <c r="DA48" s="36">
        <v>135</v>
      </c>
      <c r="DB48" s="72">
        <f>SUM(CX48:DA48)</f>
        <v>507</v>
      </c>
      <c r="DC48" s="72">
        <v>99</v>
      </c>
      <c r="DD48" s="72">
        <v>143</v>
      </c>
      <c r="DE48" s="72">
        <v>136</v>
      </c>
      <c r="DF48" s="72">
        <v>139</v>
      </c>
      <c r="DG48" s="36">
        <f>SUM(DC48:DF48)</f>
        <v>517</v>
      </c>
      <c r="DH48" s="36">
        <f t="shared" si="41"/>
        <v>100.98</v>
      </c>
      <c r="DI48" s="36">
        <f t="shared" si="41"/>
        <v>145.86000000000001</v>
      </c>
      <c r="DJ48" s="36">
        <f t="shared" si="41"/>
        <v>138.72</v>
      </c>
      <c r="DK48" s="36">
        <f t="shared" si="41"/>
        <v>141.78</v>
      </c>
      <c r="DL48" s="183">
        <f>SUM(DH48:DK48)</f>
        <v>527.34</v>
      </c>
      <c r="DM48" s="183">
        <f t="shared" si="42"/>
        <v>537.88679999999999</v>
      </c>
      <c r="DN48" s="183">
        <f t="shared" si="42"/>
        <v>548.64453600000002</v>
      </c>
      <c r="DO48" s="183">
        <f t="shared" si="42"/>
        <v>559.61742672000003</v>
      </c>
      <c r="DP48" s="183">
        <f t="shared" si="42"/>
        <v>570.80977525440005</v>
      </c>
    </row>
    <row r="49" spans="1:120" x14ac:dyDescent="0.2">
      <c r="A49" s="31" t="s">
        <v>78</v>
      </c>
      <c r="B49" s="39">
        <f t="shared" ref="B49:S49" si="43">B48+B47</f>
        <v>134.96460000000002</v>
      </c>
      <c r="C49" s="39">
        <f t="shared" si="43"/>
        <v>124.9646</v>
      </c>
      <c r="D49" s="39">
        <f t="shared" si="43"/>
        <v>154.32900000000001</v>
      </c>
      <c r="E49" s="39">
        <f t="shared" si="43"/>
        <v>81.775000000000006</v>
      </c>
      <c r="F49" s="39">
        <f t="shared" si="43"/>
        <v>496.03433603433604</v>
      </c>
      <c r="G49" s="39">
        <f t="shared" si="43"/>
        <v>89</v>
      </c>
      <c r="H49" s="39">
        <f t="shared" si="43"/>
        <v>194</v>
      </c>
      <c r="I49" s="39">
        <f t="shared" si="43"/>
        <v>144</v>
      </c>
      <c r="J49" s="39">
        <f t="shared" si="43"/>
        <v>126</v>
      </c>
      <c r="K49" s="39">
        <f t="shared" si="43"/>
        <v>553</v>
      </c>
      <c r="L49" s="39">
        <f t="shared" si="43"/>
        <v>117</v>
      </c>
      <c r="M49" s="39">
        <f t="shared" si="43"/>
        <v>135</v>
      </c>
      <c r="N49" s="39">
        <f t="shared" si="43"/>
        <v>159</v>
      </c>
      <c r="O49" s="39">
        <f t="shared" si="43"/>
        <v>123</v>
      </c>
      <c r="P49" s="39">
        <f t="shared" si="43"/>
        <v>534</v>
      </c>
      <c r="Q49" s="39">
        <f t="shared" si="43"/>
        <v>117</v>
      </c>
      <c r="R49" s="39">
        <f t="shared" si="43"/>
        <v>135</v>
      </c>
      <c r="S49" s="39">
        <f t="shared" si="43"/>
        <v>167</v>
      </c>
      <c r="T49" s="39">
        <f>T48+T47-1</f>
        <v>135</v>
      </c>
      <c r="U49" s="39">
        <f>U48+U47</f>
        <v>555</v>
      </c>
      <c r="V49" s="39">
        <f>V48+V47+1</f>
        <v>135</v>
      </c>
      <c r="W49" s="39">
        <f>W48+W47+1</f>
        <v>145</v>
      </c>
      <c r="X49" s="39">
        <f>X48+X47+1</f>
        <v>187</v>
      </c>
      <c r="Y49" s="39">
        <f>Y48+Y47+1</f>
        <v>135</v>
      </c>
      <c r="Z49" s="39">
        <f>Z48+Z47</f>
        <v>598</v>
      </c>
      <c r="AA49" s="39">
        <f>AA48+AA47+1</f>
        <v>163</v>
      </c>
      <c r="AB49" s="39" t="e">
        <f>AB48+AB47+1</f>
        <v>#REF!</v>
      </c>
      <c r="AC49" s="39" t="e">
        <f t="shared" ref="AC49:BD49" si="44">AC48+AC47</f>
        <v>#REF!</v>
      </c>
      <c r="AD49" s="39" t="e">
        <f t="shared" si="44"/>
        <v>#REF!</v>
      </c>
      <c r="AE49" s="39" t="e">
        <f t="shared" si="44"/>
        <v>#REF!</v>
      </c>
      <c r="AF49" s="39" t="e">
        <f t="shared" si="44"/>
        <v>#REF!</v>
      </c>
      <c r="AG49" s="39">
        <f t="shared" si="44"/>
        <v>343</v>
      </c>
      <c r="AH49" s="39">
        <f t="shared" si="44"/>
        <v>428</v>
      </c>
      <c r="AI49" s="39">
        <f t="shared" si="44"/>
        <v>329</v>
      </c>
      <c r="AJ49" s="39" t="e">
        <f t="shared" si="44"/>
        <v>#REF!</v>
      </c>
      <c r="AK49" s="39">
        <f t="shared" si="44"/>
        <v>226</v>
      </c>
      <c r="AL49" s="39">
        <f t="shared" si="44"/>
        <v>318</v>
      </c>
      <c r="AM49" s="39">
        <f t="shared" si="44"/>
        <v>431</v>
      </c>
      <c r="AN49" s="39">
        <f t="shared" si="44"/>
        <v>295</v>
      </c>
      <c r="AO49" s="39">
        <f t="shared" si="44"/>
        <v>1270</v>
      </c>
      <c r="AP49" s="39">
        <f t="shared" si="44"/>
        <v>252</v>
      </c>
      <c r="AQ49" s="39">
        <f t="shared" si="44"/>
        <v>322</v>
      </c>
      <c r="AR49" s="39">
        <f t="shared" si="44"/>
        <v>462</v>
      </c>
      <c r="AS49" s="39">
        <f t="shared" si="44"/>
        <v>332</v>
      </c>
      <c r="AT49" s="39">
        <f t="shared" si="44"/>
        <v>1368</v>
      </c>
      <c r="AU49" s="39">
        <f t="shared" si="44"/>
        <v>319</v>
      </c>
      <c r="AV49" s="39">
        <f t="shared" si="44"/>
        <v>340</v>
      </c>
      <c r="AW49" s="39">
        <f t="shared" si="44"/>
        <v>435</v>
      </c>
      <c r="AX49" s="39">
        <f t="shared" si="44"/>
        <v>285</v>
      </c>
      <c r="AY49" s="39">
        <f t="shared" si="44"/>
        <v>1379</v>
      </c>
      <c r="AZ49" s="39">
        <f t="shared" si="44"/>
        <v>245</v>
      </c>
      <c r="BA49" s="39">
        <f t="shared" si="44"/>
        <v>291</v>
      </c>
      <c r="BB49" s="39">
        <f t="shared" si="44"/>
        <v>391</v>
      </c>
      <c r="BC49" s="39">
        <f t="shared" si="44"/>
        <v>276</v>
      </c>
      <c r="BD49" s="39">
        <f t="shared" si="44"/>
        <v>1203</v>
      </c>
      <c r="BE49" s="39">
        <f>BE47+BE48</f>
        <v>255</v>
      </c>
      <c r="BF49" s="39">
        <f>BF47+BF48</f>
        <v>316</v>
      </c>
      <c r="BG49" s="39">
        <f>BG47+BG48</f>
        <v>395</v>
      </c>
      <c r="BH49" s="39">
        <f>BH47+BH48</f>
        <v>305</v>
      </c>
      <c r="BI49" s="39">
        <f t="shared" ref="BI49:CQ49" si="45">BI48+BI47</f>
        <v>1271</v>
      </c>
      <c r="BJ49" s="39">
        <f t="shared" si="45"/>
        <v>272</v>
      </c>
      <c r="BK49" s="39">
        <f t="shared" si="45"/>
        <v>339</v>
      </c>
      <c r="BL49" s="39">
        <f t="shared" si="45"/>
        <v>421</v>
      </c>
      <c r="BM49" s="39">
        <f t="shared" si="45"/>
        <v>273</v>
      </c>
      <c r="BN49" s="39">
        <f t="shared" si="45"/>
        <v>1305</v>
      </c>
      <c r="BO49" s="39">
        <f t="shared" si="45"/>
        <v>279</v>
      </c>
      <c r="BP49" s="39">
        <f t="shared" si="45"/>
        <v>326</v>
      </c>
      <c r="BQ49" s="39">
        <f t="shared" si="45"/>
        <v>421</v>
      </c>
      <c r="BR49" s="39">
        <f t="shared" si="45"/>
        <v>366</v>
      </c>
      <c r="BS49" s="39">
        <f t="shared" si="45"/>
        <v>1392</v>
      </c>
      <c r="BT49" s="39">
        <f t="shared" si="45"/>
        <v>348</v>
      </c>
      <c r="BU49" s="39">
        <f t="shared" si="45"/>
        <v>358</v>
      </c>
      <c r="BV49" s="39">
        <f t="shared" si="45"/>
        <v>391</v>
      </c>
      <c r="BW49" s="39">
        <f t="shared" si="45"/>
        <v>409</v>
      </c>
      <c r="BX49" s="39">
        <f t="shared" si="45"/>
        <v>1506</v>
      </c>
      <c r="BY49" s="39">
        <f t="shared" si="45"/>
        <v>357</v>
      </c>
      <c r="BZ49" s="39">
        <f t="shared" si="45"/>
        <v>382</v>
      </c>
      <c r="CA49" s="39">
        <f t="shared" si="45"/>
        <v>496</v>
      </c>
      <c r="CB49" s="39">
        <f t="shared" si="45"/>
        <v>405</v>
      </c>
      <c r="CC49" s="39">
        <f t="shared" si="45"/>
        <v>1640</v>
      </c>
      <c r="CD49" s="39">
        <f t="shared" si="45"/>
        <v>355</v>
      </c>
      <c r="CE49" s="39">
        <f t="shared" si="45"/>
        <v>399</v>
      </c>
      <c r="CF49" s="39">
        <f t="shared" si="45"/>
        <v>519</v>
      </c>
      <c r="CG49" s="39">
        <f t="shared" si="45"/>
        <v>404</v>
      </c>
      <c r="CH49" s="39">
        <f t="shared" si="45"/>
        <v>1677</v>
      </c>
      <c r="CI49" s="39">
        <f t="shared" si="45"/>
        <v>392</v>
      </c>
      <c r="CJ49" s="39">
        <f t="shared" si="45"/>
        <v>426</v>
      </c>
      <c r="CK49" s="39">
        <f t="shared" si="45"/>
        <v>525</v>
      </c>
      <c r="CL49" s="39">
        <f t="shared" si="45"/>
        <v>455</v>
      </c>
      <c r="CM49" s="39">
        <f t="shared" si="45"/>
        <v>1798</v>
      </c>
      <c r="CN49" s="39">
        <f t="shared" si="45"/>
        <v>496</v>
      </c>
      <c r="CO49" s="39">
        <f t="shared" si="45"/>
        <v>675</v>
      </c>
      <c r="CP49" s="39">
        <f t="shared" si="45"/>
        <v>623</v>
      </c>
      <c r="CQ49" s="39">
        <f t="shared" si="45"/>
        <v>481</v>
      </c>
      <c r="CR49" s="39">
        <f>CR48+CR47</f>
        <v>2275</v>
      </c>
      <c r="CS49" s="39">
        <f>CS48+CS47</f>
        <v>435</v>
      </c>
      <c r="CT49" s="39">
        <f>CT48+CT47</f>
        <v>378</v>
      </c>
      <c r="CU49" s="39">
        <f>CU48+CU47</f>
        <v>576</v>
      </c>
      <c r="CV49" s="39">
        <f>CV48+CV47-1</f>
        <v>488</v>
      </c>
      <c r="CW49" s="74">
        <f>SUM(CS49:CV49)</f>
        <v>1877</v>
      </c>
      <c r="CX49" s="39">
        <f>SUM(CX47:CX48)</f>
        <v>450</v>
      </c>
      <c r="CY49" s="39">
        <f>SUM(CY47:CY48)</f>
        <v>516</v>
      </c>
      <c r="CZ49" s="39">
        <f>SUM(CZ47:CZ48)</f>
        <v>662</v>
      </c>
      <c r="DA49" s="39">
        <f>SUM(DA47:DA48)</f>
        <v>509</v>
      </c>
      <c r="DB49" s="74">
        <f>SUM(CX49:DA49)</f>
        <v>2137</v>
      </c>
      <c r="DC49" s="74">
        <f>DC48+DC47</f>
        <v>470</v>
      </c>
      <c r="DD49" s="74">
        <f>DD48+DD47</f>
        <v>577</v>
      </c>
      <c r="DE49" s="74">
        <f>DE48+DE47</f>
        <v>668</v>
      </c>
      <c r="DF49" s="74">
        <f>DF48+DF47</f>
        <v>526</v>
      </c>
      <c r="DG49" s="39">
        <f>SUM(DC49:DF49)</f>
        <v>2241</v>
      </c>
      <c r="DH49" s="39">
        <f>DH48+DH47</f>
        <v>479.40000000000003</v>
      </c>
      <c r="DI49" s="39">
        <f>DI48+DI47</f>
        <v>588.54</v>
      </c>
      <c r="DJ49" s="39">
        <f>DJ48+DJ47</f>
        <v>681.36</v>
      </c>
      <c r="DK49" s="39">
        <f>DK48+DK47</f>
        <v>536.52</v>
      </c>
      <c r="DL49" s="187">
        <f>SUM(DH49:DK49)</f>
        <v>2285.8200000000002</v>
      </c>
      <c r="DM49" s="187">
        <f t="shared" ref="DM49:DP49" si="46">DM48+DM47</f>
        <v>2331.5364</v>
      </c>
      <c r="DN49" s="187">
        <f t="shared" si="46"/>
        <v>2378.167128</v>
      </c>
      <c r="DO49" s="187">
        <f t="shared" si="46"/>
        <v>2425.73047056</v>
      </c>
      <c r="DP49" s="187">
        <f t="shared" si="46"/>
        <v>2474.2450799712001</v>
      </c>
    </row>
    <row r="50" spans="1:120" x14ac:dyDescent="0.2">
      <c r="A50" s="68" t="s">
        <v>54</v>
      </c>
      <c r="G50" s="76">
        <f t="shared" ref="G50:BR52" si="47">G47/B47-1</f>
        <v>-0.29145764667243501</v>
      </c>
      <c r="H50" s="76">
        <f t="shared" si="47"/>
        <v>0.58380055449690982</v>
      </c>
      <c r="I50" s="76">
        <f t="shared" si="47"/>
        <v>-4.3851201075321034E-2</v>
      </c>
      <c r="J50" s="76">
        <f t="shared" si="47"/>
        <v>0.54998371865841733</v>
      </c>
      <c r="K50" s="76">
        <f t="shared" si="47"/>
        <v>0.15392706880812179</v>
      </c>
      <c r="L50" s="76">
        <f t="shared" si="47"/>
        <v>0.2823529411764707</v>
      </c>
      <c r="M50" s="76">
        <f t="shared" si="47"/>
        <v>-0.34210526315789469</v>
      </c>
      <c r="N50" s="76">
        <f t="shared" si="47"/>
        <v>7.9710144927536142E-2</v>
      </c>
      <c r="O50" s="76">
        <f t="shared" si="47"/>
        <v>-6.7226890756302504E-2</v>
      </c>
      <c r="P50" s="76">
        <f t="shared" si="47"/>
        <v>-7.1428571428571397E-2</v>
      </c>
      <c r="Q50" s="90">
        <f t="shared" si="47"/>
        <v>-2.752293577981646E-2</v>
      </c>
      <c r="R50" s="90">
        <f t="shared" si="47"/>
        <v>-8.0000000000000071E-3</v>
      </c>
      <c r="S50" s="90">
        <f t="shared" si="47"/>
        <v>3.3557046979865834E-2</v>
      </c>
      <c r="T50" s="90">
        <f t="shared" si="47"/>
        <v>0.10810810810810811</v>
      </c>
      <c r="U50" s="76">
        <f t="shared" si="47"/>
        <v>2.6315789473684292E-2</v>
      </c>
      <c r="V50" s="90">
        <f t="shared" si="47"/>
        <v>8.4905660377358583E-2</v>
      </c>
      <c r="W50" s="90">
        <f t="shared" si="47"/>
        <v>5.6451612903225756E-2</v>
      </c>
      <c r="X50" s="90">
        <f t="shared" si="47"/>
        <v>0.11038961038961048</v>
      </c>
      <c r="Y50" s="90">
        <f t="shared" si="47"/>
        <v>-2.4390243902439046E-2</v>
      </c>
      <c r="Z50" s="76">
        <f t="shared" si="47"/>
        <v>5.9171597633136175E-2</v>
      </c>
      <c r="AA50" s="90">
        <f t="shared" si="47"/>
        <v>0.18260869565217397</v>
      </c>
      <c r="AB50" s="90" t="e">
        <f t="shared" si="47"/>
        <v>#REF!</v>
      </c>
      <c r="AC50" s="90" t="e">
        <f t="shared" si="47"/>
        <v>#REF!</v>
      </c>
      <c r="AD50" s="90" t="e">
        <f t="shared" si="47"/>
        <v>#REF!</v>
      </c>
      <c r="AE50" s="76" t="e">
        <f t="shared" si="47"/>
        <v>#REF!</v>
      </c>
      <c r="AF50" s="90" t="e">
        <f t="shared" si="47"/>
        <v>#REF!</v>
      </c>
      <c r="AG50" s="90" t="e">
        <f t="shared" si="47"/>
        <v>#REF!</v>
      </c>
      <c r="AH50" s="90" t="e">
        <f t="shared" si="47"/>
        <v>#REF!</v>
      </c>
      <c r="AI50" s="90" t="e">
        <f t="shared" si="47"/>
        <v>#REF!</v>
      </c>
      <c r="AJ50" s="76" t="e">
        <f t="shared" si="47"/>
        <v>#REF!</v>
      </c>
      <c r="AK50" s="90" t="e">
        <f t="shared" si="47"/>
        <v>#REF!</v>
      </c>
      <c r="AL50" s="90">
        <f t="shared" si="47"/>
        <v>-0.11009174311926606</v>
      </c>
      <c r="AM50" s="90">
        <f t="shared" si="47"/>
        <v>-1.9417475728155331E-2</v>
      </c>
      <c r="AN50" s="90">
        <f t="shared" si="47"/>
        <v>-0.11182108626198084</v>
      </c>
      <c r="AO50" s="76" t="e">
        <f t="shared" si="47"/>
        <v>#REF!</v>
      </c>
      <c r="AP50" s="90">
        <f t="shared" si="47"/>
        <v>0.16336633663366329</v>
      </c>
      <c r="AQ50" s="90">
        <f t="shared" si="47"/>
        <v>4.1237113402061931E-2</v>
      </c>
      <c r="AR50" s="90">
        <f t="shared" si="47"/>
        <v>8.9108910891089188E-2</v>
      </c>
      <c r="AS50" s="90">
        <f t="shared" si="47"/>
        <v>0.1151079136690647</v>
      </c>
      <c r="AT50" s="76">
        <f t="shared" si="47"/>
        <v>9.6170212765957386E-2</v>
      </c>
      <c r="AU50" s="90">
        <f t="shared" si="47"/>
        <v>0.25957446808510642</v>
      </c>
      <c r="AV50" s="90">
        <f t="shared" si="47"/>
        <v>6.6006600660065917E-2</v>
      </c>
      <c r="AW50" s="90">
        <f t="shared" si="47"/>
        <v>-5.9090909090909083E-2</v>
      </c>
      <c r="AX50" s="90">
        <f t="shared" si="47"/>
        <v>-0.1225806451612903</v>
      </c>
      <c r="AY50" s="76">
        <f t="shared" si="47"/>
        <v>1.3198757763975166E-2</v>
      </c>
      <c r="AZ50" s="90">
        <f t="shared" si="47"/>
        <v>-0.23648648648648651</v>
      </c>
      <c r="BA50" s="90">
        <f t="shared" si="47"/>
        <v>-0.16408668730650156</v>
      </c>
      <c r="BB50" s="90">
        <f t="shared" si="47"/>
        <v>-0.10869565217391308</v>
      </c>
      <c r="BC50" s="90">
        <f t="shared" si="47"/>
        <v>-0.10661764705882348</v>
      </c>
      <c r="BD50" s="76">
        <f t="shared" si="47"/>
        <v>-0.1509578544061303</v>
      </c>
      <c r="BE50" s="76">
        <f t="shared" si="47"/>
        <v>8.8495575221239076E-3</v>
      </c>
      <c r="BF50" s="76">
        <f t="shared" si="47"/>
        <v>5.555555555555558E-2</v>
      </c>
      <c r="BG50" s="76">
        <f t="shared" si="47"/>
        <v>-8.1300813008130524E-3</v>
      </c>
      <c r="BH50" s="76">
        <f t="shared" si="47"/>
        <v>0.1646090534979423</v>
      </c>
      <c r="BI50" s="90">
        <f t="shared" si="47"/>
        <v>4.8736462093862842E-2</v>
      </c>
      <c r="BJ50" s="76">
        <f t="shared" si="47"/>
        <v>7.8947368421052655E-2</v>
      </c>
      <c r="BK50" s="76">
        <f t="shared" si="47"/>
        <v>5.6140350877192935E-2</v>
      </c>
      <c r="BL50" s="76">
        <f t="shared" si="47"/>
        <v>5.464480874316946E-2</v>
      </c>
      <c r="BM50" s="76">
        <f t="shared" si="47"/>
        <v>-0.1590106007067138</v>
      </c>
      <c r="BN50" s="90">
        <f>BN47/BI47-1</f>
        <v>7.7452667814112974E-3</v>
      </c>
      <c r="BO50" s="76">
        <f t="shared" si="47"/>
        <v>-2.4390243902439046E-2</v>
      </c>
      <c r="BP50" s="76">
        <f t="shared" si="47"/>
        <v>-8.3056478405315604E-2</v>
      </c>
      <c r="BQ50" s="76">
        <f t="shared" si="47"/>
        <v>-2.3316062176165775E-2</v>
      </c>
      <c r="BR50" s="76">
        <f t="shared" si="47"/>
        <v>0.24369747899159666</v>
      </c>
      <c r="BS50" s="90">
        <f>BS47/BN47-1</f>
        <v>1.5371477369769515E-2</v>
      </c>
      <c r="BT50" s="76">
        <f t="shared" ref="BT50:DF52" si="48">BT47/BO47-1</f>
        <v>0.28333333333333344</v>
      </c>
      <c r="BU50" s="76">
        <f t="shared" si="48"/>
        <v>9.0579710144927494E-2</v>
      </c>
      <c r="BV50" s="76">
        <f t="shared" si="48"/>
        <v>-0.13262599469496017</v>
      </c>
      <c r="BW50" s="76">
        <f t="shared" si="48"/>
        <v>0.19594594594594605</v>
      </c>
      <c r="BX50" s="90">
        <f>BX47/BS47-1</f>
        <v>8.4945332211942892E-2</v>
      </c>
      <c r="BY50" s="76">
        <f t="shared" si="48"/>
        <v>6.4935064935065512E-3</v>
      </c>
      <c r="BZ50" s="76">
        <f t="shared" si="48"/>
        <v>7.6411960132890311E-2</v>
      </c>
      <c r="CA50" s="76">
        <f t="shared" si="48"/>
        <v>0.28134556574923542</v>
      </c>
      <c r="CB50" s="76">
        <f t="shared" si="48"/>
        <v>-0.12994350282485878</v>
      </c>
      <c r="CC50" s="90">
        <f>CC47/BX47-1</f>
        <v>5.5038759689922445E-2</v>
      </c>
      <c r="CD50" s="76">
        <f t="shared" si="48"/>
        <v>-3.8709677419354827E-2</v>
      </c>
      <c r="CE50" s="76">
        <f t="shared" si="48"/>
        <v>5.2469135802469147E-2</v>
      </c>
      <c r="CF50" s="76">
        <f t="shared" si="48"/>
        <v>0</v>
      </c>
      <c r="CG50" s="76">
        <f t="shared" si="48"/>
        <v>2.5974025974025983E-2</v>
      </c>
      <c r="CH50" s="90">
        <f>CH47/CC47-1</f>
        <v>9.5518001469507841E-3</v>
      </c>
      <c r="CI50" s="76">
        <f t="shared" si="48"/>
        <v>4.6979865771812124E-2</v>
      </c>
      <c r="CJ50" s="76">
        <f t="shared" si="48"/>
        <v>4.3988269794721369E-2</v>
      </c>
      <c r="CK50" s="76">
        <f t="shared" si="48"/>
        <v>2.3866348448687402E-2</v>
      </c>
      <c r="CL50" s="76">
        <f t="shared" si="48"/>
        <v>5.3797468354430444E-2</v>
      </c>
      <c r="CM50" s="90">
        <f t="shared" si="48"/>
        <v>4.0756914119359555E-2</v>
      </c>
      <c r="CN50" s="90">
        <f t="shared" si="48"/>
        <v>9.935897435897445E-2</v>
      </c>
      <c r="CO50" s="90">
        <f t="shared" si="48"/>
        <v>0.40449438202247201</v>
      </c>
      <c r="CP50" s="90">
        <f t="shared" si="48"/>
        <v>0.12354312354312347</v>
      </c>
      <c r="CQ50" s="90">
        <f t="shared" si="48"/>
        <v>7.5075075075075048E-2</v>
      </c>
      <c r="CR50" s="90">
        <f>CR47/CM47-1</f>
        <v>0.17692307692307696</v>
      </c>
      <c r="CS50" s="90">
        <f t="shared" si="48"/>
        <v>-2.9154518950437303E-2</v>
      </c>
      <c r="CT50" s="90">
        <f t="shared" si="48"/>
        <v>-0.47399999999999998</v>
      </c>
      <c r="CU50" s="90">
        <f t="shared" si="48"/>
        <v>-9.3360995850622408E-2</v>
      </c>
      <c r="CV50" s="90">
        <f t="shared" si="48"/>
        <v>-3.6312849162011163E-2</v>
      </c>
      <c r="CW50" s="90">
        <f>CW47/CR47-1</f>
        <v>-0.18122400475341649</v>
      </c>
      <c r="CX50" s="90">
        <f t="shared" si="48"/>
        <v>0</v>
      </c>
      <c r="CY50" s="90">
        <f t="shared" si="48"/>
        <v>0.4676806083650189</v>
      </c>
      <c r="CZ50" s="90">
        <f t="shared" si="48"/>
        <v>0.22883295194508002</v>
      </c>
      <c r="DA50" s="90">
        <f t="shared" si="48"/>
        <v>8.405797101449286E-2</v>
      </c>
      <c r="DB50" s="90">
        <f>DB47/CW47-1</f>
        <v>0.18287373004354146</v>
      </c>
      <c r="DC50" s="90">
        <f t="shared" si="48"/>
        <v>0.11411411411411421</v>
      </c>
      <c r="DD50" s="90">
        <f t="shared" si="48"/>
        <v>0.12435233160621761</v>
      </c>
      <c r="DE50" s="90">
        <f t="shared" si="48"/>
        <v>-9.3109869646182952E-3</v>
      </c>
      <c r="DF50" s="90">
        <f t="shared" si="48"/>
        <v>3.475935828876997E-2</v>
      </c>
      <c r="DG50" s="90">
        <f>DG47/DB47-1</f>
        <v>5.7668711656441607E-2</v>
      </c>
      <c r="DH50" s="90">
        <v>0.02</v>
      </c>
      <c r="DI50" s="90">
        <v>0.02</v>
      </c>
      <c r="DJ50" s="90">
        <v>0.02</v>
      </c>
      <c r="DK50" s="90">
        <v>0.02</v>
      </c>
      <c r="DL50" s="188">
        <f>DL47/DG47-1</f>
        <v>2.0000000000000018E-2</v>
      </c>
      <c r="DM50" s="188">
        <v>0.02</v>
      </c>
      <c r="DN50" s="188">
        <v>0.02</v>
      </c>
      <c r="DO50" s="188">
        <v>0.02</v>
      </c>
      <c r="DP50" s="188">
        <v>0.02</v>
      </c>
    </row>
    <row r="51" spans="1:120" x14ac:dyDescent="0.2">
      <c r="A51" s="68" t="s">
        <v>55</v>
      </c>
      <c r="G51" s="76">
        <f t="shared" si="47"/>
        <v>-0.73333333333333339</v>
      </c>
      <c r="H51" s="76">
        <f t="shared" si="47"/>
        <v>-0.19999999999999996</v>
      </c>
      <c r="I51" s="76">
        <f t="shared" si="47"/>
        <v>-0.4</v>
      </c>
      <c r="J51" s="76">
        <f t="shared" si="47"/>
        <v>0.39999999999999991</v>
      </c>
      <c r="K51" s="76">
        <f t="shared" si="47"/>
        <v>-0.4</v>
      </c>
      <c r="L51" s="76">
        <f t="shared" si="47"/>
        <v>1</v>
      </c>
      <c r="M51" s="76">
        <f t="shared" si="47"/>
        <v>1.5</v>
      </c>
      <c r="N51" s="76">
        <f t="shared" si="47"/>
        <v>0.66666666666666674</v>
      </c>
      <c r="O51" s="76">
        <f t="shared" si="47"/>
        <v>0.71428571428571419</v>
      </c>
      <c r="P51" s="76">
        <f t="shared" si="47"/>
        <v>0.90476190476190466</v>
      </c>
      <c r="Q51" s="90">
        <f t="shared" si="47"/>
        <v>0.375</v>
      </c>
      <c r="R51" s="90">
        <f t="shared" si="47"/>
        <v>0.10000000000000009</v>
      </c>
      <c r="S51" s="90">
        <f t="shared" si="47"/>
        <v>0.30000000000000004</v>
      </c>
      <c r="T51" s="90">
        <f t="shared" si="47"/>
        <v>8.3333333333333259E-2</v>
      </c>
      <c r="U51" s="76">
        <f t="shared" si="47"/>
        <v>0.19999999999999996</v>
      </c>
      <c r="V51" s="90">
        <f t="shared" si="47"/>
        <v>0.72727272727272729</v>
      </c>
      <c r="W51" s="90">
        <f t="shared" si="47"/>
        <v>0.18181818181818188</v>
      </c>
      <c r="X51" s="90">
        <f t="shared" si="47"/>
        <v>0.15384615384615374</v>
      </c>
      <c r="Y51" s="90">
        <f t="shared" si="47"/>
        <v>7.6923076923076872E-2</v>
      </c>
      <c r="Z51" s="76">
        <f t="shared" si="47"/>
        <v>0.27083333333333326</v>
      </c>
      <c r="AA51" s="90">
        <f t="shared" si="47"/>
        <v>0.36842105263157898</v>
      </c>
      <c r="AB51" s="90">
        <f t="shared" si="47"/>
        <v>0.46153846153846145</v>
      </c>
      <c r="AC51" s="90">
        <f t="shared" si="47"/>
        <v>0.39999999999999991</v>
      </c>
      <c r="AD51" s="90">
        <f t="shared" si="47"/>
        <v>1.1428571428571428</v>
      </c>
      <c r="AE51" s="76">
        <f t="shared" si="47"/>
        <v>0.57377049180327866</v>
      </c>
      <c r="AF51" s="90">
        <f t="shared" si="47"/>
        <v>-0.26923076923076927</v>
      </c>
      <c r="AG51" s="90">
        <f t="shared" si="47"/>
        <v>-0.15789473684210531</v>
      </c>
      <c r="AH51" s="90">
        <f t="shared" si="47"/>
        <v>-0.23809523809523814</v>
      </c>
      <c r="AI51" s="90">
        <f t="shared" si="47"/>
        <v>-0.46666666666666667</v>
      </c>
      <c r="AJ51" s="76">
        <f t="shared" si="47"/>
        <v>-0.30208333333333337</v>
      </c>
      <c r="AK51" s="90">
        <f t="shared" si="47"/>
        <v>0.26315789473684204</v>
      </c>
      <c r="AL51" s="90">
        <f t="shared" si="47"/>
        <v>0.6875</v>
      </c>
      <c r="AM51" s="90">
        <f t="shared" si="47"/>
        <v>0.6875</v>
      </c>
      <c r="AN51" s="90">
        <f t="shared" si="47"/>
        <v>6.25E-2</v>
      </c>
      <c r="AO51" s="76">
        <f t="shared" si="47"/>
        <v>0.41791044776119413</v>
      </c>
      <c r="AP51" s="90">
        <f t="shared" si="47"/>
        <v>-0.29166666666666663</v>
      </c>
      <c r="AQ51" s="90">
        <f t="shared" si="47"/>
        <v>-0.29629629629629628</v>
      </c>
      <c r="AR51" s="90">
        <f t="shared" si="47"/>
        <v>-0.18518518518518523</v>
      </c>
      <c r="AS51" s="90">
        <f t="shared" si="47"/>
        <v>0.29411764705882359</v>
      </c>
      <c r="AT51" s="76">
        <f t="shared" si="47"/>
        <v>-0.15789473684210531</v>
      </c>
      <c r="AU51" s="90">
        <f t="shared" si="47"/>
        <v>0.35294117647058831</v>
      </c>
      <c r="AV51" s="90">
        <f t="shared" si="47"/>
        <v>-0.10526315789473684</v>
      </c>
      <c r="AW51" s="90">
        <f t="shared" si="47"/>
        <v>-4.5454545454545414E-2</v>
      </c>
      <c r="AX51" s="90">
        <f t="shared" si="47"/>
        <v>-0.40909090909090906</v>
      </c>
      <c r="AY51" s="76">
        <f t="shared" si="47"/>
        <v>-7.4999999999999956E-2</v>
      </c>
      <c r="AZ51" s="90">
        <f t="shared" si="47"/>
        <v>-0.17391304347826086</v>
      </c>
      <c r="BA51" s="90">
        <f t="shared" si="47"/>
        <v>0.23529411764705888</v>
      </c>
      <c r="BB51" s="90">
        <f t="shared" si="47"/>
        <v>4.7619047619047672E-2</v>
      </c>
      <c r="BC51" s="90">
        <f t="shared" si="47"/>
        <v>1.5384615384615383</v>
      </c>
      <c r="BD51" s="76">
        <f t="shared" si="47"/>
        <v>0.28378378378378377</v>
      </c>
      <c r="BE51" s="76">
        <f t="shared" si="47"/>
        <v>0.42105263157894735</v>
      </c>
      <c r="BF51" s="76">
        <f t="shared" si="47"/>
        <v>0.47619047619047628</v>
      </c>
      <c r="BG51" s="76">
        <f t="shared" si="47"/>
        <v>0.31818181818181812</v>
      </c>
      <c r="BH51" s="76">
        <f t="shared" si="47"/>
        <v>-0.33333333333333337</v>
      </c>
      <c r="BI51" s="90">
        <f t="shared" si="47"/>
        <v>0.14736842105263159</v>
      </c>
      <c r="BJ51" s="76">
        <f t="shared" si="47"/>
        <v>-3.703703703703709E-2</v>
      </c>
      <c r="BK51" s="76">
        <f t="shared" si="47"/>
        <v>0.22580645161290325</v>
      </c>
      <c r="BL51" s="76">
        <f t="shared" si="47"/>
        <v>0.2068965517241379</v>
      </c>
      <c r="BM51" s="76">
        <f t="shared" si="47"/>
        <v>0.59090909090909083</v>
      </c>
      <c r="BN51" s="90">
        <f>BN48/BI48-1</f>
        <v>0.22935779816513757</v>
      </c>
      <c r="BO51" s="76">
        <f t="shared" si="47"/>
        <v>0.5</v>
      </c>
      <c r="BP51" s="76">
        <f t="shared" si="47"/>
        <v>0.31578947368421062</v>
      </c>
      <c r="BQ51" s="76">
        <f t="shared" si="47"/>
        <v>0.25714285714285712</v>
      </c>
      <c r="BR51" s="76">
        <f t="shared" si="47"/>
        <v>1</v>
      </c>
      <c r="BS51" s="90">
        <f>BS48/BN48-1</f>
        <v>0.5149253731343284</v>
      </c>
      <c r="BT51" s="76">
        <f t="shared" si="48"/>
        <v>2.564102564102555E-2</v>
      </c>
      <c r="BU51" s="76">
        <f t="shared" si="48"/>
        <v>0.1399999999999999</v>
      </c>
      <c r="BV51" s="76">
        <f t="shared" si="48"/>
        <v>0.45454545454545459</v>
      </c>
      <c r="BW51" s="76">
        <f t="shared" si="48"/>
        <v>-0.2142857142857143</v>
      </c>
      <c r="BX51" s="90">
        <f>BX48/BS48-1</f>
        <v>6.4039408866995107E-2</v>
      </c>
      <c r="BY51" s="76">
        <f t="shared" si="48"/>
        <v>0.17500000000000004</v>
      </c>
      <c r="BZ51" s="76">
        <f t="shared" si="48"/>
        <v>1.7543859649122862E-2</v>
      </c>
      <c r="CA51" s="76">
        <f t="shared" si="48"/>
        <v>0.203125</v>
      </c>
      <c r="CB51" s="76">
        <f t="shared" si="48"/>
        <v>0.76363636363636367</v>
      </c>
      <c r="CC51" s="90">
        <f>CC48/BX48-1</f>
        <v>0.29166666666666674</v>
      </c>
      <c r="CD51" s="76">
        <f t="shared" si="48"/>
        <v>0.2127659574468086</v>
      </c>
      <c r="CE51" s="76">
        <f t="shared" si="48"/>
        <v>0</v>
      </c>
      <c r="CF51" s="76">
        <f t="shared" si="48"/>
        <v>0.29870129870129869</v>
      </c>
      <c r="CG51" s="76">
        <f t="shared" si="48"/>
        <v>-9.2783505154639179E-2</v>
      </c>
      <c r="CH51" s="90">
        <f>CH48/CC48-1</f>
        <v>8.602150537634401E-2</v>
      </c>
      <c r="CI51" s="76">
        <f t="shared" si="48"/>
        <v>0.40350877192982448</v>
      </c>
      <c r="CJ51" s="76">
        <f t="shared" si="48"/>
        <v>0.2068965517241379</v>
      </c>
      <c r="CK51" s="76">
        <f t="shared" si="48"/>
        <v>-4.0000000000000036E-2</v>
      </c>
      <c r="CL51" s="76">
        <f t="shared" si="48"/>
        <v>0.38636363636363646</v>
      </c>
      <c r="CM51" s="90">
        <f t="shared" si="48"/>
        <v>0.21452145214521456</v>
      </c>
      <c r="CN51" s="90">
        <f t="shared" si="48"/>
        <v>0.91250000000000009</v>
      </c>
      <c r="CO51" s="90">
        <f t="shared" si="48"/>
        <v>1.5</v>
      </c>
      <c r="CP51" s="90">
        <f t="shared" si="48"/>
        <v>0.46875</v>
      </c>
      <c r="CQ51" s="90">
        <f t="shared" si="48"/>
        <v>8.1967213114753079E-3</v>
      </c>
      <c r="CR51" s="90">
        <f>CR48/CM48-1</f>
        <v>0.60869565217391308</v>
      </c>
      <c r="CS51" s="90">
        <f t="shared" si="48"/>
        <v>-0.33333333333333337</v>
      </c>
      <c r="CT51" s="90">
        <f t="shared" si="48"/>
        <v>-0.34285714285714286</v>
      </c>
      <c r="CU51" s="90">
        <f t="shared" si="48"/>
        <v>-1.4184397163120588E-2</v>
      </c>
      <c r="CV51" s="90">
        <f t="shared" si="48"/>
        <v>0.1707317073170731</v>
      </c>
      <c r="CW51" s="90">
        <f>CW48/CR48-1</f>
        <v>-0.15540540540540537</v>
      </c>
      <c r="CX51" s="90">
        <f t="shared" si="48"/>
        <v>0.14705882352941169</v>
      </c>
      <c r="CY51" s="90">
        <f t="shared" si="48"/>
        <v>0.13043478260869557</v>
      </c>
      <c r="CZ51" s="90">
        <f t="shared" si="48"/>
        <v>-0.10071942446043169</v>
      </c>
      <c r="DA51" s="90">
        <f t="shared" si="48"/>
        <v>-6.25E-2</v>
      </c>
      <c r="DB51" s="90">
        <f>DB48/CW48-1</f>
        <v>1.4000000000000012E-2</v>
      </c>
      <c r="DC51" s="90">
        <f t="shared" si="48"/>
        <v>-0.15384615384615385</v>
      </c>
      <c r="DD51" s="90">
        <f t="shared" si="48"/>
        <v>0.10000000000000009</v>
      </c>
      <c r="DE51" s="90">
        <f t="shared" si="48"/>
        <v>8.8000000000000078E-2</v>
      </c>
      <c r="DF51" s="90">
        <f t="shared" si="48"/>
        <v>2.9629629629629672E-2</v>
      </c>
      <c r="DG51" s="90">
        <f>DG48/DB48-1</f>
        <v>1.9723865877712132E-2</v>
      </c>
      <c r="DH51" s="90">
        <v>0.02</v>
      </c>
      <c r="DI51" s="90">
        <v>0.02</v>
      </c>
      <c r="DJ51" s="90">
        <v>0.02</v>
      </c>
      <c r="DK51" s="90">
        <v>0.02</v>
      </c>
      <c r="DL51" s="188">
        <f>DL48/DG48-1</f>
        <v>2.0000000000000018E-2</v>
      </c>
      <c r="DM51" s="188">
        <v>0.02</v>
      </c>
      <c r="DN51" s="188">
        <v>0.02</v>
      </c>
      <c r="DO51" s="188">
        <v>0.02</v>
      </c>
      <c r="DP51" s="188">
        <v>0.02</v>
      </c>
    </row>
    <row r="52" spans="1:120" x14ac:dyDescent="0.2">
      <c r="A52" s="78" t="s">
        <v>56</v>
      </c>
      <c r="B52" s="79"/>
      <c r="C52" s="79"/>
      <c r="D52" s="79"/>
      <c r="E52" s="79"/>
      <c r="F52" s="79"/>
      <c r="G52" s="80">
        <f t="shared" si="47"/>
        <v>-0.3405678229698752</v>
      </c>
      <c r="H52" s="80">
        <f t="shared" si="47"/>
        <v>0.55243965090913738</v>
      </c>
      <c r="I52" s="80">
        <f t="shared" si="47"/>
        <v>-6.6928445075131737E-2</v>
      </c>
      <c r="J52" s="80">
        <f t="shared" si="47"/>
        <v>0.54081320697034529</v>
      </c>
      <c r="K52" s="80">
        <f t="shared" si="47"/>
        <v>0.11484217891263215</v>
      </c>
      <c r="L52" s="80">
        <f t="shared" si="47"/>
        <v>0.31460674157303381</v>
      </c>
      <c r="M52" s="80">
        <f t="shared" si="47"/>
        <v>-0.30412371134020622</v>
      </c>
      <c r="N52" s="80">
        <f t="shared" si="47"/>
        <v>0.10416666666666674</v>
      </c>
      <c r="O52" s="80">
        <f t="shared" si="47"/>
        <v>-2.3809523809523836E-2</v>
      </c>
      <c r="P52" s="80">
        <f t="shared" si="47"/>
        <v>-3.4358047016274873E-2</v>
      </c>
      <c r="Q52" s="80">
        <f t="shared" si="47"/>
        <v>0</v>
      </c>
      <c r="R52" s="80">
        <f t="shared" si="47"/>
        <v>0</v>
      </c>
      <c r="S52" s="80">
        <f t="shared" si="47"/>
        <v>5.031446540880502E-2</v>
      </c>
      <c r="T52" s="80">
        <f t="shared" si="47"/>
        <v>9.7560975609756184E-2</v>
      </c>
      <c r="U52" s="80">
        <f t="shared" si="47"/>
        <v>3.9325842696629199E-2</v>
      </c>
      <c r="V52" s="80">
        <f t="shared" si="47"/>
        <v>0.15384615384615374</v>
      </c>
      <c r="W52" s="80">
        <f t="shared" si="47"/>
        <v>7.4074074074074181E-2</v>
      </c>
      <c r="X52" s="80">
        <f t="shared" si="47"/>
        <v>0.11976047904191622</v>
      </c>
      <c r="Y52" s="80">
        <f t="shared" si="47"/>
        <v>0</v>
      </c>
      <c r="Z52" s="80">
        <f t="shared" si="47"/>
        <v>7.7477477477477574E-2</v>
      </c>
      <c r="AA52" s="80">
        <f t="shared" si="47"/>
        <v>0.20740740740740748</v>
      </c>
      <c r="AB52" s="80" t="e">
        <f t="shared" si="47"/>
        <v>#REF!</v>
      </c>
      <c r="AC52" s="80" t="e">
        <f t="shared" si="47"/>
        <v>#REF!</v>
      </c>
      <c r="AD52" s="80" t="e">
        <f t="shared" si="47"/>
        <v>#REF!</v>
      </c>
      <c r="AE52" s="80" t="e">
        <f t="shared" si="47"/>
        <v>#REF!</v>
      </c>
      <c r="AF52" s="80" t="e">
        <f t="shared" si="47"/>
        <v>#REF!</v>
      </c>
      <c r="AG52" s="80" t="e">
        <f t="shared" si="47"/>
        <v>#REF!</v>
      </c>
      <c r="AH52" s="80" t="e">
        <f t="shared" si="47"/>
        <v>#REF!</v>
      </c>
      <c r="AI52" s="80" t="e">
        <f t="shared" si="47"/>
        <v>#REF!</v>
      </c>
      <c r="AJ52" s="80" t="e">
        <f t="shared" si="47"/>
        <v>#REF!</v>
      </c>
      <c r="AK52" s="80" t="e">
        <f t="shared" si="47"/>
        <v>#REF!</v>
      </c>
      <c r="AL52" s="80">
        <f t="shared" si="47"/>
        <v>-7.2886297376093312E-2</v>
      </c>
      <c r="AM52" s="80">
        <f t="shared" si="47"/>
        <v>7.0093457943924964E-3</v>
      </c>
      <c r="AN52" s="80">
        <f t="shared" si="47"/>
        <v>-0.10334346504559266</v>
      </c>
      <c r="AO52" s="80" t="e">
        <f t="shared" si="47"/>
        <v>#REF!</v>
      </c>
      <c r="AP52" s="80">
        <f t="shared" si="47"/>
        <v>0.11504424778761058</v>
      </c>
      <c r="AQ52" s="80">
        <f t="shared" si="47"/>
        <v>1.2578616352201255E-2</v>
      </c>
      <c r="AR52" s="80">
        <f t="shared" si="47"/>
        <v>7.1925754060324865E-2</v>
      </c>
      <c r="AS52" s="80">
        <f t="shared" si="47"/>
        <v>0.12542372881355934</v>
      </c>
      <c r="AT52" s="80">
        <f t="shared" si="47"/>
        <v>7.7165354330708702E-2</v>
      </c>
      <c r="AU52" s="80">
        <f t="shared" si="47"/>
        <v>0.26587301587301582</v>
      </c>
      <c r="AV52" s="80">
        <f t="shared" si="47"/>
        <v>5.5900621118012417E-2</v>
      </c>
      <c r="AW52" s="80">
        <f t="shared" si="47"/>
        <v>-5.8441558441558406E-2</v>
      </c>
      <c r="AX52" s="80">
        <f t="shared" si="47"/>
        <v>-0.14156626506024095</v>
      </c>
      <c r="AY52" s="80">
        <f t="shared" si="47"/>
        <v>8.0409356725146264E-3</v>
      </c>
      <c r="AZ52" s="80">
        <f t="shared" si="47"/>
        <v>-0.23197492163009403</v>
      </c>
      <c r="BA52" s="80">
        <f t="shared" si="47"/>
        <v>-0.14411764705882357</v>
      </c>
      <c r="BB52" s="80">
        <f t="shared" si="47"/>
        <v>-0.10114942528735638</v>
      </c>
      <c r="BC52" s="80">
        <f t="shared" si="47"/>
        <v>-3.157894736842104E-2</v>
      </c>
      <c r="BD52" s="80">
        <f t="shared" si="47"/>
        <v>-0.12762871646120377</v>
      </c>
      <c r="BE52" s="80">
        <f t="shared" si="47"/>
        <v>4.081632653061229E-2</v>
      </c>
      <c r="BF52" s="80">
        <f t="shared" si="47"/>
        <v>8.5910652920962116E-2</v>
      </c>
      <c r="BG52" s="80">
        <f>BG49/BB49-1</f>
        <v>1.0230179028132946E-2</v>
      </c>
      <c r="BH52" s="80">
        <f>BH49/BC49-1</f>
        <v>0.10507246376811596</v>
      </c>
      <c r="BI52" s="80">
        <f t="shared" si="47"/>
        <v>5.652535328345798E-2</v>
      </c>
      <c r="BJ52" s="80">
        <f t="shared" si="47"/>
        <v>6.6666666666666652E-2</v>
      </c>
      <c r="BK52" s="91">
        <f>BK49/BF49-1</f>
        <v>7.2784810126582222E-2</v>
      </c>
      <c r="BL52" s="91">
        <f>BL49/BG49-1</f>
        <v>6.5822784810126489E-2</v>
      </c>
      <c r="BM52" s="91">
        <f>BM49/BH49-1</f>
        <v>-0.10491803278688527</v>
      </c>
      <c r="BN52" s="80">
        <f>BN49/BI49-1</f>
        <v>2.6750590086546122E-2</v>
      </c>
      <c r="BO52" s="80">
        <f>BO49/BJ49-1</f>
        <v>2.5735294117646967E-2</v>
      </c>
      <c r="BP52" s="91">
        <f>BP49/BK49-1</f>
        <v>-3.8348082595870192E-2</v>
      </c>
      <c r="BQ52" s="91">
        <f>BQ49/BL49-1</f>
        <v>0</v>
      </c>
      <c r="BR52" s="91">
        <f>BR49/BM49-1</f>
        <v>0.34065934065934056</v>
      </c>
      <c r="BS52" s="80">
        <f>BS49/BN49-1</f>
        <v>6.6666666666666652E-2</v>
      </c>
      <c r="BT52" s="80">
        <f>BT49/BO49-1</f>
        <v>0.24731182795698925</v>
      </c>
      <c r="BU52" s="80">
        <f>BU49/BP49-1</f>
        <v>9.8159509202454087E-2</v>
      </c>
      <c r="BV52" s="91">
        <f>BV49/BQ49-1</f>
        <v>-7.1258907363420443E-2</v>
      </c>
      <c r="BW52" s="91">
        <f>BW49/BR49-1</f>
        <v>0.11748633879781423</v>
      </c>
      <c r="BX52" s="80">
        <f>BX49/BS49-1</f>
        <v>8.18965517241379E-2</v>
      </c>
      <c r="BY52" s="80">
        <f>BY49/BT49-1</f>
        <v>2.5862068965517349E-2</v>
      </c>
      <c r="BZ52" s="80">
        <f>BZ49/BU49-1</f>
        <v>6.7039106145251326E-2</v>
      </c>
      <c r="CA52" s="80">
        <f>CA49/BV49-1</f>
        <v>0.26854219948849112</v>
      </c>
      <c r="CB52" s="80">
        <f>CB49/BW49-1</f>
        <v>-9.7799511002445438E-3</v>
      </c>
      <c r="CC52" s="80">
        <f>CC49/BX49-1</f>
        <v>8.8977423638778141E-2</v>
      </c>
      <c r="CD52" s="80">
        <f>CD49/BY49-1</f>
        <v>-5.6022408963585235E-3</v>
      </c>
      <c r="CE52" s="80">
        <f>CE49/BZ49-1</f>
        <v>4.4502617801047029E-2</v>
      </c>
      <c r="CF52" s="80">
        <f>CF49/CA49-1</f>
        <v>4.6370967741935498E-2</v>
      </c>
      <c r="CG52" s="80">
        <f>CG49/CB49-1</f>
        <v>-2.4691358024691024E-3</v>
      </c>
      <c r="CH52" s="80">
        <f>CH49/CC49-1</f>
        <v>2.2560975609756007E-2</v>
      </c>
      <c r="CI52" s="80">
        <f>CI49/CD49-1</f>
        <v>0.10422535211267614</v>
      </c>
      <c r="CJ52" s="83">
        <f t="shared" si="48"/>
        <v>6.7669172932330879E-2</v>
      </c>
      <c r="CK52" s="83">
        <f t="shared" si="48"/>
        <v>1.1560693641618602E-2</v>
      </c>
      <c r="CL52" s="83">
        <f t="shared" si="48"/>
        <v>0.12623762376237613</v>
      </c>
      <c r="CM52" s="80">
        <f t="shared" si="48"/>
        <v>7.2152653548002377E-2</v>
      </c>
      <c r="CN52" s="80">
        <f t="shared" si="48"/>
        <v>0.26530612244897966</v>
      </c>
      <c r="CO52" s="80">
        <f t="shared" si="48"/>
        <v>0.58450704225352124</v>
      </c>
      <c r="CP52" s="80">
        <f t="shared" si="48"/>
        <v>0.18666666666666676</v>
      </c>
      <c r="CQ52" s="80">
        <f t="shared" si="48"/>
        <v>5.7142857142857162E-2</v>
      </c>
      <c r="CR52" s="80">
        <f>CR49/CM49-1</f>
        <v>0.26529477196885431</v>
      </c>
      <c r="CS52" s="80">
        <f t="shared" si="48"/>
        <v>-0.12298387096774188</v>
      </c>
      <c r="CT52" s="80">
        <f t="shared" si="48"/>
        <v>-0.43999999999999995</v>
      </c>
      <c r="CU52" s="80">
        <f t="shared" si="48"/>
        <v>-7.5441412520064199E-2</v>
      </c>
      <c r="CV52" s="80">
        <f t="shared" si="48"/>
        <v>1.4553014553014609E-2</v>
      </c>
      <c r="CW52" s="80">
        <f>CW49/CR49-1</f>
        <v>-0.17494505494505497</v>
      </c>
      <c r="CX52" s="80">
        <f>CX49/CS49-1</f>
        <v>3.4482758620689724E-2</v>
      </c>
      <c r="CY52" s="80">
        <f>CY49/CT49-1</f>
        <v>0.36507936507936511</v>
      </c>
      <c r="CZ52" s="80">
        <f>CZ49/CU49-1</f>
        <v>0.14930555555555558</v>
      </c>
      <c r="DA52" s="80">
        <f>DA49/CV49-1</f>
        <v>4.3032786885245811E-2</v>
      </c>
      <c r="DB52" s="80">
        <f>DB49/CW49-1</f>
        <v>0.13851891315929676</v>
      </c>
      <c r="DC52" s="80">
        <f>DC49/CX49-1</f>
        <v>4.4444444444444509E-2</v>
      </c>
      <c r="DD52" s="80">
        <f>DD49/CY49-1</f>
        <v>0.11821705426356588</v>
      </c>
      <c r="DE52" s="80">
        <f>DE49/CZ49-1</f>
        <v>9.0634441087613649E-3</v>
      </c>
      <c r="DF52" s="80">
        <f>DF49/DA49-1</f>
        <v>3.3398821218074692E-2</v>
      </c>
      <c r="DG52" s="80">
        <f>DG49/DB49-1</f>
        <v>4.866635470285452E-2</v>
      </c>
      <c r="DH52" s="80">
        <f>DH49/DC49-1</f>
        <v>2.0000000000000018E-2</v>
      </c>
      <c r="DI52" s="80">
        <f>DI49/DD49-1</f>
        <v>2.0000000000000018E-2</v>
      </c>
      <c r="DJ52" s="80">
        <f>DJ49/DE49-1</f>
        <v>2.0000000000000018E-2</v>
      </c>
      <c r="DK52" s="80">
        <f>DK49/DF49-1</f>
        <v>2.0000000000000018E-2</v>
      </c>
      <c r="DL52" s="189">
        <f>DL49/DG49-1</f>
        <v>2.0000000000000018E-2</v>
      </c>
      <c r="DM52" s="189">
        <f t="shared" ref="DM52:DP52" si="49">DM49/DL49-1</f>
        <v>2.0000000000000018E-2</v>
      </c>
      <c r="DN52" s="189">
        <f t="shared" si="49"/>
        <v>2.0000000000000018E-2</v>
      </c>
      <c r="DO52" s="189">
        <f t="shared" si="49"/>
        <v>2.0000000000000018E-2</v>
      </c>
      <c r="DP52" s="189">
        <f t="shared" si="49"/>
        <v>2.0000000000000018E-2</v>
      </c>
    </row>
    <row r="53" spans="1:120" x14ac:dyDescent="0.2">
      <c r="A53" s="65" t="s">
        <v>79</v>
      </c>
      <c r="B53" s="31"/>
      <c r="C53" s="31"/>
      <c r="D53" s="31"/>
      <c r="E53" s="31"/>
      <c r="F53" s="31"/>
      <c r="G53" s="69"/>
      <c r="H53" s="69"/>
      <c r="I53" s="69"/>
      <c r="J53" s="69"/>
      <c r="K53" s="69"/>
      <c r="L53" s="69"/>
      <c r="M53" s="69"/>
      <c r="N53" s="69"/>
      <c r="O53" s="69"/>
      <c r="P53" s="69"/>
      <c r="Q53" s="69"/>
      <c r="R53" s="69"/>
      <c r="S53" s="69"/>
      <c r="T53" s="69"/>
      <c r="U53" s="69"/>
      <c r="V53" s="72"/>
      <c r="W53" s="72"/>
      <c r="X53" s="72"/>
      <c r="Y53" s="72"/>
      <c r="Z53" s="72"/>
      <c r="AA53" s="72"/>
      <c r="AB53" s="72">
        <v>31</v>
      </c>
      <c r="AC53" s="72">
        <v>62</v>
      </c>
      <c r="AD53" s="72">
        <v>69</v>
      </c>
      <c r="AE53" s="106">
        <f>AD53+AC53+AB53+AA53</f>
        <v>162</v>
      </c>
      <c r="AF53" s="72">
        <v>82</v>
      </c>
      <c r="AG53" s="72">
        <v>114</v>
      </c>
      <c r="AH53" s="72">
        <v>161</v>
      </c>
      <c r="AI53" s="72">
        <v>142</v>
      </c>
      <c r="AJ53" s="106">
        <f>AI53+AH53+AG53+AF53</f>
        <v>499</v>
      </c>
      <c r="AK53" s="72">
        <v>179</v>
      </c>
      <c r="AL53" s="72">
        <v>166</v>
      </c>
      <c r="AM53" s="72">
        <v>125</v>
      </c>
      <c r="AN53" s="72">
        <v>148</v>
      </c>
      <c r="AO53" s="106">
        <f>AN53+AM53+AL53+AK53</f>
        <v>618</v>
      </c>
      <c r="AP53" s="72">
        <v>124</v>
      </c>
      <c r="AQ53" s="72">
        <v>107</v>
      </c>
      <c r="AR53" s="72">
        <v>113</v>
      </c>
      <c r="AS53" s="72">
        <v>123</v>
      </c>
      <c r="AT53" s="106">
        <f>AS53+AR53+AQ53+AP53</f>
        <v>467</v>
      </c>
      <c r="AU53" s="106">
        <v>74</v>
      </c>
      <c r="AV53" s="106">
        <v>118</v>
      </c>
      <c r="AW53" s="106">
        <v>99</v>
      </c>
      <c r="AX53" s="106">
        <v>149</v>
      </c>
      <c r="AY53" s="106">
        <f>AX53+AW53+AV53+AU53</f>
        <v>440</v>
      </c>
      <c r="AZ53" s="106">
        <v>107</v>
      </c>
      <c r="BA53" s="106">
        <v>120</v>
      </c>
      <c r="BB53" s="106">
        <v>133</v>
      </c>
      <c r="BC53" s="106">
        <v>162</v>
      </c>
      <c r="BD53" s="106">
        <f>BC53+BB53+BA53+AZ53</f>
        <v>522</v>
      </c>
      <c r="BE53" s="36">
        <v>108</v>
      </c>
      <c r="BF53" s="36">
        <v>102</v>
      </c>
      <c r="BG53" s="36">
        <v>108</v>
      </c>
      <c r="BH53" s="36">
        <v>136</v>
      </c>
      <c r="BI53" s="36">
        <f>SUM(BE53:BH53)</f>
        <v>454</v>
      </c>
      <c r="BJ53" s="36">
        <v>130</v>
      </c>
      <c r="BK53" s="36">
        <v>98</v>
      </c>
      <c r="BL53" s="36">
        <v>154</v>
      </c>
      <c r="BM53" s="36">
        <v>88</v>
      </c>
      <c r="BN53" s="36">
        <f>SUM(BJ53:BM53)</f>
        <v>470</v>
      </c>
      <c r="BO53" s="36">
        <v>130</v>
      </c>
      <c r="BP53" s="36">
        <v>101</v>
      </c>
      <c r="BQ53" s="36">
        <v>126</v>
      </c>
      <c r="BR53" s="36">
        <v>119</v>
      </c>
      <c r="BS53" s="36">
        <f>SUM(BO53:BR53)</f>
        <v>476</v>
      </c>
      <c r="BT53" s="36">
        <v>157</v>
      </c>
      <c r="BU53" s="36">
        <v>48</v>
      </c>
      <c r="BV53" s="36">
        <v>115</v>
      </c>
      <c r="BW53" s="36">
        <v>126</v>
      </c>
      <c r="BX53" s="36">
        <f>SUM(BT53:BW53)</f>
        <v>446</v>
      </c>
      <c r="BY53" s="36">
        <v>149</v>
      </c>
      <c r="BZ53" s="36">
        <v>85</v>
      </c>
      <c r="CA53" s="36">
        <v>123</v>
      </c>
      <c r="CB53" s="36">
        <v>126</v>
      </c>
      <c r="CC53" s="36">
        <f>SUM(BY53:CB53)</f>
        <v>483</v>
      </c>
      <c r="CD53" s="36">
        <v>178</v>
      </c>
      <c r="CE53" s="36">
        <v>72</v>
      </c>
      <c r="CF53" s="36">
        <v>127</v>
      </c>
      <c r="CG53" s="36">
        <v>104</v>
      </c>
      <c r="CH53" s="36">
        <f>SUM(CD53:CG53)</f>
        <v>481</v>
      </c>
      <c r="CI53" s="36">
        <v>151</v>
      </c>
      <c r="CJ53" s="36">
        <v>99</v>
      </c>
      <c r="CK53" s="36">
        <v>134</v>
      </c>
      <c r="CL53" s="36">
        <v>112</v>
      </c>
      <c r="CM53" s="36">
        <f>SUM(CI53:CL53)</f>
        <v>496</v>
      </c>
      <c r="CN53" s="36">
        <v>154</v>
      </c>
      <c r="CO53" s="36">
        <v>104</v>
      </c>
      <c r="CP53" s="36">
        <v>102</v>
      </c>
      <c r="CQ53" s="36">
        <v>146</v>
      </c>
      <c r="CR53" s="36">
        <f>SUM(CN53:CQ53)</f>
        <v>506</v>
      </c>
      <c r="CS53" s="36">
        <v>140</v>
      </c>
      <c r="CT53" s="36">
        <v>100</v>
      </c>
      <c r="CU53" s="36">
        <v>114</v>
      </c>
      <c r="CV53" s="36">
        <v>131</v>
      </c>
      <c r="CW53" s="72">
        <f>SUM(CS53:CV53)</f>
        <v>485</v>
      </c>
      <c r="CX53" s="36">
        <v>118</v>
      </c>
      <c r="CY53" s="36">
        <v>111</v>
      </c>
      <c r="CZ53" s="36">
        <v>135</v>
      </c>
      <c r="DA53" s="36">
        <v>109</v>
      </c>
      <c r="DB53" s="72">
        <f>SUM(CX53:DA53)</f>
        <v>473</v>
      </c>
      <c r="DC53" s="72">
        <v>175</v>
      </c>
      <c r="DD53" s="72">
        <v>98</v>
      </c>
      <c r="DE53" s="72">
        <v>154</v>
      </c>
      <c r="DF53" s="72">
        <v>82</v>
      </c>
      <c r="DG53" s="36">
        <f>SUM(DC53:DF53)</f>
        <v>509</v>
      </c>
      <c r="DH53" s="36">
        <f t="shared" ref="DH53:DK54" si="50">DC53*(1+DH56)</f>
        <v>182</v>
      </c>
      <c r="DI53" s="36">
        <f t="shared" si="50"/>
        <v>101.92</v>
      </c>
      <c r="DJ53" s="36">
        <f t="shared" si="50"/>
        <v>160.16</v>
      </c>
      <c r="DK53" s="36">
        <f t="shared" si="50"/>
        <v>85.28</v>
      </c>
      <c r="DL53" s="183">
        <f>SUM(DH53:DK53)</f>
        <v>529.36</v>
      </c>
      <c r="DM53" s="183">
        <f t="shared" ref="DM53:DP54" si="51">DL53*(1+DM56)</f>
        <v>550.53440000000001</v>
      </c>
      <c r="DN53" s="183">
        <f t="shared" si="51"/>
        <v>572.55577600000004</v>
      </c>
      <c r="DO53" s="183">
        <f t="shared" si="51"/>
        <v>595.4580070400001</v>
      </c>
      <c r="DP53" s="183">
        <f t="shared" si="51"/>
        <v>619.27632732160009</v>
      </c>
    </row>
    <row r="54" spans="1:120" x14ac:dyDescent="0.2">
      <c r="A54" s="65" t="s">
        <v>80</v>
      </c>
      <c r="B54" s="31"/>
      <c r="C54" s="31"/>
      <c r="D54" s="31"/>
      <c r="E54" s="31"/>
      <c r="F54" s="31"/>
      <c r="G54" s="69"/>
      <c r="H54" s="69"/>
      <c r="I54" s="69"/>
      <c r="J54" s="69"/>
      <c r="K54" s="69"/>
      <c r="L54" s="69"/>
      <c r="M54" s="69"/>
      <c r="N54" s="69"/>
      <c r="O54" s="69"/>
      <c r="P54" s="69"/>
      <c r="Q54" s="69"/>
      <c r="R54" s="69"/>
      <c r="S54" s="69"/>
      <c r="T54" s="69"/>
      <c r="U54" s="69"/>
      <c r="V54" s="72"/>
      <c r="W54" s="72"/>
      <c r="X54" s="72"/>
      <c r="Y54" s="72"/>
      <c r="Z54" s="72"/>
      <c r="AA54" s="72"/>
      <c r="AB54" s="72"/>
      <c r="AC54" s="72"/>
      <c r="AD54" s="72"/>
      <c r="AE54" s="106">
        <f>AD54+AC54+AB54+AA54</f>
        <v>0</v>
      </c>
      <c r="AF54" s="72">
        <v>3</v>
      </c>
      <c r="AG54" s="72">
        <v>5</v>
      </c>
      <c r="AH54" s="72">
        <v>10</v>
      </c>
      <c r="AI54" s="72">
        <v>7</v>
      </c>
      <c r="AJ54" s="106">
        <f>AI54+AH54+AG54+AF54</f>
        <v>25</v>
      </c>
      <c r="AK54" s="72">
        <v>11</v>
      </c>
      <c r="AL54" s="72">
        <v>12</v>
      </c>
      <c r="AM54" s="72">
        <v>10</v>
      </c>
      <c r="AN54" s="72">
        <v>14</v>
      </c>
      <c r="AO54" s="106">
        <f>AN54+AM54+AL54+AK54</f>
        <v>47</v>
      </c>
      <c r="AP54" s="72">
        <v>10</v>
      </c>
      <c r="AQ54" s="72">
        <v>18</v>
      </c>
      <c r="AR54" s="72">
        <v>13</v>
      </c>
      <c r="AS54" s="72">
        <v>12</v>
      </c>
      <c r="AT54" s="106">
        <f>AS54+AR54+AQ54+AP54</f>
        <v>53</v>
      </c>
      <c r="AU54" s="106">
        <v>19</v>
      </c>
      <c r="AV54" s="106">
        <v>21</v>
      </c>
      <c r="AW54" s="106">
        <v>20</v>
      </c>
      <c r="AX54" s="106">
        <v>21</v>
      </c>
      <c r="AY54" s="106">
        <f>AX54+AW54+AV54+AU54</f>
        <v>81</v>
      </c>
      <c r="AZ54" s="106">
        <v>18</v>
      </c>
      <c r="BA54" s="106">
        <v>28</v>
      </c>
      <c r="BB54" s="106">
        <v>51</v>
      </c>
      <c r="BC54" s="106">
        <v>33</v>
      </c>
      <c r="BD54" s="106">
        <f>BC54+BB54+BA54+AZ54</f>
        <v>130</v>
      </c>
      <c r="BE54" s="36">
        <v>34</v>
      </c>
      <c r="BF54" s="36">
        <v>40</v>
      </c>
      <c r="BG54" s="36">
        <v>41</v>
      </c>
      <c r="BH54" s="36">
        <v>32</v>
      </c>
      <c r="BI54" s="36">
        <f>SUM(BE54:BH54)</f>
        <v>147</v>
      </c>
      <c r="BJ54" s="36">
        <v>32</v>
      </c>
      <c r="BK54" s="36">
        <v>46</v>
      </c>
      <c r="BL54" s="36">
        <v>47</v>
      </c>
      <c r="BM54" s="36">
        <v>41</v>
      </c>
      <c r="BN54" s="36">
        <f>SUM(BJ54:BM54)</f>
        <v>166</v>
      </c>
      <c r="BO54" s="36">
        <v>39</v>
      </c>
      <c r="BP54" s="36">
        <v>46</v>
      </c>
      <c r="BQ54" s="36">
        <v>48</v>
      </c>
      <c r="BR54" s="36">
        <v>51</v>
      </c>
      <c r="BS54" s="36">
        <f>SUM(BO54:BR54)</f>
        <v>184</v>
      </c>
      <c r="BT54" s="36">
        <v>35</v>
      </c>
      <c r="BU54" s="36">
        <v>41</v>
      </c>
      <c r="BV54" s="36">
        <v>45</v>
      </c>
      <c r="BW54" s="36">
        <v>43</v>
      </c>
      <c r="BX54" s="36">
        <f>SUM(BT54:BW54)</f>
        <v>164</v>
      </c>
      <c r="BY54" s="36">
        <v>39</v>
      </c>
      <c r="BZ54" s="36">
        <v>45</v>
      </c>
      <c r="CA54" s="36">
        <v>48</v>
      </c>
      <c r="CB54" s="36">
        <v>36</v>
      </c>
      <c r="CC54" s="36">
        <f>SUM(BY54:CB54)</f>
        <v>168</v>
      </c>
      <c r="CD54" s="36">
        <v>45</v>
      </c>
      <c r="CE54" s="36">
        <v>51</v>
      </c>
      <c r="CF54" s="36">
        <v>52</v>
      </c>
      <c r="CG54" s="36">
        <v>56</v>
      </c>
      <c r="CH54" s="36">
        <f>SUM(CD54:CG54)</f>
        <v>204</v>
      </c>
      <c r="CI54" s="36">
        <v>42</v>
      </c>
      <c r="CJ54" s="36">
        <v>57</v>
      </c>
      <c r="CK54" s="36">
        <v>57</v>
      </c>
      <c r="CL54" s="36">
        <v>76</v>
      </c>
      <c r="CM54" s="36">
        <f>SUM(CI54:CL54)</f>
        <v>232</v>
      </c>
      <c r="CN54" s="36">
        <v>57</v>
      </c>
      <c r="CO54" s="36">
        <v>68</v>
      </c>
      <c r="CP54" s="36">
        <v>78</v>
      </c>
      <c r="CQ54" s="36">
        <v>81</v>
      </c>
      <c r="CR54" s="36">
        <f>SUM(CN54:CQ54)</f>
        <v>284</v>
      </c>
      <c r="CS54" s="36">
        <v>82</v>
      </c>
      <c r="CT54" s="36">
        <v>68</v>
      </c>
      <c r="CU54" s="36">
        <v>96</v>
      </c>
      <c r="CV54" s="36">
        <v>65</v>
      </c>
      <c r="CW54" s="72">
        <f>SUM(CS54:CV54)</f>
        <v>311</v>
      </c>
      <c r="CX54" s="36">
        <v>41</v>
      </c>
      <c r="CY54" s="36">
        <v>97</v>
      </c>
      <c r="CZ54" s="36">
        <v>92</v>
      </c>
      <c r="DA54" s="36">
        <v>105</v>
      </c>
      <c r="DB54" s="72">
        <f>SUM(CX54:DA54)</f>
        <v>335</v>
      </c>
      <c r="DC54" s="72">
        <v>41</v>
      </c>
      <c r="DD54" s="72">
        <v>75</v>
      </c>
      <c r="DE54" s="72">
        <v>102</v>
      </c>
      <c r="DF54" s="72">
        <v>57</v>
      </c>
      <c r="DG54" s="36">
        <f>SUM(DC54:DF54)</f>
        <v>275</v>
      </c>
      <c r="DH54" s="36">
        <f t="shared" si="50"/>
        <v>43.050000000000004</v>
      </c>
      <c r="DI54" s="36">
        <f t="shared" si="50"/>
        <v>78.75</v>
      </c>
      <c r="DJ54" s="36">
        <f t="shared" si="50"/>
        <v>107.10000000000001</v>
      </c>
      <c r="DK54" s="36">
        <f t="shared" si="50"/>
        <v>59.85</v>
      </c>
      <c r="DL54" s="183">
        <f>SUM(DH54:DK54)</f>
        <v>288.75000000000006</v>
      </c>
      <c r="DM54" s="183">
        <f t="shared" si="51"/>
        <v>300.30000000000007</v>
      </c>
      <c r="DN54" s="183">
        <f t="shared" si="51"/>
        <v>312.31200000000007</v>
      </c>
      <c r="DO54" s="183">
        <f t="shared" si="51"/>
        <v>324.80448000000007</v>
      </c>
      <c r="DP54" s="183">
        <f t="shared" si="51"/>
        <v>337.79665920000008</v>
      </c>
    </row>
    <row r="55" spans="1:120" x14ac:dyDescent="0.2">
      <c r="A55" s="104" t="s">
        <v>81</v>
      </c>
      <c r="B55" s="31"/>
      <c r="C55" s="31"/>
      <c r="D55" s="31"/>
      <c r="E55" s="31"/>
      <c r="F55" s="31"/>
      <c r="G55" s="69"/>
      <c r="H55" s="69"/>
      <c r="I55" s="69"/>
      <c r="J55" s="69"/>
      <c r="K55" s="69"/>
      <c r="L55" s="69"/>
      <c r="M55" s="69"/>
      <c r="N55" s="69"/>
      <c r="O55" s="69"/>
      <c r="P55" s="69"/>
      <c r="Q55" s="69"/>
      <c r="R55" s="69"/>
      <c r="S55" s="69"/>
      <c r="T55" s="69"/>
      <c r="U55" s="69"/>
      <c r="V55" s="72"/>
      <c r="W55" s="72"/>
      <c r="X55" s="72"/>
      <c r="Y55" s="72"/>
      <c r="Z55" s="72"/>
      <c r="AA55" s="72"/>
      <c r="AB55" s="72"/>
      <c r="AC55" s="72"/>
      <c r="AD55" s="72"/>
      <c r="AE55" s="74">
        <f>AE54+AE53</f>
        <v>162</v>
      </c>
      <c r="AF55" s="72">
        <f>AF53+AF54</f>
        <v>85</v>
      </c>
      <c r="AG55" s="72">
        <f>AG53+AG54</f>
        <v>119</v>
      </c>
      <c r="AH55" s="72">
        <f>AH53+AH54</f>
        <v>171</v>
      </c>
      <c r="AI55" s="72">
        <f>AI53+AI54</f>
        <v>149</v>
      </c>
      <c r="AJ55" s="74">
        <f>AJ54+AJ53</f>
        <v>524</v>
      </c>
      <c r="AK55" s="72">
        <f>AK53+AK54</f>
        <v>190</v>
      </c>
      <c r="AL55" s="72">
        <f>AL53+AL54</f>
        <v>178</v>
      </c>
      <c r="AM55" s="72">
        <f>AM53+AM54</f>
        <v>135</v>
      </c>
      <c r="AN55" s="72">
        <f>AN53+AN54</f>
        <v>162</v>
      </c>
      <c r="AO55" s="74">
        <f>AO54+AO53</f>
        <v>665</v>
      </c>
      <c r="AP55" s="72">
        <f>AP53+AP54</f>
        <v>134</v>
      </c>
      <c r="AQ55" s="72">
        <f>AQ53+AQ54</f>
        <v>125</v>
      </c>
      <c r="AR55" s="72">
        <f>AR53+AR54</f>
        <v>126</v>
      </c>
      <c r="AS55" s="72">
        <f>AS53+AS54</f>
        <v>135</v>
      </c>
      <c r="AT55" s="74">
        <f t="shared" ref="AT55:BD55" si="52">AT54+AT53</f>
        <v>520</v>
      </c>
      <c r="AU55" s="74">
        <f t="shared" si="52"/>
        <v>93</v>
      </c>
      <c r="AV55" s="74">
        <f t="shared" si="52"/>
        <v>139</v>
      </c>
      <c r="AW55" s="74">
        <f t="shared" si="52"/>
        <v>119</v>
      </c>
      <c r="AX55" s="74">
        <f t="shared" si="52"/>
        <v>170</v>
      </c>
      <c r="AY55" s="74">
        <f t="shared" si="52"/>
        <v>521</v>
      </c>
      <c r="AZ55" s="74">
        <f t="shared" si="52"/>
        <v>125</v>
      </c>
      <c r="BA55" s="74">
        <f t="shared" si="52"/>
        <v>148</v>
      </c>
      <c r="BB55" s="74">
        <f t="shared" si="52"/>
        <v>184</v>
      </c>
      <c r="BC55" s="74">
        <f t="shared" si="52"/>
        <v>195</v>
      </c>
      <c r="BD55" s="74">
        <f t="shared" si="52"/>
        <v>652</v>
      </c>
      <c r="BE55" s="39">
        <f>BE53+BE54</f>
        <v>142</v>
      </c>
      <c r="BF55" s="39">
        <f>BF53+BF54</f>
        <v>142</v>
      </c>
      <c r="BG55" s="39">
        <f>BG53+BG54</f>
        <v>149</v>
      </c>
      <c r="BH55" s="39">
        <f>BH53+BH54</f>
        <v>168</v>
      </c>
      <c r="BI55" s="39">
        <f t="shared" ref="BI55:CQ55" si="53">BI54+BI53</f>
        <v>601</v>
      </c>
      <c r="BJ55" s="39">
        <f t="shared" si="53"/>
        <v>162</v>
      </c>
      <c r="BK55" s="39">
        <f t="shared" si="53"/>
        <v>144</v>
      </c>
      <c r="BL55" s="39">
        <f t="shared" si="53"/>
        <v>201</v>
      </c>
      <c r="BM55" s="39">
        <f t="shared" si="53"/>
        <v>129</v>
      </c>
      <c r="BN55" s="39">
        <f t="shared" si="53"/>
        <v>636</v>
      </c>
      <c r="BO55" s="39">
        <f t="shared" si="53"/>
        <v>169</v>
      </c>
      <c r="BP55" s="39">
        <f t="shared" si="53"/>
        <v>147</v>
      </c>
      <c r="BQ55" s="39">
        <f t="shared" si="53"/>
        <v>174</v>
      </c>
      <c r="BR55" s="39">
        <f t="shared" si="53"/>
        <v>170</v>
      </c>
      <c r="BS55" s="39">
        <f t="shared" si="53"/>
        <v>660</v>
      </c>
      <c r="BT55" s="39">
        <f t="shared" si="53"/>
        <v>192</v>
      </c>
      <c r="BU55" s="39">
        <f t="shared" si="53"/>
        <v>89</v>
      </c>
      <c r="BV55" s="39">
        <f t="shared" si="53"/>
        <v>160</v>
      </c>
      <c r="BW55" s="39">
        <f t="shared" si="53"/>
        <v>169</v>
      </c>
      <c r="BX55" s="74">
        <f t="shared" si="53"/>
        <v>610</v>
      </c>
      <c r="BY55" s="74">
        <f t="shared" si="53"/>
        <v>188</v>
      </c>
      <c r="BZ55" s="74">
        <f t="shared" si="53"/>
        <v>130</v>
      </c>
      <c r="CA55" s="74">
        <f t="shared" si="53"/>
        <v>171</v>
      </c>
      <c r="CB55" s="74">
        <f t="shared" si="53"/>
        <v>162</v>
      </c>
      <c r="CC55" s="74">
        <f t="shared" si="53"/>
        <v>651</v>
      </c>
      <c r="CD55" s="74">
        <f t="shared" si="53"/>
        <v>223</v>
      </c>
      <c r="CE55" s="74">
        <f t="shared" si="53"/>
        <v>123</v>
      </c>
      <c r="CF55" s="74">
        <f t="shared" si="53"/>
        <v>179</v>
      </c>
      <c r="CG55" s="74">
        <f t="shared" si="53"/>
        <v>160</v>
      </c>
      <c r="CH55" s="74">
        <f t="shared" si="53"/>
        <v>685</v>
      </c>
      <c r="CI55" s="74">
        <f t="shared" si="53"/>
        <v>193</v>
      </c>
      <c r="CJ55" s="74">
        <f t="shared" si="53"/>
        <v>156</v>
      </c>
      <c r="CK55" s="74">
        <f t="shared" si="53"/>
        <v>191</v>
      </c>
      <c r="CL55" s="74">
        <f t="shared" si="53"/>
        <v>188</v>
      </c>
      <c r="CM55" s="74">
        <f t="shared" si="53"/>
        <v>728</v>
      </c>
      <c r="CN55" s="74">
        <f t="shared" si="53"/>
        <v>211</v>
      </c>
      <c r="CO55" s="74">
        <f t="shared" si="53"/>
        <v>172</v>
      </c>
      <c r="CP55" s="74">
        <f t="shared" si="53"/>
        <v>180</v>
      </c>
      <c r="CQ55" s="74">
        <f t="shared" si="53"/>
        <v>227</v>
      </c>
      <c r="CR55" s="74">
        <f>CR54+CR53</f>
        <v>790</v>
      </c>
      <c r="CS55" s="39">
        <f>CS54+CS53</f>
        <v>222</v>
      </c>
      <c r="CT55" s="39">
        <f>CT54+CT53</f>
        <v>168</v>
      </c>
      <c r="CU55" s="39">
        <f>CU54+CU53</f>
        <v>210</v>
      </c>
      <c r="CV55" s="39">
        <f>CV54+CV53</f>
        <v>196</v>
      </c>
      <c r="CW55" s="74">
        <f>SUM(CS55:CV55)</f>
        <v>796</v>
      </c>
      <c r="CX55" s="39">
        <f>SUM(CX53:CX54)</f>
        <v>159</v>
      </c>
      <c r="CY55" s="39">
        <f>SUM(CY53:CY54)</f>
        <v>208</v>
      </c>
      <c r="CZ55" s="39">
        <f>SUM(CZ53:CZ54)</f>
        <v>227</v>
      </c>
      <c r="DA55" s="39">
        <f>SUM(DA53:DA54)</f>
        <v>214</v>
      </c>
      <c r="DB55" s="74">
        <f>SUM(CX55:DA55)</f>
        <v>808</v>
      </c>
      <c r="DC55" s="74">
        <f>DC54+DC53</f>
        <v>216</v>
      </c>
      <c r="DD55" s="74">
        <f>DD54+DD53</f>
        <v>173</v>
      </c>
      <c r="DE55" s="74">
        <f>DE54+DE53</f>
        <v>256</v>
      </c>
      <c r="DF55" s="74">
        <f>DF54+DF53</f>
        <v>139</v>
      </c>
      <c r="DG55" s="74">
        <f>SUM(DC55:DF55)</f>
        <v>784</v>
      </c>
      <c r="DH55" s="74">
        <f>DH54+DH53</f>
        <v>225.05</v>
      </c>
      <c r="DI55" s="74">
        <f>DI54+DI53</f>
        <v>180.67000000000002</v>
      </c>
      <c r="DJ55" s="74">
        <f>DJ54+DJ53</f>
        <v>267.26</v>
      </c>
      <c r="DK55" s="74">
        <f>DK54+DK53</f>
        <v>145.13</v>
      </c>
      <c r="DL55" s="184">
        <f>SUM(DH55:DK55)</f>
        <v>818.11</v>
      </c>
      <c r="DM55" s="184">
        <f t="shared" ref="DM55:DP55" si="54">DM54+DM53</f>
        <v>850.83440000000007</v>
      </c>
      <c r="DN55" s="184">
        <f t="shared" si="54"/>
        <v>884.86777600000005</v>
      </c>
      <c r="DO55" s="184">
        <f t="shared" si="54"/>
        <v>920.26248704000022</v>
      </c>
      <c r="DP55" s="184">
        <f t="shared" si="54"/>
        <v>957.07298652160011</v>
      </c>
    </row>
    <row r="56" spans="1:120" x14ac:dyDescent="0.2">
      <c r="A56" s="68" t="s">
        <v>54</v>
      </c>
      <c r="B56" s="31"/>
      <c r="C56" s="31"/>
      <c r="D56" s="31"/>
      <c r="E56" s="31"/>
      <c r="F56" s="31"/>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76">
        <f t="shared" ref="AU56:AX58" si="55">AU53/AP53-1</f>
        <v>-0.40322580645161288</v>
      </c>
      <c r="AV56" s="76">
        <f t="shared" si="55"/>
        <v>0.10280373831775691</v>
      </c>
      <c r="AW56" s="76">
        <f t="shared" si="55"/>
        <v>-0.12389380530973448</v>
      </c>
      <c r="AX56" s="76">
        <f t="shared" si="55"/>
        <v>0.21138211382113825</v>
      </c>
      <c r="AY56" s="69"/>
      <c r="AZ56" s="76">
        <f t="shared" ref="AZ56:BC58" si="56">AZ53/AU53-1</f>
        <v>0.44594594594594605</v>
      </c>
      <c r="BA56" s="76">
        <f t="shared" si="56"/>
        <v>1.6949152542372836E-2</v>
      </c>
      <c r="BB56" s="76">
        <f t="shared" si="56"/>
        <v>0.34343434343434343</v>
      </c>
      <c r="BC56" s="76">
        <f t="shared" si="56"/>
        <v>8.7248322147650992E-2</v>
      </c>
      <c r="BD56" s="69"/>
      <c r="BE56" s="76">
        <f t="shared" ref="BE56:DF58" si="57">BE53/AZ53-1</f>
        <v>9.3457943925232545E-3</v>
      </c>
      <c r="BF56" s="76">
        <f t="shared" si="57"/>
        <v>-0.15000000000000002</v>
      </c>
      <c r="BG56" s="76">
        <f t="shared" si="57"/>
        <v>-0.18796992481203012</v>
      </c>
      <c r="BH56" s="76">
        <f t="shared" si="57"/>
        <v>-0.16049382716049387</v>
      </c>
      <c r="BI56" s="90">
        <f t="shared" si="57"/>
        <v>-0.13026819923371646</v>
      </c>
      <c r="BJ56" s="76">
        <f t="shared" si="57"/>
        <v>0.20370370370370372</v>
      </c>
      <c r="BK56" s="76">
        <f t="shared" si="57"/>
        <v>-3.9215686274509776E-2</v>
      </c>
      <c r="BL56" s="76">
        <f t="shared" si="57"/>
        <v>0.42592592592592582</v>
      </c>
      <c r="BM56" s="76">
        <f t="shared" si="57"/>
        <v>-0.3529411764705882</v>
      </c>
      <c r="BN56" s="90">
        <f>BN53/BI53-1</f>
        <v>3.524229074889873E-2</v>
      </c>
      <c r="BO56" s="76">
        <f t="shared" si="57"/>
        <v>0</v>
      </c>
      <c r="BP56" s="76">
        <f t="shared" si="57"/>
        <v>3.0612244897959107E-2</v>
      </c>
      <c r="BQ56" s="76">
        <f t="shared" si="57"/>
        <v>-0.18181818181818177</v>
      </c>
      <c r="BR56" s="76">
        <f t="shared" si="57"/>
        <v>0.35227272727272729</v>
      </c>
      <c r="BS56" s="90">
        <f>BS53/BN53-1</f>
        <v>1.2765957446808418E-2</v>
      </c>
      <c r="BT56" s="76">
        <f t="shared" si="57"/>
        <v>0.20769230769230762</v>
      </c>
      <c r="BU56" s="76">
        <f t="shared" si="57"/>
        <v>-0.52475247524752477</v>
      </c>
      <c r="BV56" s="76">
        <f t="shared" si="57"/>
        <v>-8.7301587301587324E-2</v>
      </c>
      <c r="BW56" s="76">
        <f t="shared" si="57"/>
        <v>5.8823529411764719E-2</v>
      </c>
      <c r="BX56" s="76">
        <f>BX53/BS53-1</f>
        <v>-6.3025210084033612E-2</v>
      </c>
      <c r="BY56" s="76">
        <f t="shared" si="57"/>
        <v>-5.0955414012738842E-2</v>
      </c>
      <c r="BZ56" s="76">
        <f t="shared" si="57"/>
        <v>0.77083333333333326</v>
      </c>
      <c r="CA56" s="76">
        <f t="shared" si="57"/>
        <v>6.956521739130439E-2</v>
      </c>
      <c r="CB56" s="76">
        <f t="shared" si="57"/>
        <v>0</v>
      </c>
      <c r="CC56" s="76">
        <f>CC53/BX53-1</f>
        <v>8.2959641255605288E-2</v>
      </c>
      <c r="CD56" s="76">
        <f t="shared" si="57"/>
        <v>0.19463087248322153</v>
      </c>
      <c r="CE56" s="76">
        <f t="shared" si="57"/>
        <v>-0.15294117647058825</v>
      </c>
      <c r="CF56" s="76">
        <f t="shared" si="57"/>
        <v>3.2520325203251987E-2</v>
      </c>
      <c r="CG56" s="76">
        <f t="shared" si="57"/>
        <v>-0.17460317460317465</v>
      </c>
      <c r="CH56" s="76">
        <f t="shared" si="57"/>
        <v>-4.1407867494823725E-3</v>
      </c>
      <c r="CI56" s="76">
        <f t="shared" si="57"/>
        <v>-0.151685393258427</v>
      </c>
      <c r="CJ56" s="76">
        <f t="shared" si="57"/>
        <v>0.375</v>
      </c>
      <c r="CK56" s="76">
        <f t="shared" si="57"/>
        <v>5.5118110236220375E-2</v>
      </c>
      <c r="CL56" s="76">
        <f t="shared" si="57"/>
        <v>7.6923076923076872E-2</v>
      </c>
      <c r="CM56" s="76">
        <f t="shared" si="57"/>
        <v>3.1185031185031242E-2</v>
      </c>
      <c r="CN56" s="76">
        <f t="shared" si="57"/>
        <v>1.9867549668874274E-2</v>
      </c>
      <c r="CO56" s="76">
        <f t="shared" si="57"/>
        <v>5.0505050505050608E-2</v>
      </c>
      <c r="CP56" s="76">
        <f t="shared" si="57"/>
        <v>-0.23880597014925375</v>
      </c>
      <c r="CQ56" s="76">
        <f t="shared" si="57"/>
        <v>0.3035714285714286</v>
      </c>
      <c r="CR56" s="76">
        <f>CR53/CM53-1</f>
        <v>2.0161290322580738E-2</v>
      </c>
      <c r="CS56" s="76">
        <f t="shared" si="57"/>
        <v>-9.0909090909090939E-2</v>
      </c>
      <c r="CT56" s="76">
        <f t="shared" si="57"/>
        <v>-3.8461538461538436E-2</v>
      </c>
      <c r="CU56" s="76">
        <f t="shared" si="57"/>
        <v>0.11764705882352944</v>
      </c>
      <c r="CV56" s="76">
        <f t="shared" si="57"/>
        <v>-0.10273972602739723</v>
      </c>
      <c r="CW56" s="90">
        <f>CW53/CR53-1</f>
        <v>-4.1501976284584963E-2</v>
      </c>
      <c r="CX56" s="76">
        <f t="shared" si="57"/>
        <v>-0.15714285714285714</v>
      </c>
      <c r="CY56" s="76">
        <f t="shared" si="57"/>
        <v>0.1100000000000001</v>
      </c>
      <c r="CZ56" s="76">
        <f t="shared" si="57"/>
        <v>0.18421052631578938</v>
      </c>
      <c r="DA56" s="76">
        <f t="shared" si="57"/>
        <v>-0.16793893129770987</v>
      </c>
      <c r="DB56" s="90">
        <f>DB53/CW53-1</f>
        <v>-2.4742268041237137E-2</v>
      </c>
      <c r="DC56" s="76">
        <f t="shared" si="57"/>
        <v>0.48305084745762716</v>
      </c>
      <c r="DD56" s="76">
        <f t="shared" si="57"/>
        <v>-0.11711711711711714</v>
      </c>
      <c r="DE56" s="76">
        <f t="shared" si="57"/>
        <v>0.14074074074074083</v>
      </c>
      <c r="DF56" s="76">
        <f t="shared" si="57"/>
        <v>-0.24770642201834858</v>
      </c>
      <c r="DG56" s="76">
        <f>DG53/DB53-1</f>
        <v>7.6109936575052828E-2</v>
      </c>
      <c r="DH56" s="76">
        <v>0.04</v>
      </c>
      <c r="DI56" s="76">
        <v>0.04</v>
      </c>
      <c r="DJ56" s="76">
        <v>0.04</v>
      </c>
      <c r="DK56" s="76">
        <v>0.04</v>
      </c>
      <c r="DL56" s="195">
        <f>DL53/DG53-1</f>
        <v>4.0000000000000036E-2</v>
      </c>
      <c r="DM56" s="195">
        <v>0.04</v>
      </c>
      <c r="DN56" s="195">
        <v>0.04</v>
      </c>
      <c r="DO56" s="195">
        <v>0.04</v>
      </c>
      <c r="DP56" s="195">
        <v>0.04</v>
      </c>
    </row>
    <row r="57" spans="1:120" x14ac:dyDescent="0.2">
      <c r="A57" s="68" t="s">
        <v>55</v>
      </c>
      <c r="B57" s="31"/>
      <c r="C57" s="31"/>
      <c r="D57" s="31"/>
      <c r="E57" s="31"/>
      <c r="F57" s="31"/>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76">
        <f t="shared" si="55"/>
        <v>0.89999999999999991</v>
      </c>
      <c r="AV57" s="76">
        <f t="shared" si="55"/>
        <v>0.16666666666666674</v>
      </c>
      <c r="AW57" s="76">
        <f t="shared" si="55"/>
        <v>0.53846153846153855</v>
      </c>
      <c r="AX57" s="76">
        <f t="shared" si="55"/>
        <v>0.75</v>
      </c>
      <c r="AY57" s="69"/>
      <c r="AZ57" s="76">
        <f t="shared" si="56"/>
        <v>-5.2631578947368474E-2</v>
      </c>
      <c r="BA57" s="76">
        <f t="shared" si="56"/>
        <v>0.33333333333333326</v>
      </c>
      <c r="BB57" s="76">
        <f t="shared" si="56"/>
        <v>1.5499999999999998</v>
      </c>
      <c r="BC57" s="76">
        <f t="shared" si="56"/>
        <v>0.5714285714285714</v>
      </c>
      <c r="BD57" s="69"/>
      <c r="BE57" s="76">
        <f t="shared" si="57"/>
        <v>0.88888888888888884</v>
      </c>
      <c r="BF57" s="76">
        <f t="shared" si="57"/>
        <v>0.4285714285714286</v>
      </c>
      <c r="BG57" s="76">
        <f t="shared" si="57"/>
        <v>-0.19607843137254899</v>
      </c>
      <c r="BH57" s="76">
        <f t="shared" si="57"/>
        <v>-3.0303030303030276E-2</v>
      </c>
      <c r="BI57" s="90">
        <f t="shared" si="57"/>
        <v>0.13076923076923075</v>
      </c>
      <c r="BJ57" s="76">
        <f t="shared" si="57"/>
        <v>-5.8823529411764719E-2</v>
      </c>
      <c r="BK57" s="76">
        <f t="shared" si="57"/>
        <v>0.14999999999999991</v>
      </c>
      <c r="BL57" s="76">
        <f t="shared" si="57"/>
        <v>0.14634146341463405</v>
      </c>
      <c r="BM57" s="76">
        <f t="shared" si="57"/>
        <v>0.28125</v>
      </c>
      <c r="BN57" s="90">
        <f>BN54/BI54-1</f>
        <v>0.12925170068027203</v>
      </c>
      <c r="BO57" s="76">
        <f t="shared" si="57"/>
        <v>0.21875</v>
      </c>
      <c r="BP57" s="76">
        <f t="shared" si="57"/>
        <v>0</v>
      </c>
      <c r="BQ57" s="76">
        <f t="shared" si="57"/>
        <v>2.1276595744680771E-2</v>
      </c>
      <c r="BR57" s="76">
        <f t="shared" si="57"/>
        <v>0.24390243902439024</v>
      </c>
      <c r="BS57" s="90">
        <f>BS54/BN54-1</f>
        <v>0.10843373493975905</v>
      </c>
      <c r="BT57" s="76">
        <f t="shared" si="57"/>
        <v>-0.10256410256410253</v>
      </c>
      <c r="BU57" s="76">
        <f t="shared" si="57"/>
        <v>-0.10869565217391308</v>
      </c>
      <c r="BV57" s="76">
        <f t="shared" si="57"/>
        <v>-6.25E-2</v>
      </c>
      <c r="BW57" s="76">
        <f t="shared" si="57"/>
        <v>-0.15686274509803921</v>
      </c>
      <c r="BX57" s="76">
        <f>BX54/BS54-1</f>
        <v>-0.10869565217391308</v>
      </c>
      <c r="BY57" s="76">
        <f t="shared" si="57"/>
        <v>0.11428571428571432</v>
      </c>
      <c r="BZ57" s="76">
        <f t="shared" si="57"/>
        <v>9.7560975609756184E-2</v>
      </c>
      <c r="CA57" s="76">
        <f t="shared" si="57"/>
        <v>6.6666666666666652E-2</v>
      </c>
      <c r="CB57" s="76">
        <f t="shared" si="57"/>
        <v>-0.16279069767441856</v>
      </c>
      <c r="CC57" s="76">
        <f>CC54/BX54-1</f>
        <v>2.4390243902439046E-2</v>
      </c>
      <c r="CD57" s="76">
        <f t="shared" si="57"/>
        <v>0.15384615384615374</v>
      </c>
      <c r="CE57" s="76">
        <f t="shared" si="57"/>
        <v>0.1333333333333333</v>
      </c>
      <c r="CF57" s="76">
        <f t="shared" si="57"/>
        <v>8.3333333333333259E-2</v>
      </c>
      <c r="CG57" s="76">
        <f t="shared" si="57"/>
        <v>0.55555555555555558</v>
      </c>
      <c r="CH57" s="76">
        <f t="shared" si="57"/>
        <v>0.21428571428571419</v>
      </c>
      <c r="CI57" s="76">
        <f t="shared" si="57"/>
        <v>-6.6666666666666652E-2</v>
      </c>
      <c r="CJ57" s="76">
        <f t="shared" si="57"/>
        <v>0.11764705882352944</v>
      </c>
      <c r="CK57" s="76">
        <f t="shared" si="57"/>
        <v>9.6153846153846256E-2</v>
      </c>
      <c r="CL57" s="76">
        <f t="shared" si="57"/>
        <v>0.35714285714285721</v>
      </c>
      <c r="CM57" s="76">
        <f t="shared" si="57"/>
        <v>0.13725490196078427</v>
      </c>
      <c r="CN57" s="76">
        <f t="shared" si="57"/>
        <v>0.35714285714285721</v>
      </c>
      <c r="CO57" s="76">
        <f t="shared" si="57"/>
        <v>0.19298245614035081</v>
      </c>
      <c r="CP57" s="76">
        <f t="shared" si="57"/>
        <v>0.36842105263157898</v>
      </c>
      <c r="CQ57" s="76">
        <f t="shared" si="57"/>
        <v>6.578947368421062E-2</v>
      </c>
      <c r="CR57" s="76">
        <f>CR54/CM54-1</f>
        <v>0.22413793103448265</v>
      </c>
      <c r="CS57" s="76">
        <f t="shared" si="57"/>
        <v>0.43859649122807021</v>
      </c>
      <c r="CT57" s="76">
        <f t="shared" si="57"/>
        <v>0</v>
      </c>
      <c r="CU57" s="76">
        <f t="shared" si="57"/>
        <v>0.23076923076923084</v>
      </c>
      <c r="CV57" s="76">
        <f t="shared" si="57"/>
        <v>-0.19753086419753085</v>
      </c>
      <c r="CW57" s="90">
        <f>CW54/CR54-1</f>
        <v>9.5070422535211252E-2</v>
      </c>
      <c r="CX57" s="76">
        <f t="shared" si="57"/>
        <v>-0.5</v>
      </c>
      <c r="CY57" s="76">
        <f t="shared" si="57"/>
        <v>0.42647058823529416</v>
      </c>
      <c r="CZ57" s="76">
        <f t="shared" si="57"/>
        <v>-4.166666666666663E-2</v>
      </c>
      <c r="DA57" s="76">
        <f t="shared" si="57"/>
        <v>0.61538461538461542</v>
      </c>
      <c r="DB57" s="90">
        <f>DB54/CW54-1</f>
        <v>7.7170418006430763E-2</v>
      </c>
      <c r="DC57" s="76">
        <f t="shared" si="57"/>
        <v>0</v>
      </c>
      <c r="DD57" s="76">
        <f t="shared" si="57"/>
        <v>-0.22680412371134018</v>
      </c>
      <c r="DE57" s="76">
        <f t="shared" si="57"/>
        <v>0.10869565217391308</v>
      </c>
      <c r="DF57" s="76">
        <f t="shared" si="57"/>
        <v>-0.45714285714285718</v>
      </c>
      <c r="DG57" s="76">
        <f>DG54/DB54-1</f>
        <v>-0.17910447761194026</v>
      </c>
      <c r="DH57" s="76">
        <v>0.05</v>
      </c>
      <c r="DI57" s="76">
        <v>0.05</v>
      </c>
      <c r="DJ57" s="76">
        <v>0.05</v>
      </c>
      <c r="DK57" s="76">
        <v>0.05</v>
      </c>
      <c r="DL57" s="195">
        <f>DL54/DG54-1</f>
        <v>5.0000000000000266E-2</v>
      </c>
      <c r="DM57" s="195">
        <v>0.04</v>
      </c>
      <c r="DN57" s="195">
        <v>0.04</v>
      </c>
      <c r="DO57" s="195">
        <v>0.04</v>
      </c>
      <c r="DP57" s="195">
        <v>0.04</v>
      </c>
    </row>
    <row r="58" spans="1:120" x14ac:dyDescent="0.2">
      <c r="A58" s="78" t="s">
        <v>56</v>
      </c>
      <c r="B58" s="79"/>
      <c r="C58" s="79"/>
      <c r="D58" s="79"/>
      <c r="E58" s="79"/>
      <c r="F58" s="79"/>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f>AJ55/AE55-1</f>
        <v>2.2345679012345681</v>
      </c>
      <c r="AK58" s="80"/>
      <c r="AL58" s="80"/>
      <c r="AM58" s="80"/>
      <c r="AN58" s="80"/>
      <c r="AO58" s="80">
        <f>AO55/AJ55-1</f>
        <v>0.26908396946564883</v>
      </c>
      <c r="AP58" s="80"/>
      <c r="AQ58" s="80"/>
      <c r="AR58" s="80"/>
      <c r="AS58" s="80"/>
      <c r="AT58" s="80">
        <f>AT55/AO55-1</f>
        <v>-0.21804511278195493</v>
      </c>
      <c r="AU58" s="80">
        <f t="shared" si="55"/>
        <v>-0.30597014925373134</v>
      </c>
      <c r="AV58" s="80">
        <f t="shared" si="55"/>
        <v>0.1120000000000001</v>
      </c>
      <c r="AW58" s="80">
        <f t="shared" si="55"/>
        <v>-5.555555555555558E-2</v>
      </c>
      <c r="AX58" s="80">
        <f t="shared" si="55"/>
        <v>0.2592592592592593</v>
      </c>
      <c r="AY58" s="80">
        <f>AY55/AT55-1</f>
        <v>1.9230769230769162E-3</v>
      </c>
      <c r="AZ58" s="80">
        <f t="shared" si="56"/>
        <v>0.34408602150537626</v>
      </c>
      <c r="BA58" s="80">
        <f t="shared" si="56"/>
        <v>6.4748201438848962E-2</v>
      </c>
      <c r="BB58" s="80">
        <f t="shared" si="56"/>
        <v>0.54621848739495804</v>
      </c>
      <c r="BC58" s="80">
        <f t="shared" si="56"/>
        <v>0.14705882352941169</v>
      </c>
      <c r="BD58" s="80">
        <f>BD55/AY55-1</f>
        <v>0.25143953934740892</v>
      </c>
      <c r="BE58" s="80">
        <f t="shared" si="57"/>
        <v>0.1359999999999999</v>
      </c>
      <c r="BF58" s="80">
        <f t="shared" si="57"/>
        <v>-4.0540540540540571E-2</v>
      </c>
      <c r="BG58" s="80">
        <f>BG55/BB55-1</f>
        <v>-0.19021739130434778</v>
      </c>
      <c r="BH58" s="80">
        <f>BH55/BC55-1</f>
        <v>-0.13846153846153841</v>
      </c>
      <c r="BI58" s="80">
        <f t="shared" si="57"/>
        <v>-7.8220858895705514E-2</v>
      </c>
      <c r="BJ58" s="80">
        <f t="shared" si="57"/>
        <v>0.14084507042253525</v>
      </c>
      <c r="BK58" s="91">
        <f>BK55/BF55-1</f>
        <v>1.4084507042253502E-2</v>
      </c>
      <c r="BL58" s="91">
        <f>BL55/BG55-1</f>
        <v>0.34899328859060397</v>
      </c>
      <c r="BM58" s="91">
        <f>BM55/BH55-1</f>
        <v>-0.2321428571428571</v>
      </c>
      <c r="BN58" s="80">
        <f>BN55/BI55-1</f>
        <v>5.8236272878535722E-2</v>
      </c>
      <c r="BO58" s="80">
        <f>BO55/BJ55-1</f>
        <v>4.3209876543209846E-2</v>
      </c>
      <c r="BP58" s="91">
        <f>BP55/BK55-1</f>
        <v>2.0833333333333259E-2</v>
      </c>
      <c r="BQ58" s="91">
        <f>BQ55/BL55-1</f>
        <v>-0.13432835820895528</v>
      </c>
      <c r="BR58" s="91">
        <f>BR55/BM55-1</f>
        <v>0.31782945736434098</v>
      </c>
      <c r="BS58" s="80">
        <f>BS55/BN55-1</f>
        <v>3.7735849056603765E-2</v>
      </c>
      <c r="BT58" s="80">
        <f>BT55/BO55-1</f>
        <v>0.13609467455621305</v>
      </c>
      <c r="BU58" s="80">
        <f>BU55/BP55-1</f>
        <v>-0.39455782312925169</v>
      </c>
      <c r="BV58" s="91">
        <f>BV55/BQ55-1</f>
        <v>-8.0459770114942541E-2</v>
      </c>
      <c r="BW58" s="91">
        <f>BW55/BR55-1</f>
        <v>-5.8823529411764497E-3</v>
      </c>
      <c r="BX58" s="80">
        <f>BX55/BS55-1</f>
        <v>-7.5757575757575801E-2</v>
      </c>
      <c r="BY58" s="80">
        <f>BY55/BT55-1</f>
        <v>-2.083333333333337E-2</v>
      </c>
      <c r="BZ58" s="80">
        <f>BZ55/BU55-1</f>
        <v>0.4606741573033708</v>
      </c>
      <c r="CA58" s="80">
        <f>CA55/BV55-1</f>
        <v>6.8750000000000089E-2</v>
      </c>
      <c r="CB58" s="80">
        <f>CB55/BW55-1</f>
        <v>-4.1420118343195256E-2</v>
      </c>
      <c r="CC58" s="80">
        <f>CC55/BX55-1</f>
        <v>6.7213114754098413E-2</v>
      </c>
      <c r="CD58" s="80">
        <f>CD55/BY55-1</f>
        <v>0.18617021276595747</v>
      </c>
      <c r="CE58" s="80">
        <f>CE55/BZ55-1</f>
        <v>-5.3846153846153877E-2</v>
      </c>
      <c r="CF58" s="80">
        <f>CF55/CA55-1</f>
        <v>4.6783625730994149E-2</v>
      </c>
      <c r="CG58" s="80">
        <f>CG55/CB55-1</f>
        <v>-1.2345679012345734E-2</v>
      </c>
      <c r="CH58" s="80">
        <f t="shared" si="57"/>
        <v>5.2227342549923117E-2</v>
      </c>
      <c r="CI58" s="80">
        <f t="shared" si="57"/>
        <v>-0.13452914798206284</v>
      </c>
      <c r="CJ58" s="83">
        <f t="shared" si="57"/>
        <v>0.26829268292682928</v>
      </c>
      <c r="CK58" s="83">
        <f t="shared" si="57"/>
        <v>6.7039106145251326E-2</v>
      </c>
      <c r="CL58" s="83">
        <f t="shared" si="57"/>
        <v>0.17500000000000004</v>
      </c>
      <c r="CM58" s="80">
        <f t="shared" si="57"/>
        <v>6.2773722627737172E-2</v>
      </c>
      <c r="CN58" s="80">
        <f t="shared" si="57"/>
        <v>9.3264248704663322E-2</v>
      </c>
      <c r="CO58" s="80">
        <f t="shared" si="57"/>
        <v>0.10256410256410264</v>
      </c>
      <c r="CP58" s="80">
        <f t="shared" si="57"/>
        <v>-5.759162303664922E-2</v>
      </c>
      <c r="CQ58" s="80">
        <f t="shared" si="57"/>
        <v>0.20744680851063824</v>
      </c>
      <c r="CR58" s="80">
        <f>CR55/CM55-1</f>
        <v>8.5164835164835084E-2</v>
      </c>
      <c r="CS58" s="80">
        <f t="shared" si="57"/>
        <v>5.2132701421800931E-2</v>
      </c>
      <c r="CT58" s="80">
        <f t="shared" si="57"/>
        <v>-2.3255813953488413E-2</v>
      </c>
      <c r="CU58" s="80">
        <f t="shared" si="57"/>
        <v>0.16666666666666674</v>
      </c>
      <c r="CV58" s="80">
        <f t="shared" si="57"/>
        <v>-0.13656387665198233</v>
      </c>
      <c r="CW58" s="80">
        <f>CW55/CR55-1</f>
        <v>7.5949367088608E-3</v>
      </c>
      <c r="CX58" s="80">
        <v>6.0000000000000053E-2</v>
      </c>
      <c r="CY58" s="80">
        <v>6.0000000000000053E-2</v>
      </c>
      <c r="CZ58" s="80">
        <v>6.0000000000000053E-2</v>
      </c>
      <c r="DA58" s="80">
        <v>6.0000000000000053E-2</v>
      </c>
      <c r="DB58" s="80">
        <f>DB55/CW55-1</f>
        <v>1.5075376884422065E-2</v>
      </c>
      <c r="DC58" s="80">
        <f>DC55/CX55-1</f>
        <v>0.35849056603773577</v>
      </c>
      <c r="DD58" s="80">
        <f>DD55/CY55-1</f>
        <v>-0.16826923076923073</v>
      </c>
      <c r="DE58" s="80">
        <f>DE55/CZ55-1</f>
        <v>0.12775330396475781</v>
      </c>
      <c r="DF58" s="80">
        <f>DF55/DA55-1</f>
        <v>-0.35046728971962615</v>
      </c>
      <c r="DG58" s="80">
        <f>DG55/DB55-1</f>
        <v>-2.9702970297029729E-2</v>
      </c>
      <c r="DH58" s="80">
        <f>DH55/DC55-1</f>
        <v>4.1898148148148184E-2</v>
      </c>
      <c r="DI58" s="80">
        <f>DI55/DD55-1</f>
        <v>4.4335260115607067E-2</v>
      </c>
      <c r="DJ58" s="80">
        <f>DJ55/DE55-1</f>
        <v>4.3984374999999964E-2</v>
      </c>
      <c r="DK58" s="80">
        <f>DK55/DF55-1</f>
        <v>4.4100719424460477E-2</v>
      </c>
      <c r="DL58" s="189">
        <f>DL55/DG55-1</f>
        <v>4.3507653061224616E-2</v>
      </c>
      <c r="DM58" s="189">
        <f t="shared" ref="DM58:DP58" si="58">DM55/DL55-1</f>
        <v>4.0000000000000036E-2</v>
      </c>
      <c r="DN58" s="189">
        <f t="shared" si="58"/>
        <v>4.0000000000000036E-2</v>
      </c>
      <c r="DO58" s="189">
        <f t="shared" si="58"/>
        <v>4.0000000000000258E-2</v>
      </c>
      <c r="DP58" s="189">
        <f t="shared" si="58"/>
        <v>3.9999999999999813E-2</v>
      </c>
    </row>
    <row r="59" spans="1:120" x14ac:dyDescent="0.2">
      <c r="A59" s="65" t="s">
        <v>82</v>
      </c>
      <c r="B59" s="31"/>
      <c r="C59" s="31"/>
      <c r="D59" s="31"/>
      <c r="E59" s="31"/>
      <c r="F59" s="31"/>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72">
        <v>40</v>
      </c>
      <c r="AV59" s="72">
        <v>49</v>
      </c>
      <c r="AW59" s="72">
        <v>92</v>
      </c>
      <c r="AX59" s="72">
        <v>115</v>
      </c>
      <c r="AY59" s="107">
        <f>AX59+AW59+AV59+AU59</f>
        <v>296</v>
      </c>
      <c r="AZ59" s="72">
        <v>60</v>
      </c>
      <c r="BA59" s="72">
        <v>47</v>
      </c>
      <c r="BB59" s="72">
        <v>107</v>
      </c>
      <c r="BC59" s="72">
        <v>137</v>
      </c>
      <c r="BD59" s="107">
        <f>BC59+BB59+BA59+AZ59</f>
        <v>351</v>
      </c>
      <c r="BE59" s="107">
        <v>73</v>
      </c>
      <c r="BF59" s="107">
        <v>85</v>
      </c>
      <c r="BG59" s="107">
        <v>139</v>
      </c>
      <c r="BH59" s="107">
        <v>165</v>
      </c>
      <c r="BI59" s="72">
        <f>SUM(BE59:BH59)</f>
        <v>462</v>
      </c>
      <c r="BJ59" s="72">
        <v>86</v>
      </c>
      <c r="BK59" s="108">
        <v>80</v>
      </c>
      <c r="BL59" s="72">
        <v>149</v>
      </c>
      <c r="BM59" s="72">
        <v>176</v>
      </c>
      <c r="BN59" s="72">
        <f>SUM(BJ59:BM59)</f>
        <v>491</v>
      </c>
      <c r="BO59" s="72">
        <v>83</v>
      </c>
      <c r="BP59" s="108">
        <v>85</v>
      </c>
      <c r="BQ59" s="72">
        <v>150</v>
      </c>
      <c r="BR59" s="72">
        <v>199</v>
      </c>
      <c r="BS59" s="72">
        <f>SUM(BO59:BR59)</f>
        <v>517</v>
      </c>
      <c r="BT59" s="72">
        <v>77</v>
      </c>
      <c r="BU59" s="108">
        <v>70</v>
      </c>
      <c r="BV59" s="108">
        <v>103</v>
      </c>
      <c r="BW59" s="108">
        <v>128</v>
      </c>
      <c r="BX59" s="72">
        <f>SUM(BT59:BW59)</f>
        <v>378</v>
      </c>
      <c r="BY59" s="72">
        <v>67</v>
      </c>
      <c r="BZ59" s="72">
        <v>78</v>
      </c>
      <c r="CA59" s="72">
        <v>122</v>
      </c>
      <c r="CB59" s="72">
        <v>180</v>
      </c>
      <c r="CC59" s="72">
        <f>SUM(BY59:CB59)</f>
        <v>447</v>
      </c>
      <c r="CD59" s="72">
        <v>114</v>
      </c>
      <c r="CE59" s="72">
        <v>104</v>
      </c>
      <c r="CF59" s="72">
        <v>174</v>
      </c>
      <c r="CG59" s="72">
        <v>189</v>
      </c>
      <c r="CH59" s="72">
        <f>SUM(CD59:CG59)</f>
        <v>581</v>
      </c>
      <c r="CI59" s="72">
        <v>112.3</v>
      </c>
      <c r="CJ59" s="72">
        <v>122</v>
      </c>
      <c r="CK59" s="36">
        <v>160</v>
      </c>
      <c r="CL59" s="36">
        <v>232</v>
      </c>
      <c r="CM59" s="36">
        <f>SUM(CI59:CL59)</f>
        <v>626.29999999999995</v>
      </c>
      <c r="CN59" s="36">
        <v>125</v>
      </c>
      <c r="CO59" s="36">
        <v>123</v>
      </c>
      <c r="CP59" s="36">
        <v>179</v>
      </c>
      <c r="CQ59" s="36">
        <v>251</v>
      </c>
      <c r="CR59" s="36">
        <f>SUM(CN59:CQ59)</f>
        <v>678</v>
      </c>
      <c r="CS59" s="36">
        <v>182</v>
      </c>
      <c r="CT59" s="36">
        <v>21</v>
      </c>
      <c r="CU59" s="36">
        <v>276</v>
      </c>
      <c r="CV59" s="36">
        <v>249</v>
      </c>
      <c r="CW59" s="72">
        <f>SUM(CS59:CV59)</f>
        <v>728</v>
      </c>
      <c r="CX59" s="36">
        <v>73</v>
      </c>
      <c r="CY59" s="36">
        <v>100</v>
      </c>
      <c r="CZ59" s="36">
        <v>181</v>
      </c>
      <c r="DA59" s="36">
        <v>193</v>
      </c>
      <c r="DB59" s="72">
        <f>SUM(CX59:DA59)</f>
        <v>547</v>
      </c>
      <c r="DC59" s="72">
        <v>118</v>
      </c>
      <c r="DD59" s="72">
        <v>94</v>
      </c>
      <c r="DE59" s="72">
        <v>68</v>
      </c>
      <c r="DF59" s="72">
        <v>66</v>
      </c>
      <c r="DG59" s="36">
        <f>SUM(DC59:DF59)</f>
        <v>346</v>
      </c>
      <c r="DH59" s="36">
        <f t="shared" ref="DH59:DK60" si="59">DC59*(1+DH62)</f>
        <v>100.3</v>
      </c>
      <c r="DI59" s="36">
        <f t="shared" si="59"/>
        <v>79.899999999999991</v>
      </c>
      <c r="DJ59" s="36">
        <f t="shared" si="59"/>
        <v>57.8</v>
      </c>
      <c r="DK59" s="36">
        <f t="shared" si="59"/>
        <v>56.1</v>
      </c>
      <c r="DL59" s="183">
        <f>SUM(DH59:DK59)</f>
        <v>294.10000000000002</v>
      </c>
      <c r="DM59" s="183">
        <f t="shared" ref="DM59:DP60" si="60">DL59*(1+DM62)</f>
        <v>264.69000000000005</v>
      </c>
      <c r="DN59" s="183">
        <f t="shared" si="60"/>
        <v>251.45550000000003</v>
      </c>
      <c r="DO59" s="183">
        <f t="shared" si="60"/>
        <v>238.88272500000002</v>
      </c>
      <c r="DP59" s="183">
        <f t="shared" si="60"/>
        <v>226.93858875000001</v>
      </c>
    </row>
    <row r="60" spans="1:120" x14ac:dyDescent="0.2">
      <c r="A60" s="65" t="s">
        <v>83</v>
      </c>
      <c r="B60" s="31"/>
      <c r="C60" s="31"/>
      <c r="D60" s="31"/>
      <c r="E60" s="31"/>
      <c r="F60" s="31"/>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72">
        <v>11</v>
      </c>
      <c r="AV60" s="72">
        <v>11</v>
      </c>
      <c r="AW60" s="72">
        <v>18</v>
      </c>
      <c r="AX60" s="72">
        <v>40</v>
      </c>
      <c r="AY60" s="107">
        <f>AX60+AW60+AV60+AU60</f>
        <v>80</v>
      </c>
      <c r="AZ60" s="72">
        <v>19</v>
      </c>
      <c r="BA60" s="72">
        <v>17</v>
      </c>
      <c r="BB60" s="72">
        <v>26</v>
      </c>
      <c r="BC60" s="72">
        <v>86</v>
      </c>
      <c r="BD60" s="107">
        <f>BC60+BB60+BA60+AZ60</f>
        <v>148</v>
      </c>
      <c r="BE60" s="107">
        <v>39</v>
      </c>
      <c r="BF60" s="107">
        <v>16</v>
      </c>
      <c r="BG60" s="107">
        <v>21</v>
      </c>
      <c r="BH60" s="107">
        <v>43</v>
      </c>
      <c r="BI60" s="72">
        <f>SUM(BE60:BH60)</f>
        <v>119</v>
      </c>
      <c r="BJ60" s="72">
        <v>25</v>
      </c>
      <c r="BK60" s="108">
        <v>28</v>
      </c>
      <c r="BL60" s="72">
        <v>44</v>
      </c>
      <c r="BM60" s="72">
        <v>65</v>
      </c>
      <c r="BN60" s="72">
        <f>SUM(BJ60:BM60)</f>
        <v>162</v>
      </c>
      <c r="BO60" s="72">
        <v>18</v>
      </c>
      <c r="BP60" s="108">
        <v>17</v>
      </c>
      <c r="BQ60" s="72">
        <v>48</v>
      </c>
      <c r="BR60" s="72">
        <v>148</v>
      </c>
      <c r="BS60" s="72">
        <f>SUM(BO60:BR60)</f>
        <v>231</v>
      </c>
      <c r="BT60" s="72">
        <v>33</v>
      </c>
      <c r="BU60" s="108">
        <v>35</v>
      </c>
      <c r="BV60" s="72">
        <v>35</v>
      </c>
      <c r="BW60" s="72">
        <v>60</v>
      </c>
      <c r="BX60" s="72">
        <f>SUM(BT60:BW60)</f>
        <v>163</v>
      </c>
      <c r="BY60" s="72">
        <v>40</v>
      </c>
      <c r="BZ60" s="72">
        <v>43</v>
      </c>
      <c r="CA60" s="72">
        <v>53</v>
      </c>
      <c r="CB60" s="72">
        <v>58</v>
      </c>
      <c r="CC60" s="72">
        <f>SUM(BY60:CB60)</f>
        <v>194</v>
      </c>
      <c r="CD60" s="72">
        <v>49</v>
      </c>
      <c r="CE60" s="72">
        <v>61</v>
      </c>
      <c r="CF60" s="72">
        <v>56</v>
      </c>
      <c r="CG60" s="72">
        <v>74</v>
      </c>
      <c r="CH60" s="72">
        <f>SUM(CD60:CG60)</f>
        <v>240</v>
      </c>
      <c r="CI60" s="72">
        <v>66.3</v>
      </c>
      <c r="CJ60" s="72">
        <v>71</v>
      </c>
      <c r="CK60" s="36">
        <v>54</v>
      </c>
      <c r="CL60" s="36">
        <v>89</v>
      </c>
      <c r="CM60" s="36">
        <f>SUM(CI60:CL60)</f>
        <v>280.3</v>
      </c>
      <c r="CN60" s="36">
        <v>59</v>
      </c>
      <c r="CO60" s="36">
        <v>47</v>
      </c>
      <c r="CP60" s="36">
        <v>58</v>
      </c>
      <c r="CQ60" s="36">
        <v>83</v>
      </c>
      <c r="CR60" s="36">
        <f>SUM(CN60:CQ60)</f>
        <v>247</v>
      </c>
      <c r="CS60" s="36">
        <v>75</v>
      </c>
      <c r="CT60" s="36">
        <v>96</v>
      </c>
      <c r="CU60" s="36">
        <v>99</v>
      </c>
      <c r="CV60" s="36">
        <v>90</v>
      </c>
      <c r="CW60" s="72">
        <f>SUM(CS60:CV60)</f>
        <v>360</v>
      </c>
      <c r="CX60" s="36">
        <v>99</v>
      </c>
      <c r="CY60" s="36">
        <v>52</v>
      </c>
      <c r="CZ60" s="36">
        <v>97</v>
      </c>
      <c r="DA60" s="36">
        <v>99</v>
      </c>
      <c r="DB60" s="72">
        <f>SUM(CX60:DA60)</f>
        <v>347</v>
      </c>
      <c r="DC60" s="72">
        <v>55</v>
      </c>
      <c r="DD60" s="72">
        <v>59</v>
      </c>
      <c r="DE60" s="72">
        <v>63</v>
      </c>
      <c r="DF60" s="72">
        <v>79</v>
      </c>
      <c r="DG60" s="36">
        <f>SUM(DC60:DF60)</f>
        <v>256</v>
      </c>
      <c r="DH60" s="36">
        <f t="shared" si="59"/>
        <v>52.25</v>
      </c>
      <c r="DI60" s="36">
        <f t="shared" si="59"/>
        <v>56.05</v>
      </c>
      <c r="DJ60" s="36">
        <f t="shared" si="59"/>
        <v>59.849999999999994</v>
      </c>
      <c r="DK60" s="36">
        <f t="shared" si="59"/>
        <v>75.05</v>
      </c>
      <c r="DL60" s="183">
        <f>SUM(DH60:DK60)</f>
        <v>243.2</v>
      </c>
      <c r="DM60" s="183">
        <f t="shared" si="60"/>
        <v>231.04</v>
      </c>
      <c r="DN60" s="183">
        <f t="shared" si="60"/>
        <v>219.48799999999997</v>
      </c>
      <c r="DO60" s="183">
        <f t="shared" si="60"/>
        <v>208.51359999999997</v>
      </c>
      <c r="DP60" s="183">
        <f t="shared" si="60"/>
        <v>198.08791999999997</v>
      </c>
    </row>
    <row r="61" spans="1:120" x14ac:dyDescent="0.2">
      <c r="A61" s="104" t="s">
        <v>84</v>
      </c>
      <c r="B61" s="31"/>
      <c r="C61" s="31"/>
      <c r="D61" s="31"/>
      <c r="E61" s="31"/>
      <c r="F61" s="31"/>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109">
        <f>AU60+AU59</f>
        <v>51</v>
      </c>
      <c r="AV61" s="109">
        <f>AV60+AV59</f>
        <v>60</v>
      </c>
      <c r="AW61" s="109">
        <f>AW60+AW59</f>
        <v>110</v>
      </c>
      <c r="AX61" s="109">
        <f>AX60+AX59</f>
        <v>155</v>
      </c>
      <c r="AY61" s="109">
        <f>AX61+AW61+AV61+AU61</f>
        <v>376</v>
      </c>
      <c r="AZ61" s="109">
        <f>AZ60+AZ59</f>
        <v>79</v>
      </c>
      <c r="BA61" s="109">
        <f>BA60+BA59</f>
        <v>64</v>
      </c>
      <c r="BB61" s="109">
        <f>BB60+BB59</f>
        <v>133</v>
      </c>
      <c r="BC61" s="109">
        <f>BC60+BC59</f>
        <v>223</v>
      </c>
      <c r="BD61" s="109">
        <f>BC61+BB61+BA61+AZ61</f>
        <v>499</v>
      </c>
      <c r="BE61" s="109">
        <f>BE59+BE60</f>
        <v>112</v>
      </c>
      <c r="BF61" s="109">
        <f>BF59+BF60</f>
        <v>101</v>
      </c>
      <c r="BG61" s="109">
        <f>BG59+BG60</f>
        <v>160</v>
      </c>
      <c r="BH61" s="109">
        <f>BH59+BH60</f>
        <v>208</v>
      </c>
      <c r="BI61" s="74">
        <f t="shared" ref="BI61:CM61" si="61">BI60+BI59</f>
        <v>581</v>
      </c>
      <c r="BJ61" s="74">
        <f t="shared" si="61"/>
        <v>111</v>
      </c>
      <c r="BK61" s="110">
        <f t="shared" si="61"/>
        <v>108</v>
      </c>
      <c r="BL61" s="74">
        <f t="shared" si="61"/>
        <v>193</v>
      </c>
      <c r="BM61" s="74">
        <f t="shared" si="61"/>
        <v>241</v>
      </c>
      <c r="BN61" s="74">
        <f t="shared" si="61"/>
        <v>653</v>
      </c>
      <c r="BO61" s="74">
        <f t="shared" si="61"/>
        <v>101</v>
      </c>
      <c r="BP61" s="110">
        <f t="shared" si="61"/>
        <v>102</v>
      </c>
      <c r="BQ61" s="74">
        <f t="shared" si="61"/>
        <v>198</v>
      </c>
      <c r="BR61" s="74">
        <f t="shared" si="61"/>
        <v>347</v>
      </c>
      <c r="BS61" s="74">
        <f t="shared" si="61"/>
        <v>748</v>
      </c>
      <c r="BT61" s="74">
        <f t="shared" si="61"/>
        <v>110</v>
      </c>
      <c r="BU61" s="110">
        <f t="shared" si="61"/>
        <v>105</v>
      </c>
      <c r="BV61" s="74">
        <f t="shared" si="61"/>
        <v>138</v>
      </c>
      <c r="BW61" s="74">
        <f t="shared" si="61"/>
        <v>188</v>
      </c>
      <c r="BX61" s="74">
        <f t="shared" si="61"/>
        <v>541</v>
      </c>
      <c r="BY61" s="74">
        <f t="shared" si="61"/>
        <v>107</v>
      </c>
      <c r="BZ61" s="74">
        <v>120</v>
      </c>
      <c r="CA61" s="74">
        <f t="shared" si="61"/>
        <v>175</v>
      </c>
      <c r="CB61" s="74">
        <f t="shared" si="61"/>
        <v>238</v>
      </c>
      <c r="CC61" s="74">
        <f t="shared" si="61"/>
        <v>641</v>
      </c>
      <c r="CD61" s="74">
        <f t="shared" si="61"/>
        <v>163</v>
      </c>
      <c r="CE61" s="74">
        <f t="shared" si="61"/>
        <v>165</v>
      </c>
      <c r="CF61" s="74">
        <f>CF60+CF59</f>
        <v>230</v>
      </c>
      <c r="CG61" s="74">
        <f t="shared" si="61"/>
        <v>263</v>
      </c>
      <c r="CH61" s="74">
        <f t="shared" si="61"/>
        <v>821</v>
      </c>
      <c r="CI61" s="74">
        <f t="shared" si="61"/>
        <v>178.6</v>
      </c>
      <c r="CJ61" s="74">
        <f t="shared" si="61"/>
        <v>193</v>
      </c>
      <c r="CK61" s="39">
        <f t="shared" si="61"/>
        <v>214</v>
      </c>
      <c r="CL61" s="39">
        <f t="shared" si="61"/>
        <v>321</v>
      </c>
      <c r="CM61" s="39">
        <f t="shared" si="61"/>
        <v>906.59999999999991</v>
      </c>
      <c r="CN61" s="39">
        <f>1+CN59+CN60</f>
        <v>185</v>
      </c>
      <c r="CO61" s="39">
        <f t="shared" ref="CO61:CV61" si="62">CO60+CO59</f>
        <v>170</v>
      </c>
      <c r="CP61" s="39">
        <f t="shared" si="62"/>
        <v>237</v>
      </c>
      <c r="CQ61" s="39">
        <f t="shared" si="62"/>
        <v>334</v>
      </c>
      <c r="CR61" s="39">
        <f t="shared" si="62"/>
        <v>925</v>
      </c>
      <c r="CS61" s="39">
        <f>CS60+CS59-1</f>
        <v>256</v>
      </c>
      <c r="CT61" s="39">
        <f t="shared" si="62"/>
        <v>117</v>
      </c>
      <c r="CU61" s="39">
        <f t="shared" si="62"/>
        <v>375</v>
      </c>
      <c r="CV61" s="39">
        <f t="shared" si="62"/>
        <v>339</v>
      </c>
      <c r="CW61" s="74">
        <f>SUM(CS61:CV61)</f>
        <v>1087</v>
      </c>
      <c r="CX61" s="39">
        <f>SUM(CX59:CX60)</f>
        <v>172</v>
      </c>
      <c r="CY61" s="39">
        <f>SUM(CY59:CY60)</f>
        <v>152</v>
      </c>
      <c r="CZ61" s="39">
        <f>SUM(CZ59:CZ60)</f>
        <v>278</v>
      </c>
      <c r="DA61" s="39">
        <f>SUM(DA59:DA60)</f>
        <v>292</v>
      </c>
      <c r="DB61" s="74">
        <f>SUM(CX61:DA61)</f>
        <v>894</v>
      </c>
      <c r="DC61" s="74">
        <f>DC60+DC59</f>
        <v>173</v>
      </c>
      <c r="DD61" s="74">
        <f>DD60+DD59</f>
        <v>153</v>
      </c>
      <c r="DE61" s="74">
        <f>DE60+DE59</f>
        <v>131</v>
      </c>
      <c r="DF61" s="74">
        <f>DF60+DF59</f>
        <v>145</v>
      </c>
      <c r="DG61" s="39">
        <f>SUM(DC61:DF61)</f>
        <v>602</v>
      </c>
      <c r="DH61" s="39">
        <f>DH60+DH59</f>
        <v>152.55000000000001</v>
      </c>
      <c r="DI61" s="39">
        <f>DI60+DI59</f>
        <v>135.94999999999999</v>
      </c>
      <c r="DJ61" s="39">
        <f>DJ60+DJ59</f>
        <v>117.64999999999999</v>
      </c>
      <c r="DK61" s="39">
        <f>DK60+DK59</f>
        <v>131.15</v>
      </c>
      <c r="DL61" s="187">
        <f>SUM(DH61:DK61)</f>
        <v>537.29999999999995</v>
      </c>
      <c r="DM61" s="187">
        <f t="shared" ref="DM61:DP61" si="63">DM60+DM59</f>
        <v>495.73</v>
      </c>
      <c r="DN61" s="187">
        <f t="shared" si="63"/>
        <v>470.94349999999997</v>
      </c>
      <c r="DO61" s="187">
        <f t="shared" si="63"/>
        <v>447.39632499999999</v>
      </c>
      <c r="DP61" s="187">
        <f t="shared" si="63"/>
        <v>425.02650874999995</v>
      </c>
    </row>
    <row r="62" spans="1:120" x14ac:dyDescent="0.2">
      <c r="A62" s="68" t="s">
        <v>54</v>
      </c>
      <c r="B62" s="31"/>
      <c r="C62" s="31"/>
      <c r="D62" s="31"/>
      <c r="E62" s="31"/>
      <c r="F62" s="31"/>
      <c r="G62" s="69"/>
      <c r="H62" s="69"/>
      <c r="I62" s="69"/>
      <c r="J62" s="69"/>
      <c r="K62" s="69"/>
      <c r="L62" s="69"/>
      <c r="M62" s="69"/>
      <c r="N62" s="69"/>
      <c r="O62" s="69"/>
      <c r="P62" s="69"/>
      <c r="Q62" s="69"/>
      <c r="R62" s="69"/>
      <c r="S62" s="69"/>
      <c r="T62" s="69"/>
      <c r="U62" s="69"/>
      <c r="V62" s="69"/>
      <c r="W62" s="69"/>
      <c r="X62" s="69"/>
      <c r="Y62" s="69"/>
      <c r="Z62" s="69"/>
      <c r="AA62" s="69"/>
      <c r="AB62" s="69"/>
      <c r="AC62" s="69"/>
      <c r="AD62" s="69"/>
      <c r="AE62" s="75" t="e">
        <f t="shared" ref="AE62:CP64" si="64">AE59/Z59-1</f>
        <v>#DIV/0!</v>
      </c>
      <c r="AF62" s="76" t="e">
        <f t="shared" si="64"/>
        <v>#DIV/0!</v>
      </c>
      <c r="AG62" s="76" t="e">
        <f t="shared" si="64"/>
        <v>#DIV/0!</v>
      </c>
      <c r="AH62" s="111" t="e">
        <f t="shared" si="64"/>
        <v>#DIV/0!</v>
      </c>
      <c r="AI62" s="111" t="e">
        <f t="shared" si="64"/>
        <v>#DIV/0!</v>
      </c>
      <c r="AJ62" s="75" t="e">
        <f t="shared" si="64"/>
        <v>#DIV/0!</v>
      </c>
      <c r="AK62" s="76" t="e">
        <f t="shared" si="64"/>
        <v>#DIV/0!</v>
      </c>
      <c r="AL62" s="76" t="e">
        <f t="shared" si="64"/>
        <v>#DIV/0!</v>
      </c>
      <c r="AM62" s="111" t="e">
        <f t="shared" si="64"/>
        <v>#DIV/0!</v>
      </c>
      <c r="AN62" s="111" t="e">
        <f t="shared" si="64"/>
        <v>#DIV/0!</v>
      </c>
      <c r="AO62" s="75" t="e">
        <f t="shared" si="64"/>
        <v>#DIV/0!</v>
      </c>
      <c r="AP62" s="76" t="e">
        <f t="shared" si="64"/>
        <v>#DIV/0!</v>
      </c>
      <c r="AQ62" s="76" t="e">
        <f t="shared" si="64"/>
        <v>#DIV/0!</v>
      </c>
      <c r="AR62" s="111" t="e">
        <f t="shared" si="64"/>
        <v>#DIV/0!</v>
      </c>
      <c r="AS62" s="111" t="e">
        <f t="shared" si="64"/>
        <v>#DIV/0!</v>
      </c>
      <c r="AT62" s="75" t="e">
        <f t="shared" si="64"/>
        <v>#DIV/0!</v>
      </c>
      <c r="AU62" s="76" t="e">
        <f t="shared" si="64"/>
        <v>#DIV/0!</v>
      </c>
      <c r="AV62" s="76" t="e">
        <f t="shared" si="64"/>
        <v>#DIV/0!</v>
      </c>
      <c r="AW62" s="111" t="e">
        <f t="shared" si="64"/>
        <v>#DIV/0!</v>
      </c>
      <c r="AX62" s="111" t="e">
        <f t="shared" si="64"/>
        <v>#DIV/0!</v>
      </c>
      <c r="AY62" s="75" t="e">
        <f t="shared" si="64"/>
        <v>#DIV/0!</v>
      </c>
      <c r="AZ62" s="76">
        <f t="shared" si="64"/>
        <v>0.5</v>
      </c>
      <c r="BA62" s="76">
        <f t="shared" si="64"/>
        <v>-4.081632653061229E-2</v>
      </c>
      <c r="BB62" s="111">
        <f t="shared" si="64"/>
        <v>0.16304347826086962</v>
      </c>
      <c r="BC62" s="111">
        <f t="shared" si="64"/>
        <v>0.19130434782608696</v>
      </c>
      <c r="BD62" s="75">
        <f t="shared" si="64"/>
        <v>0.18581081081081074</v>
      </c>
      <c r="BE62" s="76">
        <f t="shared" si="64"/>
        <v>0.21666666666666656</v>
      </c>
      <c r="BF62" s="76">
        <f t="shared" si="64"/>
        <v>0.8085106382978724</v>
      </c>
      <c r="BG62" s="111">
        <f t="shared" si="64"/>
        <v>0.2990654205607477</v>
      </c>
      <c r="BH62" s="111">
        <f t="shared" si="64"/>
        <v>0.20437956204379559</v>
      </c>
      <c r="BI62" s="75">
        <f t="shared" si="64"/>
        <v>0.31623931623931623</v>
      </c>
      <c r="BJ62" s="76">
        <f t="shared" si="64"/>
        <v>0.17808219178082196</v>
      </c>
      <c r="BK62" s="76">
        <f t="shared" si="64"/>
        <v>-5.8823529411764719E-2</v>
      </c>
      <c r="BL62" s="111">
        <f t="shared" si="64"/>
        <v>7.1942446043165464E-2</v>
      </c>
      <c r="BM62" s="111">
        <f t="shared" si="64"/>
        <v>6.6666666666666652E-2</v>
      </c>
      <c r="BN62" s="75">
        <f t="shared" si="64"/>
        <v>6.277056277056281E-2</v>
      </c>
      <c r="BO62" s="76">
        <f t="shared" si="64"/>
        <v>-3.4883720930232509E-2</v>
      </c>
      <c r="BP62" s="76">
        <f t="shared" si="64"/>
        <v>6.25E-2</v>
      </c>
      <c r="BQ62" s="111">
        <f t="shared" si="64"/>
        <v>6.7114093959732557E-3</v>
      </c>
      <c r="BR62" s="111">
        <f t="shared" si="64"/>
        <v>0.13068181818181812</v>
      </c>
      <c r="BS62" s="75">
        <f t="shared" si="64"/>
        <v>5.2953156822810543E-2</v>
      </c>
      <c r="BT62" s="76">
        <f t="shared" si="64"/>
        <v>-7.2289156626506035E-2</v>
      </c>
      <c r="BU62" s="76">
        <f t="shared" si="64"/>
        <v>-0.17647058823529416</v>
      </c>
      <c r="BV62" s="111">
        <f t="shared" si="64"/>
        <v>-0.31333333333333335</v>
      </c>
      <c r="BW62" s="111">
        <f t="shared" si="64"/>
        <v>-0.35678391959798994</v>
      </c>
      <c r="BX62" s="75">
        <f t="shared" si="64"/>
        <v>-0.2688588007736944</v>
      </c>
      <c r="BY62" s="76">
        <f t="shared" si="64"/>
        <v>-0.12987012987012991</v>
      </c>
      <c r="BZ62" s="76">
        <f t="shared" si="64"/>
        <v>0.11428571428571432</v>
      </c>
      <c r="CA62" s="111">
        <f t="shared" si="64"/>
        <v>0.18446601941747565</v>
      </c>
      <c r="CB62" s="111">
        <f t="shared" si="64"/>
        <v>0.40625</v>
      </c>
      <c r="CC62" s="75">
        <f t="shared" si="64"/>
        <v>0.18253968253968256</v>
      </c>
      <c r="CD62" s="76">
        <f t="shared" si="64"/>
        <v>0.70149253731343286</v>
      </c>
      <c r="CE62" s="76">
        <f t="shared" si="64"/>
        <v>0.33333333333333326</v>
      </c>
      <c r="CF62" s="111">
        <f t="shared" si="64"/>
        <v>0.42622950819672134</v>
      </c>
      <c r="CG62" s="111">
        <f t="shared" si="64"/>
        <v>5.0000000000000044E-2</v>
      </c>
      <c r="CH62" s="75">
        <f t="shared" si="64"/>
        <v>0.29977628635346765</v>
      </c>
      <c r="CI62" s="76">
        <f t="shared" si="64"/>
        <v>-1.4912280701754432E-2</v>
      </c>
      <c r="CJ62" s="76">
        <f t="shared" si="64"/>
        <v>0.17307692307692313</v>
      </c>
      <c r="CK62" s="76">
        <f t="shared" si="64"/>
        <v>-8.0459770114942541E-2</v>
      </c>
      <c r="CL62" s="76">
        <f t="shared" si="64"/>
        <v>0.22751322751322745</v>
      </c>
      <c r="CM62" s="90">
        <f t="shared" si="64"/>
        <v>7.7969018932874334E-2</v>
      </c>
      <c r="CN62" s="90">
        <f t="shared" si="64"/>
        <v>0.11308993766696362</v>
      </c>
      <c r="CO62" s="90">
        <f t="shared" si="64"/>
        <v>8.1967213114753079E-3</v>
      </c>
      <c r="CP62" s="90">
        <f t="shared" si="64"/>
        <v>0.11874999999999991</v>
      </c>
      <c r="CQ62" s="90">
        <f t="shared" ref="CO62:DF64" si="65">CQ59/CL59-1</f>
        <v>8.18965517241379E-2</v>
      </c>
      <c r="CR62" s="90">
        <f>CR59/CM59-1</f>
        <v>8.2548299536963299E-2</v>
      </c>
      <c r="CS62" s="90">
        <f t="shared" si="65"/>
        <v>0.45599999999999996</v>
      </c>
      <c r="CT62" s="90">
        <f t="shared" si="65"/>
        <v>-0.82926829268292679</v>
      </c>
      <c r="CU62" s="90">
        <f t="shared" si="65"/>
        <v>0.54189944134078205</v>
      </c>
      <c r="CV62" s="90">
        <f t="shared" si="65"/>
        <v>-7.9681274900398336E-3</v>
      </c>
      <c r="CW62" s="90">
        <f>CW59/CR59-1</f>
        <v>7.3746312684365822E-2</v>
      </c>
      <c r="CX62" s="90">
        <f t="shared" si="65"/>
        <v>-0.59890109890109888</v>
      </c>
      <c r="CY62" s="90">
        <f t="shared" si="65"/>
        <v>3.7619047619047619</v>
      </c>
      <c r="CZ62" s="90">
        <f t="shared" si="65"/>
        <v>-0.34420289855072461</v>
      </c>
      <c r="DA62" s="90">
        <f t="shared" si="65"/>
        <v>-0.22489959839357432</v>
      </c>
      <c r="DB62" s="90">
        <f>DB59/CW59-1</f>
        <v>-0.24862637362637363</v>
      </c>
      <c r="DC62" s="90">
        <f t="shared" si="65"/>
        <v>0.61643835616438358</v>
      </c>
      <c r="DD62" s="90">
        <f t="shared" si="65"/>
        <v>-6.0000000000000053E-2</v>
      </c>
      <c r="DE62" s="90">
        <f t="shared" si="65"/>
        <v>-0.62430939226519344</v>
      </c>
      <c r="DF62" s="90">
        <f t="shared" si="65"/>
        <v>-0.65803108808290156</v>
      </c>
      <c r="DG62" s="90">
        <f>DG59/DB59-1</f>
        <v>-0.36745886654478976</v>
      </c>
      <c r="DH62" s="90">
        <v>-0.15</v>
      </c>
      <c r="DI62" s="90">
        <v>-0.15</v>
      </c>
      <c r="DJ62" s="90">
        <v>-0.15</v>
      </c>
      <c r="DK62" s="90">
        <v>-0.15</v>
      </c>
      <c r="DL62" s="188">
        <f>DL59/DG59-1</f>
        <v>-0.14999999999999991</v>
      </c>
      <c r="DM62" s="188">
        <v>-0.1</v>
      </c>
      <c r="DN62" s="188">
        <v>-0.05</v>
      </c>
      <c r="DO62" s="188">
        <v>-0.05</v>
      </c>
      <c r="DP62" s="188">
        <v>-0.05</v>
      </c>
    </row>
    <row r="63" spans="1:120" x14ac:dyDescent="0.2">
      <c r="A63" s="68" t="s">
        <v>55</v>
      </c>
      <c r="B63" s="31"/>
      <c r="C63" s="31"/>
      <c r="D63" s="31"/>
      <c r="E63" s="31"/>
      <c r="F63" s="31"/>
      <c r="G63" s="69"/>
      <c r="H63" s="69"/>
      <c r="I63" s="69"/>
      <c r="J63" s="69"/>
      <c r="K63" s="69"/>
      <c r="L63" s="69"/>
      <c r="M63" s="69"/>
      <c r="N63" s="69"/>
      <c r="O63" s="69"/>
      <c r="P63" s="69"/>
      <c r="Q63" s="69"/>
      <c r="R63" s="69"/>
      <c r="S63" s="69"/>
      <c r="T63" s="69"/>
      <c r="U63" s="69"/>
      <c r="V63" s="69"/>
      <c r="W63" s="69"/>
      <c r="X63" s="69"/>
      <c r="Y63" s="69"/>
      <c r="Z63" s="69"/>
      <c r="AA63" s="69"/>
      <c r="AB63" s="69"/>
      <c r="AC63" s="69"/>
      <c r="AD63" s="69"/>
      <c r="AE63" s="75" t="e">
        <f t="shared" si="64"/>
        <v>#DIV/0!</v>
      </c>
      <c r="AF63" s="76" t="e">
        <f t="shared" si="64"/>
        <v>#DIV/0!</v>
      </c>
      <c r="AG63" s="76" t="e">
        <f t="shared" si="64"/>
        <v>#DIV/0!</v>
      </c>
      <c r="AH63" s="111" t="e">
        <f t="shared" si="64"/>
        <v>#DIV/0!</v>
      </c>
      <c r="AI63" s="111" t="e">
        <f t="shared" si="64"/>
        <v>#DIV/0!</v>
      </c>
      <c r="AJ63" s="75" t="e">
        <f t="shared" si="64"/>
        <v>#DIV/0!</v>
      </c>
      <c r="AK63" s="76" t="e">
        <f t="shared" si="64"/>
        <v>#DIV/0!</v>
      </c>
      <c r="AL63" s="76" t="e">
        <f t="shared" si="64"/>
        <v>#DIV/0!</v>
      </c>
      <c r="AM63" s="111" t="e">
        <f t="shared" si="64"/>
        <v>#DIV/0!</v>
      </c>
      <c r="AN63" s="111" t="e">
        <f t="shared" si="64"/>
        <v>#DIV/0!</v>
      </c>
      <c r="AO63" s="75" t="e">
        <f t="shared" si="64"/>
        <v>#DIV/0!</v>
      </c>
      <c r="AP63" s="76" t="e">
        <f t="shared" si="64"/>
        <v>#DIV/0!</v>
      </c>
      <c r="AQ63" s="76" t="e">
        <f t="shared" si="64"/>
        <v>#DIV/0!</v>
      </c>
      <c r="AR63" s="111" t="e">
        <f t="shared" si="64"/>
        <v>#DIV/0!</v>
      </c>
      <c r="AS63" s="111" t="e">
        <f t="shared" si="64"/>
        <v>#DIV/0!</v>
      </c>
      <c r="AT63" s="75" t="e">
        <f t="shared" si="64"/>
        <v>#DIV/0!</v>
      </c>
      <c r="AU63" s="76" t="e">
        <f t="shared" si="64"/>
        <v>#DIV/0!</v>
      </c>
      <c r="AV63" s="76" t="e">
        <f t="shared" si="64"/>
        <v>#DIV/0!</v>
      </c>
      <c r="AW63" s="111" t="e">
        <f t="shared" si="64"/>
        <v>#DIV/0!</v>
      </c>
      <c r="AX63" s="111" t="e">
        <f t="shared" si="64"/>
        <v>#DIV/0!</v>
      </c>
      <c r="AY63" s="75" t="e">
        <f t="shared" si="64"/>
        <v>#DIV/0!</v>
      </c>
      <c r="AZ63" s="76">
        <f t="shared" si="64"/>
        <v>0.72727272727272729</v>
      </c>
      <c r="BA63" s="76">
        <f t="shared" si="64"/>
        <v>0.54545454545454541</v>
      </c>
      <c r="BB63" s="111">
        <f t="shared" si="64"/>
        <v>0.44444444444444442</v>
      </c>
      <c r="BC63" s="111">
        <f t="shared" si="64"/>
        <v>1.1499999999999999</v>
      </c>
      <c r="BD63" s="75">
        <f t="shared" si="64"/>
        <v>0.85000000000000009</v>
      </c>
      <c r="BE63" s="76">
        <f t="shared" si="64"/>
        <v>1.0526315789473686</v>
      </c>
      <c r="BF63" s="76">
        <f t="shared" si="64"/>
        <v>-5.8823529411764719E-2</v>
      </c>
      <c r="BG63" s="111">
        <f t="shared" si="64"/>
        <v>-0.19230769230769229</v>
      </c>
      <c r="BH63" s="111">
        <f t="shared" si="64"/>
        <v>-0.5</v>
      </c>
      <c r="BI63" s="75">
        <f t="shared" si="64"/>
        <v>-0.19594594594594594</v>
      </c>
      <c r="BJ63" s="76">
        <f t="shared" si="64"/>
        <v>-0.35897435897435892</v>
      </c>
      <c r="BK63" s="76">
        <f t="shared" si="64"/>
        <v>0.75</v>
      </c>
      <c r="BL63" s="111">
        <f t="shared" si="64"/>
        <v>1.0952380952380953</v>
      </c>
      <c r="BM63" s="111">
        <f t="shared" si="64"/>
        <v>0.51162790697674421</v>
      </c>
      <c r="BN63" s="75">
        <f t="shared" si="64"/>
        <v>0.3613445378151261</v>
      </c>
      <c r="BO63" s="76">
        <f t="shared" si="64"/>
        <v>-0.28000000000000003</v>
      </c>
      <c r="BP63" s="76">
        <f t="shared" si="64"/>
        <v>-0.3928571428571429</v>
      </c>
      <c r="BQ63" s="111">
        <f t="shared" si="64"/>
        <v>9.0909090909090828E-2</v>
      </c>
      <c r="BR63" s="111">
        <f t="shared" si="64"/>
        <v>1.2769230769230768</v>
      </c>
      <c r="BS63" s="75">
        <f t="shared" si="64"/>
        <v>0.42592592592592582</v>
      </c>
      <c r="BT63" s="76">
        <f t="shared" si="64"/>
        <v>0.83333333333333326</v>
      </c>
      <c r="BU63" s="76">
        <f t="shared" si="64"/>
        <v>1.0588235294117645</v>
      </c>
      <c r="BV63" s="111">
        <f t="shared" si="64"/>
        <v>-0.27083333333333337</v>
      </c>
      <c r="BW63" s="111">
        <f t="shared" si="64"/>
        <v>-0.59459459459459452</v>
      </c>
      <c r="BX63" s="75">
        <f t="shared" si="64"/>
        <v>-0.2943722943722944</v>
      </c>
      <c r="BY63" s="76">
        <f t="shared" si="64"/>
        <v>0.21212121212121215</v>
      </c>
      <c r="BZ63" s="76">
        <f t="shared" si="64"/>
        <v>0.22857142857142865</v>
      </c>
      <c r="CA63" s="111">
        <f t="shared" si="64"/>
        <v>0.51428571428571423</v>
      </c>
      <c r="CB63" s="111">
        <f t="shared" si="64"/>
        <v>-3.3333333333333326E-2</v>
      </c>
      <c r="CC63" s="75">
        <f t="shared" si="64"/>
        <v>0.19018404907975461</v>
      </c>
      <c r="CD63" s="76">
        <f t="shared" si="64"/>
        <v>0.22500000000000009</v>
      </c>
      <c r="CE63" s="76">
        <f t="shared" si="64"/>
        <v>0.41860465116279078</v>
      </c>
      <c r="CF63" s="111">
        <f t="shared" si="64"/>
        <v>5.6603773584905648E-2</v>
      </c>
      <c r="CG63" s="111">
        <f t="shared" si="64"/>
        <v>0.27586206896551735</v>
      </c>
      <c r="CH63" s="75">
        <f t="shared" si="64"/>
        <v>0.23711340206185572</v>
      </c>
      <c r="CI63" s="76">
        <f t="shared" si="64"/>
        <v>0.35306122448979593</v>
      </c>
      <c r="CJ63" s="76">
        <f t="shared" si="64"/>
        <v>0.16393442622950816</v>
      </c>
      <c r="CK63" s="76">
        <f t="shared" si="64"/>
        <v>-3.5714285714285698E-2</v>
      </c>
      <c r="CL63" s="76">
        <f t="shared" si="64"/>
        <v>0.20270270270270263</v>
      </c>
      <c r="CM63" s="90">
        <f t="shared" si="64"/>
        <v>0.16791666666666671</v>
      </c>
      <c r="CN63" s="90">
        <f t="shared" si="64"/>
        <v>-0.11010558069381593</v>
      </c>
      <c r="CO63" s="90">
        <f t="shared" si="65"/>
        <v>-0.3380281690140845</v>
      </c>
      <c r="CP63" s="90">
        <f t="shared" si="65"/>
        <v>7.4074074074074181E-2</v>
      </c>
      <c r="CQ63" s="90">
        <f t="shared" si="65"/>
        <v>-6.7415730337078705E-2</v>
      </c>
      <c r="CR63" s="90">
        <f>CR60/CM60-1</f>
        <v>-0.11880128433820913</v>
      </c>
      <c r="CS63" s="90">
        <f t="shared" si="65"/>
        <v>0.27118644067796605</v>
      </c>
      <c r="CT63" s="90">
        <f t="shared" si="65"/>
        <v>1.0425531914893615</v>
      </c>
      <c r="CU63" s="90">
        <f t="shared" si="65"/>
        <v>0.7068965517241379</v>
      </c>
      <c r="CV63" s="90">
        <f t="shared" si="65"/>
        <v>8.43373493975903E-2</v>
      </c>
      <c r="CW63" s="90">
        <f>CW60/CR60-1</f>
        <v>0.45748987854251011</v>
      </c>
      <c r="CX63" s="90">
        <f t="shared" si="65"/>
        <v>0.32000000000000006</v>
      </c>
      <c r="CY63" s="90">
        <f t="shared" si="65"/>
        <v>-0.45833333333333337</v>
      </c>
      <c r="CZ63" s="90">
        <f t="shared" si="65"/>
        <v>-2.0202020202020221E-2</v>
      </c>
      <c r="DA63" s="90">
        <f t="shared" si="65"/>
        <v>0.10000000000000009</v>
      </c>
      <c r="DB63" s="90">
        <f>DB60/CW60-1</f>
        <v>-3.6111111111111094E-2</v>
      </c>
      <c r="DC63" s="90">
        <f t="shared" si="65"/>
        <v>-0.44444444444444442</v>
      </c>
      <c r="DD63" s="90">
        <f t="shared" si="65"/>
        <v>0.13461538461538458</v>
      </c>
      <c r="DE63" s="90">
        <f t="shared" si="65"/>
        <v>-0.35051546391752575</v>
      </c>
      <c r="DF63" s="90">
        <f t="shared" si="65"/>
        <v>-0.20202020202020199</v>
      </c>
      <c r="DG63" s="90">
        <f>DG60/DB60-1</f>
        <v>-0.26224783861671475</v>
      </c>
      <c r="DH63" s="90">
        <v>-0.05</v>
      </c>
      <c r="DI63" s="90">
        <v>-0.05</v>
      </c>
      <c r="DJ63" s="90">
        <v>-0.05</v>
      </c>
      <c r="DK63" s="90">
        <v>-0.05</v>
      </c>
      <c r="DL63" s="188">
        <f>DL60/DG60-1</f>
        <v>-5.0000000000000044E-2</v>
      </c>
      <c r="DM63" s="188">
        <v>-0.05</v>
      </c>
      <c r="DN63" s="188">
        <v>-0.05</v>
      </c>
      <c r="DO63" s="188">
        <v>-0.05</v>
      </c>
      <c r="DP63" s="188">
        <v>-0.05</v>
      </c>
    </row>
    <row r="64" spans="1:120" x14ac:dyDescent="0.2">
      <c r="A64" s="78" t="s">
        <v>56</v>
      </c>
      <c r="B64" s="79"/>
      <c r="C64" s="79"/>
      <c r="D64" s="79"/>
      <c r="E64" s="79"/>
      <c r="F64" s="79"/>
      <c r="G64" s="80"/>
      <c r="H64" s="80"/>
      <c r="I64" s="80"/>
      <c r="J64" s="80"/>
      <c r="K64" s="80"/>
      <c r="L64" s="80"/>
      <c r="M64" s="80"/>
      <c r="N64" s="80"/>
      <c r="O64" s="80"/>
      <c r="P64" s="80"/>
      <c r="Q64" s="80"/>
      <c r="R64" s="80"/>
      <c r="S64" s="80"/>
      <c r="T64" s="80"/>
      <c r="U64" s="80"/>
      <c r="V64" s="80"/>
      <c r="W64" s="80"/>
      <c r="X64" s="80"/>
      <c r="Y64" s="80"/>
      <c r="Z64" s="80"/>
      <c r="AA64" s="80"/>
      <c r="AB64" s="80"/>
      <c r="AC64" s="80"/>
      <c r="AD64" s="80"/>
      <c r="AE64" s="83" t="e">
        <f t="shared" si="64"/>
        <v>#DIV/0!</v>
      </c>
      <c r="AF64" s="83" t="e">
        <f t="shared" si="64"/>
        <v>#DIV/0!</v>
      </c>
      <c r="AG64" s="83" t="e">
        <f t="shared" si="64"/>
        <v>#DIV/0!</v>
      </c>
      <c r="AH64" s="102" t="e">
        <f t="shared" si="64"/>
        <v>#DIV/0!</v>
      </c>
      <c r="AI64" s="102" t="e">
        <f t="shared" si="64"/>
        <v>#DIV/0!</v>
      </c>
      <c r="AJ64" s="83" t="e">
        <f t="shared" si="64"/>
        <v>#DIV/0!</v>
      </c>
      <c r="AK64" s="83" t="e">
        <f t="shared" si="64"/>
        <v>#DIV/0!</v>
      </c>
      <c r="AL64" s="83" t="e">
        <f t="shared" si="64"/>
        <v>#DIV/0!</v>
      </c>
      <c r="AM64" s="102" t="e">
        <f t="shared" si="64"/>
        <v>#DIV/0!</v>
      </c>
      <c r="AN64" s="102" t="e">
        <f t="shared" si="64"/>
        <v>#DIV/0!</v>
      </c>
      <c r="AO64" s="83" t="e">
        <f t="shared" si="64"/>
        <v>#DIV/0!</v>
      </c>
      <c r="AP64" s="83" t="e">
        <f t="shared" si="64"/>
        <v>#DIV/0!</v>
      </c>
      <c r="AQ64" s="83" t="e">
        <f t="shared" si="64"/>
        <v>#DIV/0!</v>
      </c>
      <c r="AR64" s="102" t="e">
        <f t="shared" si="64"/>
        <v>#DIV/0!</v>
      </c>
      <c r="AS64" s="102" t="e">
        <f t="shared" si="64"/>
        <v>#DIV/0!</v>
      </c>
      <c r="AT64" s="83" t="e">
        <f t="shared" si="64"/>
        <v>#DIV/0!</v>
      </c>
      <c r="AU64" s="83" t="e">
        <f t="shared" si="64"/>
        <v>#DIV/0!</v>
      </c>
      <c r="AV64" s="83" t="e">
        <f t="shared" si="64"/>
        <v>#DIV/0!</v>
      </c>
      <c r="AW64" s="102" t="e">
        <f t="shared" si="64"/>
        <v>#DIV/0!</v>
      </c>
      <c r="AX64" s="102" t="e">
        <f t="shared" si="64"/>
        <v>#DIV/0!</v>
      </c>
      <c r="AY64" s="83" t="e">
        <f t="shared" si="64"/>
        <v>#DIV/0!</v>
      </c>
      <c r="AZ64" s="83">
        <f t="shared" si="64"/>
        <v>0.5490196078431373</v>
      </c>
      <c r="BA64" s="83">
        <f t="shared" si="64"/>
        <v>6.6666666666666652E-2</v>
      </c>
      <c r="BB64" s="102">
        <f t="shared" si="64"/>
        <v>0.20909090909090899</v>
      </c>
      <c r="BC64" s="102">
        <f t="shared" si="64"/>
        <v>0.43870967741935485</v>
      </c>
      <c r="BD64" s="83">
        <f t="shared" si="64"/>
        <v>0.3271276595744681</v>
      </c>
      <c r="BE64" s="83">
        <f t="shared" si="64"/>
        <v>0.41772151898734178</v>
      </c>
      <c r="BF64" s="83">
        <f t="shared" si="64"/>
        <v>0.578125</v>
      </c>
      <c r="BG64" s="102">
        <f t="shared" si="64"/>
        <v>0.20300751879699241</v>
      </c>
      <c r="BH64" s="102">
        <f t="shared" si="64"/>
        <v>-6.7264573991031362E-2</v>
      </c>
      <c r="BI64" s="83">
        <f t="shared" si="64"/>
        <v>0.1643286573146292</v>
      </c>
      <c r="BJ64" s="83">
        <f t="shared" si="64"/>
        <v>-8.9285714285713969E-3</v>
      </c>
      <c r="BK64" s="83">
        <f t="shared" si="64"/>
        <v>6.9306930693069368E-2</v>
      </c>
      <c r="BL64" s="102">
        <f t="shared" si="64"/>
        <v>0.20625000000000004</v>
      </c>
      <c r="BM64" s="102">
        <f t="shared" si="64"/>
        <v>0.15865384615384626</v>
      </c>
      <c r="BN64" s="83">
        <f t="shared" si="64"/>
        <v>0.12392426850258165</v>
      </c>
      <c r="BO64" s="83">
        <f t="shared" si="64"/>
        <v>-9.0090090090090058E-2</v>
      </c>
      <c r="BP64" s="83">
        <f t="shared" si="64"/>
        <v>-5.555555555555558E-2</v>
      </c>
      <c r="BQ64" s="102">
        <f t="shared" si="64"/>
        <v>2.5906735751295429E-2</v>
      </c>
      <c r="BR64" s="102">
        <f t="shared" si="64"/>
        <v>0.43983402489626555</v>
      </c>
      <c r="BS64" s="83">
        <f t="shared" si="64"/>
        <v>0.14548238897396626</v>
      </c>
      <c r="BT64" s="83">
        <f t="shared" si="64"/>
        <v>8.9108910891089188E-2</v>
      </c>
      <c r="BU64" s="83">
        <f t="shared" si="64"/>
        <v>2.9411764705882248E-2</v>
      </c>
      <c r="BV64" s="102">
        <f t="shared" si="64"/>
        <v>-0.30303030303030298</v>
      </c>
      <c r="BW64" s="102">
        <f t="shared" si="64"/>
        <v>-0.4582132564841499</v>
      </c>
      <c r="BX64" s="83">
        <f t="shared" si="64"/>
        <v>-0.2767379679144385</v>
      </c>
      <c r="BY64" s="83">
        <f t="shared" si="64"/>
        <v>-2.7272727272727226E-2</v>
      </c>
      <c r="BZ64" s="83">
        <f t="shared" si="64"/>
        <v>0.14285714285714279</v>
      </c>
      <c r="CA64" s="102">
        <f t="shared" si="64"/>
        <v>0.26811594202898559</v>
      </c>
      <c r="CB64" s="102">
        <f t="shared" si="64"/>
        <v>0.26595744680851063</v>
      </c>
      <c r="CC64" s="83">
        <f t="shared" si="64"/>
        <v>0.18484288354898326</v>
      </c>
      <c r="CD64" s="83">
        <f t="shared" si="64"/>
        <v>0.52336448598130847</v>
      </c>
      <c r="CE64" s="83">
        <f t="shared" si="64"/>
        <v>0.375</v>
      </c>
      <c r="CF64" s="102">
        <f t="shared" si="64"/>
        <v>0.31428571428571428</v>
      </c>
      <c r="CG64" s="102">
        <f t="shared" si="64"/>
        <v>0.10504201680672276</v>
      </c>
      <c r="CH64" s="83">
        <f t="shared" si="64"/>
        <v>0.28081123244929795</v>
      </c>
      <c r="CI64" s="83">
        <f t="shared" si="64"/>
        <v>9.570552147239253E-2</v>
      </c>
      <c r="CJ64" s="83">
        <f t="shared" si="64"/>
        <v>0.16969696969696968</v>
      </c>
      <c r="CK64" s="83">
        <f t="shared" si="64"/>
        <v>-6.956521739130439E-2</v>
      </c>
      <c r="CL64" s="83">
        <f t="shared" si="64"/>
        <v>0.22053231939163509</v>
      </c>
      <c r="CM64" s="80">
        <f t="shared" si="64"/>
        <v>0.10426309378806331</v>
      </c>
      <c r="CN64" s="80">
        <f t="shared" si="64"/>
        <v>3.5834266517357216E-2</v>
      </c>
      <c r="CO64" s="80">
        <f t="shared" si="65"/>
        <v>-0.11917098445595853</v>
      </c>
      <c r="CP64" s="80">
        <f t="shared" si="65"/>
        <v>0.10747663551401865</v>
      </c>
      <c r="CQ64" s="80">
        <f t="shared" si="65"/>
        <v>4.049844236760114E-2</v>
      </c>
      <c r="CR64" s="80">
        <f>CR61/CM61-1</f>
        <v>2.0295609971321626E-2</v>
      </c>
      <c r="CS64" s="80">
        <f t="shared" si="65"/>
        <v>0.38378378378378386</v>
      </c>
      <c r="CT64" s="80">
        <f t="shared" si="65"/>
        <v>-0.31176470588235294</v>
      </c>
      <c r="CU64" s="80">
        <f t="shared" si="65"/>
        <v>0.58227848101265822</v>
      </c>
      <c r="CV64" s="80">
        <f t="shared" si="65"/>
        <v>1.4970059880239583E-2</v>
      </c>
      <c r="CW64" s="80">
        <f>CW61/CR61-1</f>
        <v>0.17513513513513512</v>
      </c>
      <c r="CX64" s="80">
        <f>CX61/CS61-1</f>
        <v>-0.328125</v>
      </c>
      <c r="CY64" s="80">
        <f>CY61/CT61-1</f>
        <v>0.29914529914529919</v>
      </c>
      <c r="CZ64" s="80">
        <f>CZ61/CU61-1</f>
        <v>-0.25866666666666671</v>
      </c>
      <c r="DA64" s="80">
        <f>DA61/CV61-1</f>
        <v>-0.13864306784660763</v>
      </c>
      <c r="DB64" s="80">
        <f>DB61/CW61-1</f>
        <v>-0.17755289788408468</v>
      </c>
      <c r="DC64" s="80">
        <f>DC61/CX61-1</f>
        <v>5.8139534883721034E-3</v>
      </c>
      <c r="DD64" s="80">
        <f>DD61/CY61-1</f>
        <v>6.5789473684210176E-3</v>
      </c>
      <c r="DE64" s="80">
        <f>DE61/CZ61-1</f>
        <v>-0.52877697841726623</v>
      </c>
      <c r="DF64" s="80">
        <f>DF61/DA61-1</f>
        <v>-0.50342465753424659</v>
      </c>
      <c r="DG64" s="80">
        <f>DG61/DB61-1</f>
        <v>-0.32662192393736023</v>
      </c>
      <c r="DH64" s="80">
        <f>DH61/DC61-1</f>
        <v>-0.11820809248554909</v>
      </c>
      <c r="DI64" s="80">
        <f>DI61/DD61-1</f>
        <v>-0.11143790849673207</v>
      </c>
      <c r="DJ64" s="80">
        <f>DJ61/DE61-1</f>
        <v>-0.10190839694656495</v>
      </c>
      <c r="DK64" s="80">
        <f>DK61/DF61-1</f>
        <v>-9.551724137931028E-2</v>
      </c>
      <c r="DL64" s="189">
        <f>DL61/DG61-1</f>
        <v>-0.10747508305647846</v>
      </c>
      <c r="DM64" s="189">
        <f t="shared" ref="DM64:DP64" si="66">DM61/DL61-1</f>
        <v>-7.7368323096966174E-2</v>
      </c>
      <c r="DN64" s="189">
        <f t="shared" si="66"/>
        <v>-5.0000000000000044E-2</v>
      </c>
      <c r="DO64" s="189">
        <f t="shared" si="66"/>
        <v>-4.9999999999999933E-2</v>
      </c>
      <c r="DP64" s="189">
        <f t="shared" si="66"/>
        <v>-5.0000000000000044E-2</v>
      </c>
    </row>
    <row r="65" spans="1:120" x14ac:dyDescent="0.2">
      <c r="A65" s="65" t="s">
        <v>85</v>
      </c>
      <c r="B65" s="31"/>
      <c r="C65" s="31"/>
      <c r="D65" s="31"/>
      <c r="E65" s="31"/>
      <c r="F65" s="31"/>
      <c r="G65" s="69"/>
      <c r="H65" s="69"/>
      <c r="I65" s="69"/>
      <c r="J65" s="69"/>
      <c r="K65" s="69"/>
      <c r="L65" s="69"/>
      <c r="M65" s="69"/>
      <c r="N65" s="69"/>
      <c r="O65" s="69"/>
      <c r="P65" s="69"/>
      <c r="Q65" s="69"/>
      <c r="R65" s="69"/>
      <c r="S65" s="69"/>
      <c r="T65" s="69"/>
      <c r="U65" s="69"/>
      <c r="V65" s="72"/>
      <c r="W65" s="72"/>
      <c r="X65" s="72"/>
      <c r="Y65" s="72"/>
      <c r="Z65" s="72"/>
      <c r="AA65" s="72"/>
      <c r="AB65" s="72"/>
      <c r="AC65" s="72"/>
      <c r="AD65" s="72"/>
      <c r="AE65" s="106"/>
      <c r="AF65" s="72"/>
      <c r="AG65" s="72"/>
      <c r="AH65" s="72"/>
      <c r="AI65" s="72"/>
      <c r="AJ65" s="106"/>
      <c r="AK65" s="72"/>
      <c r="AL65" s="72"/>
      <c r="AM65" s="72"/>
      <c r="AN65" s="72"/>
      <c r="AO65" s="106"/>
      <c r="AP65" s="72"/>
      <c r="AQ65" s="72"/>
      <c r="AR65" s="72"/>
      <c r="AS65" s="72"/>
      <c r="AT65" s="106"/>
      <c r="AU65" s="106"/>
      <c r="AV65" s="106"/>
      <c r="AW65" s="106"/>
      <c r="AX65" s="106"/>
      <c r="AY65" s="106"/>
      <c r="AZ65" s="106"/>
      <c r="BA65" s="106"/>
      <c r="BB65" s="106"/>
      <c r="BC65" s="106"/>
      <c r="BD65" s="10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c r="CD65" s="36"/>
      <c r="CE65" s="36"/>
      <c r="CF65" s="36"/>
      <c r="CG65" s="36"/>
      <c r="CH65" s="36"/>
      <c r="CI65" s="36"/>
      <c r="CJ65" s="36"/>
      <c r="CK65" s="36"/>
      <c r="CL65" s="36"/>
      <c r="CM65" s="36"/>
      <c r="CN65" s="36"/>
      <c r="CO65" s="36">
        <v>38</v>
      </c>
      <c r="CP65" s="36">
        <v>36</v>
      </c>
      <c r="CQ65" s="36">
        <v>28</v>
      </c>
      <c r="CR65" s="36">
        <f>CQ65+CP65+CO65</f>
        <v>102</v>
      </c>
      <c r="CS65" s="36">
        <v>30</v>
      </c>
      <c r="CT65" s="36">
        <v>17</v>
      </c>
      <c r="CU65" s="36">
        <v>32</v>
      </c>
      <c r="CV65" s="36">
        <v>25</v>
      </c>
      <c r="CW65" s="72">
        <f>SUM(CS65:CV65)</f>
        <v>104</v>
      </c>
      <c r="CX65" s="36">
        <v>25</v>
      </c>
      <c r="CY65" s="36">
        <v>22</v>
      </c>
      <c r="CZ65" s="36">
        <v>32</v>
      </c>
      <c r="DA65" s="36">
        <v>20</v>
      </c>
      <c r="DB65" s="72">
        <f>SUM(CX65:DA65)</f>
        <v>99</v>
      </c>
      <c r="DC65" s="72">
        <v>29</v>
      </c>
      <c r="DD65" s="72">
        <v>16</v>
      </c>
      <c r="DE65" s="72">
        <v>27</v>
      </c>
      <c r="DF65" s="72">
        <v>23</v>
      </c>
      <c r="DG65" s="36">
        <f>SUM(DC65:DF65)</f>
        <v>95</v>
      </c>
      <c r="DH65" s="36">
        <f t="shared" ref="DH65:DK66" si="67">DC65*(1+DH68)</f>
        <v>29.87</v>
      </c>
      <c r="DI65" s="36">
        <f t="shared" si="67"/>
        <v>16.48</v>
      </c>
      <c r="DJ65" s="36">
        <f t="shared" si="67"/>
        <v>27.810000000000002</v>
      </c>
      <c r="DK65" s="36">
        <f t="shared" si="67"/>
        <v>23.69</v>
      </c>
      <c r="DL65" s="183">
        <f>SUM(DH65:DK65)</f>
        <v>97.85</v>
      </c>
      <c r="DM65" s="183">
        <f t="shared" ref="DM65:DP66" si="68">DL65*(1+DM68)</f>
        <v>100.7855</v>
      </c>
      <c r="DN65" s="183">
        <f t="shared" si="68"/>
        <v>103.809065</v>
      </c>
      <c r="DO65" s="183">
        <f t="shared" si="68"/>
        <v>106.92333695000001</v>
      </c>
      <c r="DP65" s="183">
        <f t="shared" si="68"/>
        <v>110.13103705850001</v>
      </c>
    </row>
    <row r="66" spans="1:120" x14ac:dyDescent="0.2">
      <c r="A66" s="65" t="s">
        <v>86</v>
      </c>
      <c r="B66" s="31"/>
      <c r="C66" s="31"/>
      <c r="D66" s="31"/>
      <c r="E66" s="31"/>
      <c r="F66" s="31"/>
      <c r="G66" s="69"/>
      <c r="H66" s="69"/>
      <c r="I66" s="69"/>
      <c r="J66" s="69"/>
      <c r="K66" s="69"/>
      <c r="L66" s="69"/>
      <c r="M66" s="69"/>
      <c r="N66" s="69"/>
      <c r="O66" s="69"/>
      <c r="P66" s="69"/>
      <c r="Q66" s="69"/>
      <c r="R66" s="69"/>
      <c r="S66" s="69"/>
      <c r="T66" s="69"/>
      <c r="U66" s="69"/>
      <c r="V66" s="72"/>
      <c r="W66" s="72"/>
      <c r="X66" s="72"/>
      <c r="Y66" s="72"/>
      <c r="Z66" s="72"/>
      <c r="AA66" s="72"/>
      <c r="AB66" s="72"/>
      <c r="AC66" s="72"/>
      <c r="AD66" s="72"/>
      <c r="AE66" s="106"/>
      <c r="AF66" s="72"/>
      <c r="AG66" s="72"/>
      <c r="AH66" s="72"/>
      <c r="AI66" s="72"/>
      <c r="AJ66" s="106"/>
      <c r="AK66" s="72"/>
      <c r="AL66" s="72"/>
      <c r="AM66" s="72"/>
      <c r="AN66" s="72"/>
      <c r="AO66" s="106"/>
      <c r="AP66" s="72"/>
      <c r="AQ66" s="72"/>
      <c r="AR66" s="72"/>
      <c r="AS66" s="72"/>
      <c r="AT66" s="106"/>
      <c r="AU66" s="106"/>
      <c r="AV66" s="106"/>
      <c r="AW66" s="106"/>
      <c r="AX66" s="106"/>
      <c r="AY66" s="106"/>
      <c r="AZ66" s="106"/>
      <c r="BA66" s="106"/>
      <c r="BB66" s="106"/>
      <c r="BC66" s="106"/>
      <c r="BD66" s="10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c r="CL66" s="36"/>
      <c r="CM66" s="36"/>
      <c r="CN66" s="36"/>
      <c r="CO66" s="36">
        <v>20</v>
      </c>
      <c r="CP66" s="36">
        <v>26</v>
      </c>
      <c r="CQ66" s="36">
        <v>43</v>
      </c>
      <c r="CR66" s="36">
        <f>CQ66+CP66+CO66</f>
        <v>89</v>
      </c>
      <c r="CS66" s="36">
        <v>30</v>
      </c>
      <c r="CT66" s="36">
        <v>11</v>
      </c>
      <c r="CU66" s="36">
        <v>19</v>
      </c>
      <c r="CV66" s="36">
        <v>7</v>
      </c>
      <c r="CW66" s="72">
        <f>SUM(CS66:CV66)</f>
        <v>67</v>
      </c>
      <c r="CX66" s="36">
        <v>9</v>
      </c>
      <c r="CY66" s="36">
        <v>34</v>
      </c>
      <c r="CZ66" s="36">
        <v>16</v>
      </c>
      <c r="DA66" s="36">
        <v>21</v>
      </c>
      <c r="DB66" s="72">
        <f>SUM(CX66:DA66)</f>
        <v>80</v>
      </c>
      <c r="DC66" s="72">
        <v>7</v>
      </c>
      <c r="DD66" s="72">
        <v>19</v>
      </c>
      <c r="DE66" s="72">
        <v>36</v>
      </c>
      <c r="DF66" s="72">
        <v>16</v>
      </c>
      <c r="DG66" s="36">
        <f>SUM(DC66:DF66)</f>
        <v>78</v>
      </c>
      <c r="DH66" s="36">
        <f t="shared" si="67"/>
        <v>7.3500000000000005</v>
      </c>
      <c r="DI66" s="36">
        <f t="shared" si="67"/>
        <v>19.95</v>
      </c>
      <c r="DJ66" s="36">
        <f t="shared" si="67"/>
        <v>37.800000000000004</v>
      </c>
      <c r="DK66" s="36">
        <f t="shared" si="67"/>
        <v>16.8</v>
      </c>
      <c r="DL66" s="183">
        <f>SUM(DH66:DK66)</f>
        <v>81.900000000000006</v>
      </c>
      <c r="DM66" s="183">
        <f t="shared" si="68"/>
        <v>85.176000000000002</v>
      </c>
      <c r="DN66" s="183">
        <f t="shared" si="68"/>
        <v>88.583040000000011</v>
      </c>
      <c r="DO66" s="183">
        <f t="shared" si="68"/>
        <v>92.12636160000001</v>
      </c>
      <c r="DP66" s="183">
        <f t="shared" si="68"/>
        <v>95.811416064000014</v>
      </c>
    </row>
    <row r="67" spans="1:120" x14ac:dyDescent="0.2">
      <c r="A67" s="104" t="s">
        <v>87</v>
      </c>
      <c r="B67" s="31"/>
      <c r="C67" s="31"/>
      <c r="D67" s="31"/>
      <c r="E67" s="31"/>
      <c r="F67" s="31"/>
      <c r="G67" s="69"/>
      <c r="H67" s="69"/>
      <c r="I67" s="69"/>
      <c r="J67" s="69"/>
      <c r="K67" s="69"/>
      <c r="L67" s="69"/>
      <c r="M67" s="69"/>
      <c r="N67" s="69"/>
      <c r="O67" s="69"/>
      <c r="P67" s="69"/>
      <c r="Q67" s="69"/>
      <c r="R67" s="69"/>
      <c r="S67" s="69"/>
      <c r="T67" s="69"/>
      <c r="U67" s="69"/>
      <c r="V67" s="72"/>
      <c r="W67" s="72"/>
      <c r="X67" s="72"/>
      <c r="Y67" s="72"/>
      <c r="Z67" s="72"/>
      <c r="AA67" s="72"/>
      <c r="AB67" s="72"/>
      <c r="AC67" s="72"/>
      <c r="AD67" s="72"/>
      <c r="AE67" s="74"/>
      <c r="AF67" s="72"/>
      <c r="AG67" s="72"/>
      <c r="AH67" s="72"/>
      <c r="AI67" s="72"/>
      <c r="AJ67" s="74"/>
      <c r="AK67" s="72"/>
      <c r="AL67" s="72"/>
      <c r="AM67" s="72"/>
      <c r="AN67" s="72"/>
      <c r="AO67" s="74"/>
      <c r="AP67" s="72"/>
      <c r="AQ67" s="72"/>
      <c r="AR67" s="72"/>
      <c r="AS67" s="72"/>
      <c r="AT67" s="74"/>
      <c r="AU67" s="74"/>
      <c r="AV67" s="74"/>
      <c r="AW67" s="74"/>
      <c r="AX67" s="74"/>
      <c r="AY67" s="74"/>
      <c r="AZ67" s="74"/>
      <c r="BA67" s="74"/>
      <c r="BB67" s="74"/>
      <c r="BC67" s="74"/>
      <c r="BD67" s="74"/>
      <c r="BE67" s="39"/>
      <c r="BF67" s="39"/>
      <c r="BG67" s="39"/>
      <c r="BH67" s="39"/>
      <c r="BI67" s="39"/>
      <c r="BJ67" s="39"/>
      <c r="BK67" s="39"/>
      <c r="BL67" s="39"/>
      <c r="BM67" s="39"/>
      <c r="BN67" s="39"/>
      <c r="BO67" s="39"/>
      <c r="BP67" s="39"/>
      <c r="BQ67" s="39"/>
      <c r="BR67" s="39"/>
      <c r="BS67" s="39"/>
      <c r="BT67" s="39"/>
      <c r="BU67" s="39"/>
      <c r="BV67" s="39"/>
      <c r="BW67" s="39"/>
      <c r="BX67" s="74"/>
      <c r="BY67" s="74"/>
      <c r="BZ67" s="74"/>
      <c r="CA67" s="74"/>
      <c r="CB67" s="74"/>
      <c r="CC67" s="74"/>
      <c r="CD67" s="74"/>
      <c r="CE67" s="74"/>
      <c r="CF67" s="74"/>
      <c r="CG67" s="74"/>
      <c r="CH67" s="74"/>
      <c r="CI67" s="74"/>
      <c r="CJ67" s="74"/>
      <c r="CK67" s="74"/>
      <c r="CL67" s="74"/>
      <c r="CM67" s="74"/>
      <c r="CN67" s="74"/>
      <c r="CO67" s="74">
        <f t="shared" ref="CO67:CU67" si="69">CO66+CO65</f>
        <v>58</v>
      </c>
      <c r="CP67" s="74">
        <f t="shared" si="69"/>
        <v>62</v>
      </c>
      <c r="CQ67" s="74">
        <f t="shared" si="69"/>
        <v>71</v>
      </c>
      <c r="CR67" s="74">
        <f t="shared" si="69"/>
        <v>191</v>
      </c>
      <c r="CS67" s="39">
        <f t="shared" si="69"/>
        <v>60</v>
      </c>
      <c r="CT67" s="39">
        <f t="shared" si="69"/>
        <v>28</v>
      </c>
      <c r="CU67" s="39">
        <f t="shared" si="69"/>
        <v>51</v>
      </c>
      <c r="CV67" s="39">
        <f>CV66+CV65-1</f>
        <v>31</v>
      </c>
      <c r="CW67" s="74">
        <f>SUM(CS67:CV67)</f>
        <v>170</v>
      </c>
      <c r="CX67" s="39">
        <f>SUM(CX65:CX66)</f>
        <v>34</v>
      </c>
      <c r="CY67" s="39">
        <f>SUM(CY65:CY66)</f>
        <v>56</v>
      </c>
      <c r="CZ67" s="39">
        <f>SUM(CZ65:CZ66)</f>
        <v>48</v>
      </c>
      <c r="DA67" s="39">
        <f>SUM(DA65:DA66)</f>
        <v>41</v>
      </c>
      <c r="DB67" s="74">
        <f>SUM(CX67:DA67)</f>
        <v>179</v>
      </c>
      <c r="DC67" s="74">
        <f>DC66+DC65</f>
        <v>36</v>
      </c>
      <c r="DD67" s="74">
        <f>DD66+DD65</f>
        <v>35</v>
      </c>
      <c r="DE67" s="74">
        <f>DE66+DE65</f>
        <v>63</v>
      </c>
      <c r="DF67" s="74">
        <f>DF66+DF65</f>
        <v>39</v>
      </c>
      <c r="DG67" s="74">
        <f>SUM(DC67:DF67)</f>
        <v>173</v>
      </c>
      <c r="DH67" s="74">
        <f>DH66+DH65</f>
        <v>37.22</v>
      </c>
      <c r="DI67" s="74">
        <f>DI66+DI65</f>
        <v>36.43</v>
      </c>
      <c r="DJ67" s="74">
        <f>DJ66+DJ65</f>
        <v>65.610000000000014</v>
      </c>
      <c r="DK67" s="74">
        <f>DK66+DK65</f>
        <v>40.49</v>
      </c>
      <c r="DL67" s="184">
        <f>SUM(DH67:DK67)</f>
        <v>179.75000000000003</v>
      </c>
      <c r="DM67" s="184">
        <f t="shared" ref="DM67:DP67" si="70">DM66+DM65</f>
        <v>185.9615</v>
      </c>
      <c r="DN67" s="184">
        <f t="shared" si="70"/>
        <v>192.39210500000002</v>
      </c>
      <c r="DO67" s="184">
        <f t="shared" si="70"/>
        <v>199.04969855000002</v>
      </c>
      <c r="DP67" s="184">
        <f t="shared" si="70"/>
        <v>205.94245312250001</v>
      </c>
    </row>
    <row r="68" spans="1:120" x14ac:dyDescent="0.2">
      <c r="A68" s="68" t="s">
        <v>54</v>
      </c>
      <c r="B68" s="31"/>
      <c r="C68" s="31"/>
      <c r="D68" s="31"/>
      <c r="E68" s="31"/>
      <c r="F68" s="31"/>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76"/>
      <c r="AV68" s="76"/>
      <c r="AW68" s="76"/>
      <c r="AX68" s="76"/>
      <c r="AY68" s="69"/>
      <c r="AZ68" s="76"/>
      <c r="BA68" s="76"/>
      <c r="BB68" s="76"/>
      <c r="BC68" s="76"/>
      <c r="BD68" s="69"/>
      <c r="BE68" s="76"/>
      <c r="BF68" s="76"/>
      <c r="BG68" s="76"/>
      <c r="BH68" s="76"/>
      <c r="BI68" s="90"/>
      <c r="BJ68" s="76"/>
      <c r="BK68" s="76"/>
      <c r="BL68" s="76"/>
      <c r="BM68" s="76"/>
      <c r="BN68" s="90"/>
      <c r="BO68" s="76"/>
      <c r="BP68" s="76"/>
      <c r="BQ68" s="76"/>
      <c r="BR68" s="76"/>
      <c r="BS68" s="90"/>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90"/>
      <c r="CT68" s="90">
        <f t="shared" ref="CT68:DI70" si="71">CT65/CO65-1</f>
        <v>-0.55263157894736836</v>
      </c>
      <c r="CU68" s="90">
        <f t="shared" si="71"/>
        <v>-0.11111111111111116</v>
      </c>
      <c r="CV68" s="90">
        <f t="shared" si="71"/>
        <v>-0.1071428571428571</v>
      </c>
      <c r="CW68" s="90">
        <f>CW65/CR65-1</f>
        <v>1.9607843137254832E-2</v>
      </c>
      <c r="CX68" s="90">
        <f t="shared" si="71"/>
        <v>-0.16666666666666663</v>
      </c>
      <c r="CY68" s="90">
        <f t="shared" si="71"/>
        <v>0.29411764705882359</v>
      </c>
      <c r="CZ68" s="90">
        <f t="shared" si="71"/>
        <v>0</v>
      </c>
      <c r="DA68" s="90">
        <f t="shared" si="71"/>
        <v>-0.19999999999999996</v>
      </c>
      <c r="DB68" s="76">
        <v>0.03</v>
      </c>
      <c r="DC68" s="90">
        <f t="shared" si="71"/>
        <v>0.15999999999999992</v>
      </c>
      <c r="DD68" s="90">
        <f t="shared" si="71"/>
        <v>-0.27272727272727271</v>
      </c>
      <c r="DE68" s="90">
        <f t="shared" si="71"/>
        <v>-0.15625</v>
      </c>
      <c r="DF68" s="90">
        <f t="shared" si="71"/>
        <v>0.14999999999999991</v>
      </c>
      <c r="DG68" s="76">
        <v>0.03</v>
      </c>
      <c r="DH68" s="76">
        <v>0.03</v>
      </c>
      <c r="DI68" s="76">
        <v>0.03</v>
      </c>
      <c r="DJ68" s="76">
        <v>0.03</v>
      </c>
      <c r="DK68" s="76">
        <v>0.03</v>
      </c>
      <c r="DL68" s="195">
        <v>0.03</v>
      </c>
      <c r="DM68" s="195">
        <v>0.03</v>
      </c>
      <c r="DN68" s="195">
        <v>0.03</v>
      </c>
      <c r="DO68" s="195">
        <v>0.03</v>
      </c>
      <c r="DP68" s="195">
        <v>0.03</v>
      </c>
    </row>
    <row r="69" spans="1:120" x14ac:dyDescent="0.2">
      <c r="A69" s="68" t="s">
        <v>55</v>
      </c>
      <c r="B69" s="31"/>
      <c r="C69" s="31"/>
      <c r="D69" s="31"/>
      <c r="E69" s="31"/>
      <c r="F69" s="31"/>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76"/>
      <c r="AV69" s="76"/>
      <c r="AW69" s="76"/>
      <c r="AX69" s="76"/>
      <c r="AY69" s="69"/>
      <c r="AZ69" s="76"/>
      <c r="BA69" s="76"/>
      <c r="BB69" s="76"/>
      <c r="BC69" s="76"/>
      <c r="BD69" s="69"/>
      <c r="BE69" s="76"/>
      <c r="BF69" s="76"/>
      <c r="BG69" s="76"/>
      <c r="BH69" s="76"/>
      <c r="BI69" s="90"/>
      <c r="BJ69" s="76"/>
      <c r="BK69" s="76"/>
      <c r="BL69" s="76"/>
      <c r="BM69" s="76"/>
      <c r="BN69" s="90"/>
      <c r="BO69" s="76"/>
      <c r="BP69" s="76"/>
      <c r="BQ69" s="76"/>
      <c r="BR69" s="76"/>
      <c r="BS69" s="90"/>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90"/>
      <c r="CT69" s="90">
        <f t="shared" si="71"/>
        <v>-0.44999999999999996</v>
      </c>
      <c r="CU69" s="90">
        <f t="shared" si="71"/>
        <v>-0.26923076923076927</v>
      </c>
      <c r="CV69" s="90">
        <f t="shared" si="71"/>
        <v>-0.83720930232558133</v>
      </c>
      <c r="CW69" s="90">
        <f>CW66/CR66-1</f>
        <v>-0.2471910112359551</v>
      </c>
      <c r="CX69" s="90">
        <f t="shared" si="71"/>
        <v>-0.7</v>
      </c>
      <c r="CY69" s="90">
        <f t="shared" si="71"/>
        <v>2.0909090909090908</v>
      </c>
      <c r="CZ69" s="90">
        <f t="shared" si="71"/>
        <v>-0.15789473684210531</v>
      </c>
      <c r="DA69" s="90">
        <f t="shared" si="71"/>
        <v>2</v>
      </c>
      <c r="DB69" s="76">
        <v>0.05</v>
      </c>
      <c r="DC69" s="90">
        <f t="shared" si="71"/>
        <v>-0.22222222222222221</v>
      </c>
      <c r="DD69" s="90">
        <f t="shared" si="71"/>
        <v>-0.44117647058823528</v>
      </c>
      <c r="DE69" s="90">
        <f t="shared" si="71"/>
        <v>1.25</v>
      </c>
      <c r="DF69" s="90">
        <f t="shared" si="71"/>
        <v>-0.23809523809523814</v>
      </c>
      <c r="DG69" s="76">
        <v>0.05</v>
      </c>
      <c r="DH69" s="76">
        <v>0.05</v>
      </c>
      <c r="DI69" s="76">
        <v>0.05</v>
      </c>
      <c r="DJ69" s="76">
        <v>0.05</v>
      </c>
      <c r="DK69" s="76">
        <v>0.05</v>
      </c>
      <c r="DL69" s="195">
        <v>0.05</v>
      </c>
      <c r="DM69" s="195">
        <v>0.04</v>
      </c>
      <c r="DN69" s="195">
        <v>0.04</v>
      </c>
      <c r="DO69" s="195">
        <v>0.04</v>
      </c>
      <c r="DP69" s="195">
        <v>0.04</v>
      </c>
    </row>
    <row r="70" spans="1:120" x14ac:dyDescent="0.2">
      <c r="A70" s="78" t="s">
        <v>56</v>
      </c>
      <c r="B70" s="79"/>
      <c r="C70" s="79"/>
      <c r="D70" s="79"/>
      <c r="E70" s="79"/>
      <c r="F70" s="79"/>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0"/>
      <c r="BH70" s="80"/>
      <c r="BI70" s="80"/>
      <c r="BJ70" s="80"/>
      <c r="BK70" s="91"/>
      <c r="BL70" s="91"/>
      <c r="BM70" s="91"/>
      <c r="BN70" s="80"/>
      <c r="BO70" s="80"/>
      <c r="BP70" s="91"/>
      <c r="BQ70" s="91"/>
      <c r="BR70" s="91"/>
      <c r="BS70" s="80"/>
      <c r="BT70" s="80"/>
      <c r="BU70" s="80"/>
      <c r="BV70" s="91"/>
      <c r="BW70" s="91"/>
      <c r="BX70" s="80"/>
      <c r="BY70" s="80"/>
      <c r="BZ70" s="80"/>
      <c r="CA70" s="80"/>
      <c r="CB70" s="80"/>
      <c r="CC70" s="80"/>
      <c r="CD70" s="80"/>
      <c r="CE70" s="80"/>
      <c r="CF70" s="80"/>
      <c r="CG70" s="80"/>
      <c r="CH70" s="80"/>
      <c r="CI70" s="80"/>
      <c r="CJ70" s="83"/>
      <c r="CK70" s="83"/>
      <c r="CL70" s="83"/>
      <c r="CM70" s="80"/>
      <c r="CN70" s="80"/>
      <c r="CO70" s="80"/>
      <c r="CP70" s="80"/>
      <c r="CQ70" s="80"/>
      <c r="CR70" s="80"/>
      <c r="CS70" s="80"/>
      <c r="CT70" s="80">
        <f t="shared" si="71"/>
        <v>-0.51724137931034475</v>
      </c>
      <c r="CU70" s="80">
        <f t="shared" si="71"/>
        <v>-0.17741935483870963</v>
      </c>
      <c r="CV70" s="80">
        <f t="shared" si="71"/>
        <v>-0.56338028169014087</v>
      </c>
      <c r="CW70" s="80">
        <f>CW67/CR67-1</f>
        <v>-0.10994764397905754</v>
      </c>
      <c r="CX70" s="80">
        <f t="shared" si="71"/>
        <v>-0.43333333333333335</v>
      </c>
      <c r="CY70" s="80">
        <f t="shared" si="71"/>
        <v>1</v>
      </c>
      <c r="CZ70" s="80">
        <f t="shared" si="71"/>
        <v>-5.8823529411764719E-2</v>
      </c>
      <c r="DA70" s="80">
        <f t="shared" si="71"/>
        <v>0.32258064516129026</v>
      </c>
      <c r="DB70" s="80">
        <f t="shared" si="71"/>
        <v>5.2941176470588269E-2</v>
      </c>
      <c r="DC70" s="80">
        <f t="shared" si="71"/>
        <v>5.8823529411764719E-2</v>
      </c>
      <c r="DD70" s="80">
        <f t="shared" si="71"/>
        <v>-0.375</v>
      </c>
      <c r="DE70" s="80">
        <f t="shared" si="71"/>
        <v>0.3125</v>
      </c>
      <c r="DF70" s="80">
        <f t="shared" si="71"/>
        <v>-4.8780487804878092E-2</v>
      </c>
      <c r="DG70" s="80">
        <f t="shared" si="71"/>
        <v>-3.3519553072625663E-2</v>
      </c>
      <c r="DH70" s="80">
        <f t="shared" si="71"/>
        <v>3.3888888888888857E-2</v>
      </c>
      <c r="DI70" s="80">
        <f t="shared" si="71"/>
        <v>4.0857142857142925E-2</v>
      </c>
      <c r="DJ70" s="80">
        <f t="shared" ref="DJ70:DL70" si="72">DJ67/DE67-1</f>
        <v>4.1428571428571592E-2</v>
      </c>
      <c r="DK70" s="80">
        <f t="shared" si="72"/>
        <v>3.8205128205128336E-2</v>
      </c>
      <c r="DL70" s="189">
        <f t="shared" si="72"/>
        <v>3.9017341040462616E-2</v>
      </c>
      <c r="DM70" s="189">
        <f t="shared" ref="DM70:DP70" si="73">DM67/DL67-1</f>
        <v>3.4556328233657618E-2</v>
      </c>
      <c r="DN70" s="189">
        <f t="shared" si="73"/>
        <v>3.4580302912162075E-2</v>
      </c>
      <c r="DO70" s="189">
        <f t="shared" si="73"/>
        <v>3.4604297042230447E-2</v>
      </c>
      <c r="DP70" s="189">
        <f t="shared" si="73"/>
        <v>3.4628309526269385E-2</v>
      </c>
    </row>
    <row r="71" spans="1:120" x14ac:dyDescent="0.2">
      <c r="A71" s="65" t="s">
        <v>88</v>
      </c>
      <c r="B71" s="31"/>
      <c r="C71" s="31"/>
      <c r="D71" s="31"/>
      <c r="E71" s="31"/>
      <c r="F71" s="30"/>
      <c r="G71" s="112"/>
      <c r="H71" s="112"/>
      <c r="I71" s="112"/>
      <c r="J71" s="112"/>
      <c r="K71" s="112"/>
      <c r="L71" s="112"/>
      <c r="M71" s="112"/>
      <c r="N71" s="112"/>
      <c r="O71" s="112"/>
      <c r="P71" s="112"/>
      <c r="Q71" s="112"/>
      <c r="R71" s="112"/>
      <c r="S71" s="112"/>
      <c r="T71" s="112"/>
      <c r="U71" s="112"/>
      <c r="V71" s="113"/>
      <c r="W71" s="113"/>
      <c r="X71" s="113"/>
      <c r="Y71" s="113"/>
      <c r="Z71" s="113"/>
      <c r="AA71" s="113"/>
      <c r="AB71" s="113"/>
      <c r="AC71" s="113"/>
      <c r="AD71" s="113">
        <v>27</v>
      </c>
      <c r="AE71" s="36">
        <f>AD71+AC71+AB71+AA71</f>
        <v>27</v>
      </c>
      <c r="AF71" s="71">
        <v>43</v>
      </c>
      <c r="AG71" s="71">
        <v>47</v>
      </c>
      <c r="AH71" s="71">
        <v>61</v>
      </c>
      <c r="AI71" s="71">
        <v>85</v>
      </c>
      <c r="AJ71" s="36">
        <f>AI71+AH71+AG71+AF71</f>
        <v>236</v>
      </c>
      <c r="AK71" s="71">
        <v>73</v>
      </c>
      <c r="AL71" s="71">
        <v>66</v>
      </c>
      <c r="AM71" s="71">
        <v>11</v>
      </c>
      <c r="AN71" s="71">
        <v>162</v>
      </c>
      <c r="AO71" s="36">
        <f>AN71+AM71+AL71+AK71</f>
        <v>312</v>
      </c>
      <c r="AP71" s="71">
        <v>75</v>
      </c>
      <c r="AQ71" s="71">
        <v>42</v>
      </c>
      <c r="AR71" s="71">
        <v>84</v>
      </c>
      <c r="AS71" s="71">
        <v>76</v>
      </c>
      <c r="AT71" s="36">
        <f>AS71+AR71+AQ71+AP71</f>
        <v>277</v>
      </c>
      <c r="AU71" s="36">
        <v>95</v>
      </c>
      <c r="AV71" s="36">
        <v>18</v>
      </c>
      <c r="AW71" s="36">
        <v>23</v>
      </c>
      <c r="AX71" s="36">
        <v>107</v>
      </c>
      <c r="AY71" s="36">
        <f>AX71+AW71+AV71+AU71</f>
        <v>243</v>
      </c>
      <c r="AZ71" s="36">
        <v>22</v>
      </c>
      <c r="BA71" s="36">
        <v>120</v>
      </c>
      <c r="BB71" s="36">
        <v>105</v>
      </c>
      <c r="BC71" s="36">
        <v>73</v>
      </c>
      <c r="BD71" s="36">
        <f>BC71+BB71+BA71+AZ71</f>
        <v>320</v>
      </c>
      <c r="BE71" s="36">
        <v>67</v>
      </c>
      <c r="BF71" s="36">
        <v>137</v>
      </c>
      <c r="BG71" s="36">
        <v>191</v>
      </c>
      <c r="BH71" s="36">
        <v>211</v>
      </c>
      <c r="BI71" s="36">
        <f>SUM(BE71:BH71)</f>
        <v>606</v>
      </c>
      <c r="BJ71" s="36">
        <v>152</v>
      </c>
      <c r="BK71" s="36">
        <v>122</v>
      </c>
      <c r="BL71" s="36">
        <v>169</v>
      </c>
      <c r="BM71" s="36">
        <v>210</v>
      </c>
      <c r="BN71" s="36">
        <f>SUM(BJ71:BM71)</f>
        <v>653</v>
      </c>
      <c r="BO71" s="36">
        <v>129</v>
      </c>
      <c r="BP71" s="36">
        <v>116</v>
      </c>
      <c r="BQ71" s="36">
        <v>149</v>
      </c>
      <c r="BR71" s="36">
        <v>225</v>
      </c>
      <c r="BS71" s="36">
        <f>SUM(BO71:BR71)</f>
        <v>619</v>
      </c>
      <c r="BT71" s="36">
        <v>151</v>
      </c>
      <c r="BU71" s="36">
        <v>107</v>
      </c>
      <c r="BV71" s="36">
        <v>145</v>
      </c>
      <c r="BW71" s="36">
        <v>190</v>
      </c>
      <c r="BX71" s="36">
        <f>SUM(BT71:BW71)</f>
        <v>593</v>
      </c>
      <c r="BY71" s="36">
        <v>109</v>
      </c>
      <c r="BZ71" s="36">
        <v>116</v>
      </c>
      <c r="CA71" s="36">
        <v>138</v>
      </c>
      <c r="CB71" s="36">
        <v>155</v>
      </c>
      <c r="CC71" s="36">
        <f>SUM(BY71:CB71)</f>
        <v>518</v>
      </c>
      <c r="CD71" s="36">
        <v>109</v>
      </c>
      <c r="CE71" s="36">
        <v>107</v>
      </c>
      <c r="CF71" s="36">
        <v>139</v>
      </c>
      <c r="CG71" s="36">
        <v>66</v>
      </c>
      <c r="CH71" s="36">
        <f>SUM(CD71:CG71)</f>
        <v>421</v>
      </c>
      <c r="CI71" s="36">
        <v>16</v>
      </c>
      <c r="CJ71" s="36">
        <v>1</v>
      </c>
      <c r="CK71" s="36">
        <v>-1</v>
      </c>
      <c r="CL71" s="36">
        <v>6</v>
      </c>
      <c r="CM71" s="36">
        <f>SUM(CI71:CL71)</f>
        <v>22</v>
      </c>
      <c r="CN71" s="36"/>
      <c r="CO71" s="36"/>
      <c r="CP71" s="36"/>
      <c r="CQ71" s="36"/>
      <c r="CR71" s="36"/>
      <c r="CS71" s="36"/>
      <c r="CT71" s="36"/>
      <c r="CU71" s="36"/>
      <c r="CV71" s="36"/>
      <c r="CW71" s="36"/>
      <c r="CX71" s="36"/>
      <c r="CY71" s="36"/>
      <c r="CZ71" s="36"/>
      <c r="DA71" s="36"/>
      <c r="DB71" s="36"/>
      <c r="DC71" s="36"/>
      <c r="DD71" s="36"/>
      <c r="DE71" s="36"/>
      <c r="DF71" s="36"/>
      <c r="DG71" s="36"/>
      <c r="DH71" s="36"/>
      <c r="DI71" s="36"/>
      <c r="DJ71" s="36"/>
      <c r="DK71" s="36"/>
      <c r="DL71" s="183"/>
      <c r="DM71" s="183"/>
      <c r="DN71" s="183"/>
      <c r="DO71" s="183"/>
      <c r="DP71" s="183"/>
    </row>
    <row r="72" spans="1:120" x14ac:dyDescent="0.2">
      <c r="A72" s="65" t="s">
        <v>89</v>
      </c>
      <c r="B72" s="31"/>
      <c r="C72" s="31"/>
      <c r="D72" s="31"/>
      <c r="E72" s="31"/>
      <c r="F72" s="31"/>
      <c r="G72" s="69"/>
      <c r="H72" s="69"/>
      <c r="I72" s="69"/>
      <c r="J72" s="69"/>
      <c r="K72" s="69"/>
      <c r="L72" s="69"/>
      <c r="M72" s="69"/>
      <c r="N72" s="69"/>
      <c r="O72" s="69"/>
      <c r="P72" s="69"/>
      <c r="Q72" s="69"/>
      <c r="R72" s="69"/>
      <c r="S72" s="69"/>
      <c r="T72" s="69"/>
      <c r="U72" s="69"/>
      <c r="V72" s="76"/>
      <c r="W72" s="76"/>
      <c r="X72" s="76"/>
      <c r="Y72" s="76"/>
      <c r="Z72" s="76"/>
      <c r="AA72" s="76"/>
      <c r="AB72" s="76"/>
      <c r="AC72" s="76"/>
      <c r="AD72" s="76"/>
      <c r="AE72" s="106">
        <f>AD72+AC72+AB72+AA72</f>
        <v>0</v>
      </c>
      <c r="AF72" s="76"/>
      <c r="AG72" s="76"/>
      <c r="AH72" s="76"/>
      <c r="AI72" s="76"/>
      <c r="AJ72" s="106">
        <f>AI72+AH72+AG72+AF72</f>
        <v>0</v>
      </c>
      <c r="AK72" s="76"/>
      <c r="AL72" s="76"/>
      <c r="AM72" s="76"/>
      <c r="AN72" s="76"/>
      <c r="AO72" s="106">
        <f>AN72+AM72+AL72+AK72</f>
        <v>0</v>
      </c>
      <c r="AP72" s="76"/>
      <c r="AQ72" s="76"/>
      <c r="AR72" s="76"/>
      <c r="AS72" s="76"/>
      <c r="AT72" s="106">
        <f>AS72+AR72+AQ72+AP72</f>
        <v>0</v>
      </c>
      <c r="AU72" s="106"/>
      <c r="AV72" s="106"/>
      <c r="AW72" s="106"/>
      <c r="AX72" s="106"/>
      <c r="AY72" s="106">
        <f>AX72+AW72+AV72+AU72</f>
        <v>0</v>
      </c>
      <c r="AZ72" s="106">
        <v>2</v>
      </c>
      <c r="BA72" s="106">
        <v>1</v>
      </c>
      <c r="BB72" s="106">
        <v>4</v>
      </c>
      <c r="BC72" s="106">
        <v>5</v>
      </c>
      <c r="BD72" s="106">
        <f>BC72+BB72+BA72+AZ72</f>
        <v>12</v>
      </c>
      <c r="BE72" s="106">
        <v>9</v>
      </c>
      <c r="BF72" s="106">
        <v>11</v>
      </c>
      <c r="BG72" s="106">
        <v>10</v>
      </c>
      <c r="BH72" s="106">
        <v>14</v>
      </c>
      <c r="BI72" s="36">
        <f>SUM(BE72:BH72)</f>
        <v>44</v>
      </c>
      <c r="BJ72" s="36">
        <v>16</v>
      </c>
      <c r="BK72" s="36">
        <v>19</v>
      </c>
      <c r="BL72" s="36">
        <v>16</v>
      </c>
      <c r="BM72" s="36">
        <v>54</v>
      </c>
      <c r="BN72" s="36">
        <f>SUM(BJ72:BM72)</f>
        <v>105</v>
      </c>
      <c r="BO72" s="36">
        <v>13</v>
      </c>
      <c r="BP72" s="36">
        <v>40</v>
      </c>
      <c r="BQ72" s="36">
        <v>32</v>
      </c>
      <c r="BR72" s="36">
        <v>60</v>
      </c>
      <c r="BS72" s="36">
        <f>SUM(BO72:BR72)</f>
        <v>145</v>
      </c>
      <c r="BT72" s="36">
        <v>24</v>
      </c>
      <c r="BU72" s="36">
        <v>43</v>
      </c>
      <c r="BV72" s="36">
        <v>34</v>
      </c>
      <c r="BW72" s="36">
        <v>56</v>
      </c>
      <c r="BX72" s="36">
        <f>SUM(BT72:BW72)</f>
        <v>157</v>
      </c>
      <c r="BY72" s="36">
        <v>16</v>
      </c>
      <c r="BZ72" s="36">
        <v>33</v>
      </c>
      <c r="CA72" s="36">
        <v>52</v>
      </c>
      <c r="CB72" s="36">
        <v>66</v>
      </c>
      <c r="CC72" s="36">
        <f>SUM(BY72:CB72)</f>
        <v>167</v>
      </c>
      <c r="CD72" s="36">
        <v>45</v>
      </c>
      <c r="CE72" s="36">
        <v>52</v>
      </c>
      <c r="CF72" s="36">
        <v>94</v>
      </c>
      <c r="CG72" s="36">
        <v>55</v>
      </c>
      <c r="CH72" s="36">
        <f>SUM(CD72:CG72)</f>
        <v>246</v>
      </c>
      <c r="CI72" s="36">
        <v>48</v>
      </c>
      <c r="CJ72" s="36">
        <v>43</v>
      </c>
      <c r="CK72" s="36">
        <v>56</v>
      </c>
      <c r="CL72" s="36">
        <v>48</v>
      </c>
      <c r="CM72" s="36">
        <f>SUM(CI72:CL72)</f>
        <v>195</v>
      </c>
      <c r="CN72" s="36"/>
      <c r="CO72" s="36"/>
      <c r="CP72" s="36"/>
      <c r="CQ72" s="36"/>
      <c r="CR72" s="36"/>
      <c r="CS72" s="36"/>
      <c r="CT72" s="36"/>
      <c r="CU72" s="36"/>
      <c r="CV72" s="36"/>
      <c r="CW72" s="36"/>
      <c r="CX72" s="36"/>
      <c r="CY72" s="36"/>
      <c r="CZ72" s="36"/>
      <c r="DA72" s="36"/>
      <c r="DB72" s="36"/>
      <c r="DC72" s="36"/>
      <c r="DD72" s="36"/>
      <c r="DE72" s="36"/>
      <c r="DF72" s="36"/>
      <c r="DG72" s="36"/>
      <c r="DH72" s="36"/>
      <c r="DI72" s="36"/>
      <c r="DJ72" s="36"/>
      <c r="DK72" s="36"/>
      <c r="DL72" s="183"/>
      <c r="DM72" s="183"/>
      <c r="DN72" s="183"/>
      <c r="DO72" s="183"/>
      <c r="DP72" s="183"/>
    </row>
    <row r="73" spans="1:120" x14ac:dyDescent="0.2">
      <c r="A73" s="104" t="s">
        <v>90</v>
      </c>
      <c r="B73" s="31"/>
      <c r="C73" s="31"/>
      <c r="D73" s="31"/>
      <c r="E73" s="31"/>
      <c r="F73" s="31"/>
      <c r="G73" s="69"/>
      <c r="H73" s="69"/>
      <c r="I73" s="69"/>
      <c r="J73" s="69"/>
      <c r="K73" s="69"/>
      <c r="L73" s="69"/>
      <c r="M73" s="69"/>
      <c r="N73" s="69"/>
      <c r="O73" s="69"/>
      <c r="P73" s="69"/>
      <c r="Q73" s="69"/>
      <c r="R73" s="69"/>
      <c r="S73" s="69"/>
      <c r="T73" s="69"/>
      <c r="U73" s="69"/>
      <c r="V73" s="72"/>
      <c r="W73" s="72"/>
      <c r="X73" s="72"/>
      <c r="Y73" s="72"/>
      <c r="Z73" s="72"/>
      <c r="AA73" s="72"/>
      <c r="AB73" s="72"/>
      <c r="AC73" s="72"/>
      <c r="AD73" s="72"/>
      <c r="AE73" s="74">
        <f>AE72+AE71</f>
        <v>27</v>
      </c>
      <c r="AF73" s="72"/>
      <c r="AG73" s="72"/>
      <c r="AH73" s="72"/>
      <c r="AI73" s="72"/>
      <c r="AJ73" s="74">
        <f>AJ72+AJ71</f>
        <v>236</v>
      </c>
      <c r="AK73" s="72"/>
      <c r="AL73" s="72"/>
      <c r="AM73" s="72"/>
      <c r="AN73" s="72"/>
      <c r="AO73" s="74">
        <f>AO72+AO71</f>
        <v>312</v>
      </c>
      <c r="AP73" s="72"/>
      <c r="AQ73" s="72"/>
      <c r="AR73" s="72"/>
      <c r="AS73" s="72"/>
      <c r="AT73" s="74">
        <f t="shared" ref="AT73:BD73" si="74">AT72+AT71</f>
        <v>277</v>
      </c>
      <c r="AU73" s="74">
        <f t="shared" si="74"/>
        <v>95</v>
      </c>
      <c r="AV73" s="74">
        <f t="shared" si="74"/>
        <v>18</v>
      </c>
      <c r="AW73" s="74">
        <f t="shared" si="74"/>
        <v>23</v>
      </c>
      <c r="AX73" s="74">
        <f t="shared" si="74"/>
        <v>107</v>
      </c>
      <c r="AY73" s="74">
        <f t="shared" si="74"/>
        <v>243</v>
      </c>
      <c r="AZ73" s="74">
        <f t="shared" si="74"/>
        <v>24</v>
      </c>
      <c r="BA73" s="74">
        <f t="shared" si="74"/>
        <v>121</v>
      </c>
      <c r="BB73" s="74">
        <f t="shared" si="74"/>
        <v>109</v>
      </c>
      <c r="BC73" s="74">
        <f t="shared" si="74"/>
        <v>78</v>
      </c>
      <c r="BD73" s="74">
        <f t="shared" si="74"/>
        <v>332</v>
      </c>
      <c r="BE73" s="39">
        <f>BE71+BE72</f>
        <v>76</v>
      </c>
      <c r="BF73" s="39">
        <f>BF71+BF72</f>
        <v>148</v>
      </c>
      <c r="BG73" s="39">
        <f>BG71+BG72</f>
        <v>201</v>
      </c>
      <c r="BH73" s="39">
        <f>BH71+BH72</f>
        <v>225</v>
      </c>
      <c r="BI73" s="39">
        <f t="shared" ref="BI73:CM73" si="75">BI72+BI71</f>
        <v>650</v>
      </c>
      <c r="BJ73" s="39">
        <f t="shared" si="75"/>
        <v>168</v>
      </c>
      <c r="BK73" s="39">
        <f t="shared" si="75"/>
        <v>141</v>
      </c>
      <c r="BL73" s="39">
        <f t="shared" si="75"/>
        <v>185</v>
      </c>
      <c r="BM73" s="39">
        <f t="shared" si="75"/>
        <v>264</v>
      </c>
      <c r="BN73" s="39">
        <f t="shared" si="75"/>
        <v>758</v>
      </c>
      <c r="BO73" s="39">
        <f t="shared" si="75"/>
        <v>142</v>
      </c>
      <c r="BP73" s="39">
        <f t="shared" si="75"/>
        <v>156</v>
      </c>
      <c r="BQ73" s="39">
        <f t="shared" si="75"/>
        <v>181</v>
      </c>
      <c r="BR73" s="39">
        <f t="shared" si="75"/>
        <v>285</v>
      </c>
      <c r="BS73" s="39">
        <f t="shared" si="75"/>
        <v>764</v>
      </c>
      <c r="BT73" s="39">
        <f t="shared" si="75"/>
        <v>175</v>
      </c>
      <c r="BU73" s="39">
        <f t="shared" si="75"/>
        <v>150</v>
      </c>
      <c r="BV73" s="39">
        <f t="shared" si="75"/>
        <v>179</v>
      </c>
      <c r="BW73" s="39">
        <f t="shared" si="75"/>
        <v>246</v>
      </c>
      <c r="BX73" s="74">
        <f t="shared" si="75"/>
        <v>750</v>
      </c>
      <c r="BY73" s="74">
        <f t="shared" si="75"/>
        <v>125</v>
      </c>
      <c r="BZ73" s="74">
        <f t="shared" si="75"/>
        <v>149</v>
      </c>
      <c r="CA73" s="74">
        <f t="shared" si="75"/>
        <v>190</v>
      </c>
      <c r="CB73" s="74">
        <f t="shared" si="75"/>
        <v>221</v>
      </c>
      <c r="CC73" s="74">
        <f t="shared" si="75"/>
        <v>685</v>
      </c>
      <c r="CD73" s="74">
        <f t="shared" si="75"/>
        <v>154</v>
      </c>
      <c r="CE73" s="74">
        <f t="shared" si="75"/>
        <v>159</v>
      </c>
      <c r="CF73" s="74">
        <f>CF72+CF71</f>
        <v>233</v>
      </c>
      <c r="CG73" s="74">
        <f t="shared" si="75"/>
        <v>121</v>
      </c>
      <c r="CH73" s="74">
        <f t="shared" si="75"/>
        <v>667</v>
      </c>
      <c r="CI73" s="74">
        <f t="shared" si="75"/>
        <v>64</v>
      </c>
      <c r="CJ73" s="74">
        <f t="shared" si="75"/>
        <v>44</v>
      </c>
      <c r="CK73" s="74">
        <f t="shared" si="75"/>
        <v>55</v>
      </c>
      <c r="CL73" s="74">
        <f t="shared" si="75"/>
        <v>54</v>
      </c>
      <c r="CM73" s="74">
        <f t="shared" si="75"/>
        <v>217</v>
      </c>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184"/>
      <c r="DM73" s="184"/>
      <c r="DN73" s="184"/>
      <c r="DO73" s="184"/>
      <c r="DP73" s="184"/>
    </row>
    <row r="74" spans="1:120" x14ac:dyDescent="0.2">
      <c r="A74" s="68" t="s">
        <v>54</v>
      </c>
      <c r="B74" s="31"/>
      <c r="C74" s="31"/>
      <c r="D74" s="31"/>
      <c r="E74" s="31"/>
      <c r="F74" s="31"/>
      <c r="G74" s="69"/>
      <c r="H74" s="69"/>
      <c r="I74" s="69"/>
      <c r="J74" s="69"/>
      <c r="K74" s="69"/>
      <c r="L74" s="69"/>
      <c r="M74" s="69"/>
      <c r="N74" s="69"/>
      <c r="O74" s="69"/>
      <c r="P74" s="69"/>
      <c r="Q74" s="69"/>
      <c r="R74" s="69"/>
      <c r="S74" s="69"/>
      <c r="T74" s="69"/>
      <c r="U74" s="69"/>
      <c r="V74" s="69"/>
      <c r="W74" s="69"/>
      <c r="X74" s="69"/>
      <c r="Y74" s="69"/>
      <c r="Z74" s="69"/>
      <c r="AA74" s="69"/>
      <c r="AB74" s="69"/>
      <c r="AC74" s="69"/>
      <c r="AD74" s="69"/>
      <c r="AE74" s="75" t="e">
        <f t="shared" ref="AE74:CL76" si="76">AE71/Z71-1</f>
        <v>#DIV/0!</v>
      </c>
      <c r="AF74" s="76" t="e">
        <f t="shared" si="76"/>
        <v>#DIV/0!</v>
      </c>
      <c r="AG74" s="76" t="e">
        <f t="shared" si="76"/>
        <v>#DIV/0!</v>
      </c>
      <c r="AH74" s="111" t="e">
        <f t="shared" si="76"/>
        <v>#DIV/0!</v>
      </c>
      <c r="AI74" s="111">
        <f t="shared" si="76"/>
        <v>2.1481481481481484</v>
      </c>
      <c r="AJ74" s="75">
        <f t="shared" si="76"/>
        <v>7.7407407407407405</v>
      </c>
      <c r="AK74" s="76">
        <f t="shared" si="76"/>
        <v>0.69767441860465107</v>
      </c>
      <c r="AL74" s="76">
        <f t="shared" si="76"/>
        <v>0.4042553191489362</v>
      </c>
      <c r="AM74" s="111">
        <f t="shared" si="76"/>
        <v>-0.81967213114754101</v>
      </c>
      <c r="AN74" s="111">
        <f t="shared" si="76"/>
        <v>0.90588235294117636</v>
      </c>
      <c r="AO74" s="75">
        <f t="shared" si="76"/>
        <v>0.32203389830508478</v>
      </c>
      <c r="AP74" s="76">
        <f t="shared" si="76"/>
        <v>2.7397260273972712E-2</v>
      </c>
      <c r="AQ74" s="76">
        <f t="shared" si="76"/>
        <v>-0.36363636363636365</v>
      </c>
      <c r="AR74" s="111">
        <f t="shared" si="76"/>
        <v>6.6363636363636367</v>
      </c>
      <c r="AS74" s="111">
        <f t="shared" si="76"/>
        <v>-0.53086419753086422</v>
      </c>
      <c r="AT74" s="75">
        <f t="shared" si="76"/>
        <v>-0.11217948717948723</v>
      </c>
      <c r="AU74" s="76">
        <f t="shared" si="76"/>
        <v>0.26666666666666661</v>
      </c>
      <c r="AV74" s="76">
        <f t="shared" si="76"/>
        <v>-0.5714285714285714</v>
      </c>
      <c r="AW74" s="111">
        <f t="shared" si="76"/>
        <v>-0.72619047619047616</v>
      </c>
      <c r="AX74" s="111">
        <f t="shared" si="76"/>
        <v>0.40789473684210531</v>
      </c>
      <c r="AY74" s="75">
        <f t="shared" si="76"/>
        <v>-0.12274368231046928</v>
      </c>
      <c r="AZ74" s="76">
        <f t="shared" si="76"/>
        <v>-0.76842105263157889</v>
      </c>
      <c r="BA74" s="76">
        <f t="shared" si="76"/>
        <v>5.666666666666667</v>
      </c>
      <c r="BB74" s="111">
        <f t="shared" si="76"/>
        <v>3.5652173913043477</v>
      </c>
      <c r="BC74" s="111">
        <f t="shared" si="76"/>
        <v>-0.31775700934579443</v>
      </c>
      <c r="BD74" s="75">
        <f t="shared" si="76"/>
        <v>0.3168724279835391</v>
      </c>
      <c r="BE74" s="76">
        <f t="shared" si="76"/>
        <v>2.0454545454545454</v>
      </c>
      <c r="BF74" s="76">
        <f t="shared" si="76"/>
        <v>0.14166666666666661</v>
      </c>
      <c r="BG74" s="111">
        <f t="shared" si="76"/>
        <v>0.81904761904761902</v>
      </c>
      <c r="BH74" s="111">
        <f t="shared" si="76"/>
        <v>1.8904109589041096</v>
      </c>
      <c r="BI74" s="75">
        <f t="shared" si="76"/>
        <v>0.89375000000000004</v>
      </c>
      <c r="BJ74" s="76">
        <f t="shared" si="76"/>
        <v>1.2686567164179103</v>
      </c>
      <c r="BK74" s="76">
        <f t="shared" si="76"/>
        <v>-0.10948905109489049</v>
      </c>
      <c r="BL74" s="111">
        <f t="shared" si="76"/>
        <v>-0.11518324607329844</v>
      </c>
      <c r="BM74" s="111">
        <f t="shared" si="76"/>
        <v>-4.7393364928910442E-3</v>
      </c>
      <c r="BN74" s="75">
        <f t="shared" si="76"/>
        <v>7.7557755775577553E-2</v>
      </c>
      <c r="BO74" s="76">
        <f t="shared" si="76"/>
        <v>-0.15131578947368418</v>
      </c>
      <c r="BP74" s="76">
        <f t="shared" si="76"/>
        <v>-4.9180327868852514E-2</v>
      </c>
      <c r="BQ74" s="111">
        <f t="shared" si="76"/>
        <v>-0.11834319526627224</v>
      </c>
      <c r="BR74" s="111">
        <f t="shared" si="76"/>
        <v>7.1428571428571397E-2</v>
      </c>
      <c r="BS74" s="75">
        <f t="shared" si="76"/>
        <v>-5.2067381316998507E-2</v>
      </c>
      <c r="BT74" s="76">
        <f t="shared" si="76"/>
        <v>0.17054263565891481</v>
      </c>
      <c r="BU74" s="76">
        <f t="shared" si="76"/>
        <v>-7.7586206896551713E-2</v>
      </c>
      <c r="BV74" s="111">
        <f t="shared" si="76"/>
        <v>-2.6845637583892579E-2</v>
      </c>
      <c r="BW74" s="111">
        <f t="shared" si="76"/>
        <v>-0.15555555555555556</v>
      </c>
      <c r="BX74" s="75">
        <f t="shared" si="76"/>
        <v>-4.2003231017770593E-2</v>
      </c>
      <c r="BY74" s="76">
        <f t="shared" si="76"/>
        <v>-0.27814569536423839</v>
      </c>
      <c r="BZ74" s="76">
        <f t="shared" si="76"/>
        <v>8.4112149532710179E-2</v>
      </c>
      <c r="CA74" s="111">
        <f t="shared" si="76"/>
        <v>-4.8275862068965503E-2</v>
      </c>
      <c r="CB74" s="111">
        <f t="shared" si="76"/>
        <v>-0.18421052631578949</v>
      </c>
      <c r="CC74" s="75">
        <f t="shared" si="76"/>
        <v>-0.12647554806070826</v>
      </c>
      <c r="CD74" s="76">
        <f t="shared" si="76"/>
        <v>0</v>
      </c>
      <c r="CE74" s="76">
        <f t="shared" si="76"/>
        <v>-7.7586206896551713E-2</v>
      </c>
      <c r="CF74" s="111">
        <f t="shared" si="76"/>
        <v>7.2463768115942351E-3</v>
      </c>
      <c r="CG74" s="111">
        <f t="shared" si="76"/>
        <v>-0.5741935483870968</v>
      </c>
      <c r="CH74" s="75">
        <f t="shared" si="76"/>
        <v>-0.18725868725868722</v>
      </c>
      <c r="CI74" s="76">
        <f t="shared" si="76"/>
        <v>-0.85321100917431192</v>
      </c>
      <c r="CJ74" s="76">
        <f t="shared" si="76"/>
        <v>-0.99065420560747663</v>
      </c>
      <c r="CK74" s="76">
        <f t="shared" si="76"/>
        <v>-1.0071942446043165</v>
      </c>
      <c r="CL74" s="76">
        <f t="shared" si="76"/>
        <v>-0.90909090909090906</v>
      </c>
      <c r="CM74" s="76">
        <f>CM71/CH71-1</f>
        <v>-0.94774346793349173</v>
      </c>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195"/>
      <c r="DM74" s="195"/>
      <c r="DN74" s="195"/>
      <c r="DO74" s="195"/>
      <c r="DP74" s="195"/>
    </row>
    <row r="75" spans="1:120" x14ac:dyDescent="0.2">
      <c r="A75" s="68" t="s">
        <v>55</v>
      </c>
      <c r="B75" s="31"/>
      <c r="C75" s="31"/>
      <c r="D75" s="31"/>
      <c r="E75" s="31"/>
      <c r="F75" s="31"/>
      <c r="G75" s="69"/>
      <c r="H75" s="69"/>
      <c r="I75" s="69"/>
      <c r="J75" s="69"/>
      <c r="K75" s="69"/>
      <c r="L75" s="69"/>
      <c r="M75" s="69"/>
      <c r="N75" s="69"/>
      <c r="O75" s="69"/>
      <c r="P75" s="69"/>
      <c r="Q75" s="69"/>
      <c r="R75" s="69"/>
      <c r="S75" s="69"/>
      <c r="T75" s="69"/>
      <c r="U75" s="69"/>
      <c r="V75" s="69"/>
      <c r="W75" s="69"/>
      <c r="X75" s="69"/>
      <c r="Y75" s="69"/>
      <c r="Z75" s="69"/>
      <c r="AA75" s="69"/>
      <c r="AB75" s="69"/>
      <c r="AC75" s="69"/>
      <c r="AD75" s="69"/>
      <c r="AE75" s="75" t="e">
        <f t="shared" si="76"/>
        <v>#DIV/0!</v>
      </c>
      <c r="AF75" s="76" t="e">
        <f t="shared" si="76"/>
        <v>#DIV/0!</v>
      </c>
      <c r="AG75" s="76" t="e">
        <f t="shared" si="76"/>
        <v>#DIV/0!</v>
      </c>
      <c r="AH75" s="111" t="e">
        <f t="shared" si="76"/>
        <v>#DIV/0!</v>
      </c>
      <c r="AI75" s="111" t="e">
        <f t="shared" si="76"/>
        <v>#DIV/0!</v>
      </c>
      <c r="AJ75" s="75" t="e">
        <f t="shared" si="76"/>
        <v>#DIV/0!</v>
      </c>
      <c r="AK75" s="76" t="e">
        <f t="shared" si="76"/>
        <v>#DIV/0!</v>
      </c>
      <c r="AL75" s="76" t="e">
        <f t="shared" si="76"/>
        <v>#DIV/0!</v>
      </c>
      <c r="AM75" s="111" t="e">
        <f t="shared" si="76"/>
        <v>#DIV/0!</v>
      </c>
      <c r="AN75" s="111" t="e">
        <f t="shared" si="76"/>
        <v>#DIV/0!</v>
      </c>
      <c r="AO75" s="75" t="e">
        <f t="shared" si="76"/>
        <v>#DIV/0!</v>
      </c>
      <c r="AP75" s="76" t="e">
        <f t="shared" si="76"/>
        <v>#DIV/0!</v>
      </c>
      <c r="AQ75" s="76" t="e">
        <f t="shared" si="76"/>
        <v>#DIV/0!</v>
      </c>
      <c r="AR75" s="111" t="e">
        <f t="shared" si="76"/>
        <v>#DIV/0!</v>
      </c>
      <c r="AS75" s="111" t="e">
        <f t="shared" si="76"/>
        <v>#DIV/0!</v>
      </c>
      <c r="AT75" s="75" t="e">
        <f t="shared" si="76"/>
        <v>#DIV/0!</v>
      </c>
      <c r="AU75" s="76" t="e">
        <f t="shared" si="76"/>
        <v>#DIV/0!</v>
      </c>
      <c r="AV75" s="76" t="e">
        <f t="shared" si="76"/>
        <v>#DIV/0!</v>
      </c>
      <c r="AW75" s="111" t="e">
        <f t="shared" si="76"/>
        <v>#DIV/0!</v>
      </c>
      <c r="AX75" s="111" t="e">
        <f t="shared" si="76"/>
        <v>#DIV/0!</v>
      </c>
      <c r="AY75" s="75" t="e">
        <f t="shared" si="76"/>
        <v>#DIV/0!</v>
      </c>
      <c r="AZ75" s="76" t="e">
        <f t="shared" si="76"/>
        <v>#DIV/0!</v>
      </c>
      <c r="BA75" s="76" t="e">
        <f t="shared" si="76"/>
        <v>#DIV/0!</v>
      </c>
      <c r="BB75" s="111" t="e">
        <f t="shared" si="76"/>
        <v>#DIV/0!</v>
      </c>
      <c r="BC75" s="111" t="e">
        <f t="shared" si="76"/>
        <v>#DIV/0!</v>
      </c>
      <c r="BD75" s="75" t="e">
        <f t="shared" si="76"/>
        <v>#DIV/0!</v>
      </c>
      <c r="BE75" s="76">
        <f t="shared" si="76"/>
        <v>3.5</v>
      </c>
      <c r="BF75" s="76">
        <f t="shared" si="76"/>
        <v>10</v>
      </c>
      <c r="BG75" s="111">
        <f t="shared" si="76"/>
        <v>1.5</v>
      </c>
      <c r="BH75" s="111">
        <f t="shared" si="76"/>
        <v>1.7999999999999998</v>
      </c>
      <c r="BI75" s="75">
        <f t="shared" si="76"/>
        <v>2.6666666666666665</v>
      </c>
      <c r="BJ75" s="76">
        <f t="shared" si="76"/>
        <v>0.77777777777777768</v>
      </c>
      <c r="BK75" s="76">
        <f t="shared" si="76"/>
        <v>0.72727272727272729</v>
      </c>
      <c r="BL75" s="111">
        <f t="shared" si="76"/>
        <v>0.60000000000000009</v>
      </c>
      <c r="BM75" s="111">
        <f t="shared" si="76"/>
        <v>2.8571428571428572</v>
      </c>
      <c r="BN75" s="75">
        <f t="shared" si="76"/>
        <v>1.3863636363636362</v>
      </c>
      <c r="BO75" s="76">
        <f t="shared" si="76"/>
        <v>-0.1875</v>
      </c>
      <c r="BP75" s="76">
        <f t="shared" si="76"/>
        <v>1.1052631578947367</v>
      </c>
      <c r="BQ75" s="111">
        <f t="shared" si="76"/>
        <v>1</v>
      </c>
      <c r="BR75" s="111">
        <f t="shared" si="76"/>
        <v>0.11111111111111116</v>
      </c>
      <c r="BS75" s="75">
        <f t="shared" si="76"/>
        <v>0.38095238095238093</v>
      </c>
      <c r="BT75" s="76">
        <f t="shared" si="76"/>
        <v>0.84615384615384626</v>
      </c>
      <c r="BU75" s="76">
        <f t="shared" si="76"/>
        <v>7.4999999999999956E-2</v>
      </c>
      <c r="BV75" s="111">
        <f t="shared" si="76"/>
        <v>6.25E-2</v>
      </c>
      <c r="BW75" s="111">
        <f t="shared" si="76"/>
        <v>-6.6666666666666652E-2</v>
      </c>
      <c r="BX75" s="75">
        <f t="shared" si="76"/>
        <v>8.2758620689655116E-2</v>
      </c>
      <c r="BY75" s="76">
        <f t="shared" si="76"/>
        <v>-0.33333333333333337</v>
      </c>
      <c r="BZ75" s="76">
        <f t="shared" si="76"/>
        <v>-0.23255813953488369</v>
      </c>
      <c r="CA75" s="111">
        <f t="shared" si="76"/>
        <v>0.52941176470588225</v>
      </c>
      <c r="CB75" s="111">
        <f t="shared" si="76"/>
        <v>0.1785714285714286</v>
      </c>
      <c r="CC75" s="75">
        <f t="shared" si="76"/>
        <v>6.3694267515923553E-2</v>
      </c>
      <c r="CD75" s="76">
        <f t="shared" si="76"/>
        <v>1.8125</v>
      </c>
      <c r="CE75" s="76">
        <f t="shared" si="76"/>
        <v>0.57575757575757569</v>
      </c>
      <c r="CF75" s="111">
        <f t="shared" si="76"/>
        <v>0.80769230769230771</v>
      </c>
      <c r="CG75" s="111">
        <f t="shared" si="76"/>
        <v>-0.16666666666666663</v>
      </c>
      <c r="CH75" s="75">
        <f t="shared" si="76"/>
        <v>0.47305389221556893</v>
      </c>
      <c r="CI75" s="76">
        <f t="shared" si="76"/>
        <v>6.6666666666666652E-2</v>
      </c>
      <c r="CJ75" s="76">
        <f t="shared" si="76"/>
        <v>-0.17307692307692313</v>
      </c>
      <c r="CK75" s="76">
        <f t="shared" si="76"/>
        <v>-0.4042553191489362</v>
      </c>
      <c r="CL75" s="76">
        <f t="shared" si="76"/>
        <v>-0.12727272727272732</v>
      </c>
      <c r="CM75" s="76">
        <f>CM72/CH72-1</f>
        <v>-0.20731707317073167</v>
      </c>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195"/>
      <c r="DM75" s="195"/>
      <c r="DN75" s="195"/>
      <c r="DO75" s="195"/>
      <c r="DP75" s="195"/>
    </row>
    <row r="76" spans="1:120" x14ac:dyDescent="0.2">
      <c r="A76" s="78" t="s">
        <v>56</v>
      </c>
      <c r="B76" s="79"/>
      <c r="C76" s="79"/>
      <c r="D76" s="79"/>
      <c r="E76" s="79"/>
      <c r="F76" s="79"/>
      <c r="G76" s="80"/>
      <c r="H76" s="80"/>
      <c r="I76" s="80"/>
      <c r="J76" s="80"/>
      <c r="K76" s="80"/>
      <c r="L76" s="80"/>
      <c r="M76" s="80"/>
      <c r="N76" s="80"/>
      <c r="O76" s="80"/>
      <c r="P76" s="80"/>
      <c r="Q76" s="80"/>
      <c r="R76" s="80"/>
      <c r="S76" s="80"/>
      <c r="T76" s="80"/>
      <c r="U76" s="80"/>
      <c r="V76" s="80"/>
      <c r="W76" s="80"/>
      <c r="X76" s="80"/>
      <c r="Y76" s="80"/>
      <c r="Z76" s="80"/>
      <c r="AA76" s="80"/>
      <c r="AB76" s="80"/>
      <c r="AC76" s="80"/>
      <c r="AD76" s="80"/>
      <c r="AE76" s="83" t="e">
        <f t="shared" si="76"/>
        <v>#DIV/0!</v>
      </c>
      <c r="AF76" s="83" t="e">
        <f t="shared" si="76"/>
        <v>#DIV/0!</v>
      </c>
      <c r="AG76" s="83" t="e">
        <f t="shared" si="76"/>
        <v>#DIV/0!</v>
      </c>
      <c r="AH76" s="102" t="e">
        <f t="shared" si="76"/>
        <v>#DIV/0!</v>
      </c>
      <c r="AI76" s="102" t="e">
        <f t="shared" si="76"/>
        <v>#DIV/0!</v>
      </c>
      <c r="AJ76" s="83">
        <f t="shared" si="76"/>
        <v>7.7407407407407405</v>
      </c>
      <c r="AK76" s="83" t="e">
        <f t="shared" si="76"/>
        <v>#DIV/0!</v>
      </c>
      <c r="AL76" s="83" t="e">
        <f t="shared" si="76"/>
        <v>#DIV/0!</v>
      </c>
      <c r="AM76" s="102" t="e">
        <f t="shared" si="76"/>
        <v>#DIV/0!</v>
      </c>
      <c r="AN76" s="102" t="e">
        <f t="shared" si="76"/>
        <v>#DIV/0!</v>
      </c>
      <c r="AO76" s="83">
        <f t="shared" si="76"/>
        <v>0.32203389830508478</v>
      </c>
      <c r="AP76" s="83" t="e">
        <f t="shared" si="76"/>
        <v>#DIV/0!</v>
      </c>
      <c r="AQ76" s="83" t="e">
        <f t="shared" si="76"/>
        <v>#DIV/0!</v>
      </c>
      <c r="AR76" s="102" t="e">
        <f t="shared" si="76"/>
        <v>#DIV/0!</v>
      </c>
      <c r="AS76" s="102" t="e">
        <f t="shared" si="76"/>
        <v>#DIV/0!</v>
      </c>
      <c r="AT76" s="83">
        <f t="shared" si="76"/>
        <v>-0.11217948717948723</v>
      </c>
      <c r="AU76" s="83" t="e">
        <f t="shared" si="76"/>
        <v>#DIV/0!</v>
      </c>
      <c r="AV76" s="83" t="e">
        <f t="shared" si="76"/>
        <v>#DIV/0!</v>
      </c>
      <c r="AW76" s="102" t="e">
        <f t="shared" si="76"/>
        <v>#DIV/0!</v>
      </c>
      <c r="AX76" s="102" t="e">
        <f t="shared" si="76"/>
        <v>#DIV/0!</v>
      </c>
      <c r="AY76" s="83">
        <f t="shared" si="76"/>
        <v>-0.12274368231046928</v>
      </c>
      <c r="AZ76" s="83">
        <f t="shared" si="76"/>
        <v>-0.74736842105263157</v>
      </c>
      <c r="BA76" s="83">
        <f t="shared" si="76"/>
        <v>5.7222222222222223</v>
      </c>
      <c r="BB76" s="102">
        <f t="shared" si="76"/>
        <v>3.7391304347826084</v>
      </c>
      <c r="BC76" s="102">
        <f t="shared" si="76"/>
        <v>-0.2710280373831776</v>
      </c>
      <c r="BD76" s="83">
        <f t="shared" si="76"/>
        <v>0.36625514403292181</v>
      </c>
      <c r="BE76" s="83">
        <f t="shared" si="76"/>
        <v>2.1666666666666665</v>
      </c>
      <c r="BF76" s="83">
        <f t="shared" si="76"/>
        <v>0.22314049586776852</v>
      </c>
      <c r="BG76" s="102">
        <f t="shared" si="76"/>
        <v>0.84403669724770647</v>
      </c>
      <c r="BH76" s="102">
        <f t="shared" si="76"/>
        <v>1.8846153846153846</v>
      </c>
      <c r="BI76" s="83">
        <f t="shared" si="76"/>
        <v>0.95783132530120474</v>
      </c>
      <c r="BJ76" s="83">
        <f t="shared" si="76"/>
        <v>1.2105263157894739</v>
      </c>
      <c r="BK76" s="83">
        <f t="shared" si="76"/>
        <v>-4.7297297297297258E-2</v>
      </c>
      <c r="BL76" s="102">
        <f t="shared" si="76"/>
        <v>-7.9601990049751215E-2</v>
      </c>
      <c r="BM76" s="102">
        <f t="shared" si="76"/>
        <v>0.17333333333333334</v>
      </c>
      <c r="BN76" s="83">
        <f t="shared" si="76"/>
        <v>0.1661538461538461</v>
      </c>
      <c r="BO76" s="83">
        <f t="shared" si="76"/>
        <v>-0.15476190476190477</v>
      </c>
      <c r="BP76" s="83">
        <f t="shared" si="76"/>
        <v>0.1063829787234043</v>
      </c>
      <c r="BQ76" s="102">
        <f t="shared" si="76"/>
        <v>-2.1621621621621623E-2</v>
      </c>
      <c r="BR76" s="102">
        <f t="shared" si="76"/>
        <v>7.9545454545454586E-2</v>
      </c>
      <c r="BS76" s="83">
        <f t="shared" si="76"/>
        <v>7.9155672823219003E-3</v>
      </c>
      <c r="BT76" s="83">
        <f t="shared" si="76"/>
        <v>0.23239436619718301</v>
      </c>
      <c r="BU76" s="83">
        <f t="shared" si="76"/>
        <v>-3.8461538461538436E-2</v>
      </c>
      <c r="BV76" s="102">
        <f t="shared" si="76"/>
        <v>-1.1049723756906049E-2</v>
      </c>
      <c r="BW76" s="102">
        <f t="shared" si="76"/>
        <v>-0.13684210526315788</v>
      </c>
      <c r="BX76" s="83">
        <f t="shared" si="76"/>
        <v>-1.8324607329842979E-2</v>
      </c>
      <c r="BY76" s="83">
        <f t="shared" si="76"/>
        <v>-0.2857142857142857</v>
      </c>
      <c r="BZ76" s="83">
        <f t="shared" si="76"/>
        <v>-6.6666666666667096E-3</v>
      </c>
      <c r="CA76" s="102">
        <f t="shared" si="76"/>
        <v>6.1452513966480549E-2</v>
      </c>
      <c r="CB76" s="102">
        <f t="shared" si="76"/>
        <v>-0.10162601626016265</v>
      </c>
      <c r="CC76" s="83">
        <f t="shared" si="76"/>
        <v>-8.666666666666667E-2</v>
      </c>
      <c r="CD76" s="83">
        <f t="shared" si="76"/>
        <v>0.23199999999999998</v>
      </c>
      <c r="CE76" s="83">
        <f t="shared" si="76"/>
        <v>6.7114093959731447E-2</v>
      </c>
      <c r="CF76" s="102">
        <f t="shared" si="76"/>
        <v>0.22631578947368425</v>
      </c>
      <c r="CG76" s="102">
        <f t="shared" si="76"/>
        <v>-0.45248868778280538</v>
      </c>
      <c r="CH76" s="83">
        <f t="shared" si="76"/>
        <v>-2.6277372262773713E-2</v>
      </c>
      <c r="CI76" s="83">
        <f t="shared" si="76"/>
        <v>-0.58441558441558439</v>
      </c>
      <c r="CJ76" s="83">
        <f t="shared" si="76"/>
        <v>-0.72327044025157239</v>
      </c>
      <c r="CK76" s="83">
        <f t="shared" si="76"/>
        <v>-0.76394849785407726</v>
      </c>
      <c r="CL76" s="83">
        <f t="shared" si="76"/>
        <v>-0.55371900826446274</v>
      </c>
      <c r="CM76" s="80">
        <f>CM73/CH73-1</f>
        <v>-0.67466266866566715</v>
      </c>
      <c r="CN76" s="80"/>
      <c r="CO76" s="80"/>
      <c r="CP76" s="80"/>
      <c r="CQ76" s="80"/>
      <c r="CR76" s="80"/>
      <c r="CS76" s="80"/>
      <c r="CT76" s="80"/>
      <c r="CU76" s="80"/>
      <c r="CV76" s="80"/>
      <c r="CW76" s="80"/>
      <c r="CX76" s="80"/>
      <c r="CY76" s="80"/>
      <c r="CZ76" s="80"/>
      <c r="DA76" s="80"/>
      <c r="DB76" s="80"/>
      <c r="DC76" s="80"/>
      <c r="DD76" s="80"/>
      <c r="DE76" s="80"/>
      <c r="DF76" s="80"/>
      <c r="DG76" s="80"/>
      <c r="DH76" s="80"/>
      <c r="DI76" s="80"/>
      <c r="DJ76" s="80"/>
      <c r="DK76" s="80"/>
      <c r="DL76" s="189"/>
      <c r="DM76" s="189"/>
      <c r="DN76" s="189"/>
      <c r="DO76" s="189"/>
      <c r="DP76" s="189"/>
    </row>
    <row r="77" spans="1:120" x14ac:dyDescent="0.2">
      <c r="A77" s="104" t="s">
        <v>91</v>
      </c>
      <c r="B77" s="31"/>
      <c r="C77" s="31"/>
      <c r="D77" s="31"/>
      <c r="E77" s="31"/>
      <c r="F77" s="31"/>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109"/>
      <c r="AV77" s="109"/>
      <c r="AW77" s="109"/>
      <c r="AX77" s="109"/>
      <c r="AY77" s="109"/>
      <c r="AZ77" s="109"/>
      <c r="BA77" s="109"/>
      <c r="BB77" s="109"/>
      <c r="BC77" s="109"/>
      <c r="BD77" s="109"/>
      <c r="BE77" s="109"/>
      <c r="BF77" s="109"/>
      <c r="BG77" s="109"/>
      <c r="BH77" s="109"/>
      <c r="BI77" s="74"/>
      <c r="BJ77" s="74"/>
      <c r="BK77" s="110"/>
      <c r="BL77" s="74"/>
      <c r="BM77" s="74"/>
      <c r="BN77" s="74"/>
      <c r="BO77" s="74"/>
      <c r="BP77" s="110"/>
      <c r="BQ77" s="74"/>
      <c r="BR77" s="74"/>
      <c r="BS77" s="74"/>
      <c r="BT77" s="74"/>
      <c r="BU77" s="110"/>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184"/>
      <c r="DM77" s="184"/>
      <c r="DN77" s="184"/>
      <c r="DO77" s="184"/>
      <c r="DP77" s="184"/>
    </row>
    <row r="78" spans="1:120" x14ac:dyDescent="0.2">
      <c r="A78" s="36" t="s">
        <v>92</v>
      </c>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f>BH78+BG78+BF78+BE78</f>
        <v>0</v>
      </c>
      <c r="BJ78" s="36">
        <v>0</v>
      </c>
      <c r="BK78" s="36">
        <v>0</v>
      </c>
      <c r="BL78" s="36"/>
      <c r="BM78" s="36"/>
      <c r="BN78" s="36">
        <f>BM78+BL78+BK78+BJ78</f>
        <v>0</v>
      </c>
      <c r="BO78" s="36">
        <v>0</v>
      </c>
      <c r="BP78" s="36">
        <v>0</v>
      </c>
      <c r="BQ78" s="36">
        <v>0</v>
      </c>
      <c r="BR78" s="36">
        <v>0</v>
      </c>
      <c r="BS78" s="36">
        <f>BR78+BQ78+BP78+BO78</f>
        <v>0</v>
      </c>
      <c r="BT78" s="36">
        <v>0</v>
      </c>
      <c r="BU78" s="36">
        <v>0</v>
      </c>
      <c r="BV78" s="36">
        <v>0</v>
      </c>
      <c r="BW78" s="36">
        <v>0</v>
      </c>
      <c r="BX78" s="36">
        <v>0</v>
      </c>
      <c r="BY78" s="36">
        <v>5</v>
      </c>
      <c r="BZ78" s="36">
        <v>13</v>
      </c>
      <c r="CA78" s="36">
        <v>24</v>
      </c>
      <c r="CB78" s="36">
        <v>35</v>
      </c>
      <c r="CC78" s="36">
        <f>CB78+CA78+BZ78+BY78</f>
        <v>77</v>
      </c>
      <c r="CD78" s="36">
        <v>45</v>
      </c>
      <c r="CE78" s="36">
        <v>54</v>
      </c>
      <c r="CF78" s="36">
        <v>63</v>
      </c>
      <c r="CG78" s="36">
        <v>76</v>
      </c>
      <c r="CH78" s="36">
        <f>CG78+CF78+CE78+CD78</f>
        <v>238</v>
      </c>
      <c r="CI78" s="36">
        <v>80</v>
      </c>
      <c r="CJ78" s="36">
        <v>95</v>
      </c>
      <c r="CK78" s="36">
        <v>96</v>
      </c>
      <c r="CL78" s="36">
        <v>114</v>
      </c>
      <c r="CM78" s="36">
        <f>CL78+CK78+CJ78+CI78</f>
        <v>385</v>
      </c>
      <c r="CN78" s="36">
        <v>119</v>
      </c>
      <c r="CO78" s="36">
        <v>129</v>
      </c>
      <c r="CP78" s="36">
        <v>133</v>
      </c>
      <c r="CQ78" s="36">
        <v>152</v>
      </c>
      <c r="CR78" s="36">
        <f>CQ78+CP78+CO78+CN78</f>
        <v>533</v>
      </c>
      <c r="CS78" s="36">
        <v>143</v>
      </c>
      <c r="CT78" s="36">
        <v>107</v>
      </c>
      <c r="CU78" s="36">
        <v>162</v>
      </c>
      <c r="CV78" s="36">
        <v>172</v>
      </c>
      <c r="CW78" s="72">
        <f>SUM(CS78:CV78)</f>
        <v>584</v>
      </c>
      <c r="CX78" s="36">
        <v>167</v>
      </c>
      <c r="CY78" s="36">
        <v>197</v>
      </c>
      <c r="CZ78" s="36">
        <v>181</v>
      </c>
      <c r="DA78" s="36">
        <v>218</v>
      </c>
      <c r="DB78" s="72">
        <f>SUM(CX78:DA78)</f>
        <v>763</v>
      </c>
      <c r="DC78" s="72">
        <v>195</v>
      </c>
      <c r="DD78" s="72">
        <v>237</v>
      </c>
      <c r="DE78" s="72">
        <v>233</v>
      </c>
      <c r="DF78" s="72">
        <v>257</v>
      </c>
      <c r="DG78" s="36">
        <f>SUM(DC78:DF78)</f>
        <v>922</v>
      </c>
      <c r="DH78" s="36">
        <f t="shared" ref="DH78:DK79" si="77">DC78*(1+DH81)</f>
        <v>218.40000000000003</v>
      </c>
      <c r="DI78" s="36">
        <f t="shared" si="77"/>
        <v>265.44</v>
      </c>
      <c r="DJ78" s="36">
        <f t="shared" si="77"/>
        <v>260.96000000000004</v>
      </c>
      <c r="DK78" s="36">
        <f t="shared" si="77"/>
        <v>287.84000000000003</v>
      </c>
      <c r="DL78" s="183">
        <f>SUM(DH78:DK78)</f>
        <v>1032.6400000000001</v>
      </c>
      <c r="DM78" s="183">
        <f t="shared" ref="DM78:DP79" si="78">DL78*(1+DM81)</f>
        <v>1115.2512000000002</v>
      </c>
      <c r="DN78" s="183">
        <f t="shared" si="78"/>
        <v>1159.8612480000002</v>
      </c>
      <c r="DO78" s="183">
        <f t="shared" si="78"/>
        <v>985.88206080000009</v>
      </c>
      <c r="DP78" s="183">
        <f t="shared" si="78"/>
        <v>837.99975168000003</v>
      </c>
    </row>
    <row r="79" spans="1:120" x14ac:dyDescent="0.2">
      <c r="A79" s="36" t="s">
        <v>93</v>
      </c>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v>41</v>
      </c>
      <c r="BA79" s="36">
        <v>47</v>
      </c>
      <c r="BB79" s="36">
        <v>50</v>
      </c>
      <c r="BC79" s="36">
        <v>55</v>
      </c>
      <c r="BD79" s="36">
        <f>SUM(AZ79:BC79)</f>
        <v>193</v>
      </c>
      <c r="BE79" s="36">
        <v>58</v>
      </c>
      <c r="BF79" s="36">
        <v>60</v>
      </c>
      <c r="BG79" s="36">
        <v>68</v>
      </c>
      <c r="BH79" s="36">
        <v>75</v>
      </c>
      <c r="BI79" s="36">
        <f>BH79+BG79+BF79+BE79</f>
        <v>261</v>
      </c>
      <c r="BJ79" s="36">
        <v>63</v>
      </c>
      <c r="BK79" s="36">
        <v>69</v>
      </c>
      <c r="BL79" s="36">
        <v>75</v>
      </c>
      <c r="BM79" s="36">
        <v>82</v>
      </c>
      <c r="BN79" s="36">
        <f>BM79+BL79+BK79+BJ79</f>
        <v>289</v>
      </c>
      <c r="BO79" s="36">
        <v>73</v>
      </c>
      <c r="BP79" s="36">
        <v>82</v>
      </c>
      <c r="BQ79" s="36">
        <v>90</v>
      </c>
      <c r="BR79" s="36">
        <v>95</v>
      </c>
      <c r="BS79" s="36">
        <f>BR79+BQ79+BP79+BO79</f>
        <v>340</v>
      </c>
      <c r="BT79" s="36">
        <v>85</v>
      </c>
      <c r="BU79" s="36">
        <v>87</v>
      </c>
      <c r="BV79" s="36">
        <v>89</v>
      </c>
      <c r="BW79" s="36">
        <v>92</v>
      </c>
      <c r="BX79" s="36">
        <f>BW79+BV79+BU79+BT79</f>
        <v>353</v>
      </c>
      <c r="BY79" s="36">
        <v>86</v>
      </c>
      <c r="BZ79" s="36">
        <v>100</v>
      </c>
      <c r="CA79" s="36">
        <v>115</v>
      </c>
      <c r="CB79" s="36">
        <v>104</v>
      </c>
      <c r="CC79" s="36">
        <f>CB79+CA79+BZ79+BY79</f>
        <v>405</v>
      </c>
      <c r="CD79" s="36">
        <v>102</v>
      </c>
      <c r="CE79" s="36">
        <v>109</v>
      </c>
      <c r="CF79" s="36">
        <v>122</v>
      </c>
      <c r="CG79" s="36">
        <v>132</v>
      </c>
      <c r="CH79" s="36">
        <f>CG79+CF79+CE79+CD79</f>
        <v>465</v>
      </c>
      <c r="CI79" s="36">
        <v>124</v>
      </c>
      <c r="CJ79" s="36">
        <v>145</v>
      </c>
      <c r="CK79" s="36">
        <v>120</v>
      </c>
      <c r="CL79" s="36">
        <v>142</v>
      </c>
      <c r="CM79" s="36">
        <f>CL79+CK79+CJ79+CI79</f>
        <v>531</v>
      </c>
      <c r="CN79" s="36">
        <v>136</v>
      </c>
      <c r="CO79" s="36">
        <v>149</v>
      </c>
      <c r="CP79" s="36">
        <v>151</v>
      </c>
      <c r="CQ79" s="36">
        <v>162</v>
      </c>
      <c r="CR79" s="36">
        <f>CQ79+CP79+CO79+CN79</f>
        <v>598</v>
      </c>
      <c r="CS79" s="36">
        <v>157</v>
      </c>
      <c r="CT79" s="36">
        <v>117</v>
      </c>
      <c r="CU79" s="36">
        <v>157</v>
      </c>
      <c r="CV79" s="36">
        <v>183</v>
      </c>
      <c r="CW79" s="72">
        <f>SUM(CS79:CV79)</f>
        <v>614</v>
      </c>
      <c r="CX79" s="36">
        <v>173</v>
      </c>
      <c r="CY79" s="36">
        <v>190</v>
      </c>
      <c r="CZ79" s="36">
        <v>188</v>
      </c>
      <c r="DA79" s="36">
        <v>218</v>
      </c>
      <c r="DB79" s="72">
        <f>SUM(CX79:DA79)</f>
        <v>769</v>
      </c>
      <c r="DC79" s="72">
        <v>199</v>
      </c>
      <c r="DD79" s="72">
        <v>190</v>
      </c>
      <c r="DE79" s="72">
        <v>190</v>
      </c>
      <c r="DF79" s="72">
        <v>183</v>
      </c>
      <c r="DG79" s="36">
        <f>SUM(DC79:DF79)</f>
        <v>762</v>
      </c>
      <c r="DH79" s="36">
        <f t="shared" si="77"/>
        <v>214.92000000000002</v>
      </c>
      <c r="DI79" s="36">
        <f t="shared" si="77"/>
        <v>205.20000000000002</v>
      </c>
      <c r="DJ79" s="36">
        <f t="shared" si="77"/>
        <v>205.20000000000002</v>
      </c>
      <c r="DK79" s="36">
        <f t="shared" si="77"/>
        <v>197.64000000000001</v>
      </c>
      <c r="DL79" s="183">
        <f>SUM(DH79:DK79)</f>
        <v>822.96</v>
      </c>
      <c r="DM79" s="183">
        <f t="shared" si="78"/>
        <v>864.10800000000006</v>
      </c>
      <c r="DN79" s="183">
        <f t="shared" si="78"/>
        <v>890.03124000000014</v>
      </c>
      <c r="DO79" s="183">
        <f t="shared" si="78"/>
        <v>916.73217720000014</v>
      </c>
      <c r="DP79" s="183">
        <f t="shared" si="78"/>
        <v>944.23414251600013</v>
      </c>
    </row>
    <row r="80" spans="1:120" x14ac:dyDescent="0.2">
      <c r="A80" s="39" t="s">
        <v>94</v>
      </c>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v>41</v>
      </c>
      <c r="BA80" s="39">
        <v>47</v>
      </c>
      <c r="BB80" s="39">
        <v>50</v>
      </c>
      <c r="BC80" s="39">
        <v>55</v>
      </c>
      <c r="BD80" s="39">
        <f>SUM(AZ80:BC80)</f>
        <v>193</v>
      </c>
      <c r="BE80" s="39">
        <f>BE78+BE79</f>
        <v>58</v>
      </c>
      <c r="BF80" s="39">
        <f>BF78+BF79</f>
        <v>60</v>
      </c>
      <c r="BG80" s="39">
        <f>BG78+BG79</f>
        <v>68</v>
      </c>
      <c r="BH80" s="39">
        <f>BH78+BH79</f>
        <v>75</v>
      </c>
      <c r="BI80" s="39">
        <f t="shared" ref="BI80:CP80" si="79">BI79+BI78</f>
        <v>261</v>
      </c>
      <c r="BJ80" s="39">
        <f t="shared" si="79"/>
        <v>63</v>
      </c>
      <c r="BK80" s="39">
        <f t="shared" si="79"/>
        <v>69</v>
      </c>
      <c r="BL80" s="39">
        <f t="shared" si="79"/>
        <v>75</v>
      </c>
      <c r="BM80" s="39">
        <f t="shared" si="79"/>
        <v>82</v>
      </c>
      <c r="BN80" s="39">
        <f t="shared" si="79"/>
        <v>289</v>
      </c>
      <c r="BO80" s="39">
        <f t="shared" si="79"/>
        <v>73</v>
      </c>
      <c r="BP80" s="39">
        <f t="shared" si="79"/>
        <v>82</v>
      </c>
      <c r="BQ80" s="39">
        <f t="shared" si="79"/>
        <v>90</v>
      </c>
      <c r="BR80" s="39">
        <f t="shared" si="79"/>
        <v>95</v>
      </c>
      <c r="BS80" s="39">
        <f t="shared" si="79"/>
        <v>340</v>
      </c>
      <c r="BT80" s="39">
        <f t="shared" si="79"/>
        <v>85</v>
      </c>
      <c r="BU80" s="39">
        <f t="shared" si="79"/>
        <v>87</v>
      </c>
      <c r="BV80" s="39">
        <f t="shared" si="79"/>
        <v>89</v>
      </c>
      <c r="BW80" s="39">
        <f t="shared" si="79"/>
        <v>92</v>
      </c>
      <c r="BX80" s="39">
        <f t="shared" si="79"/>
        <v>353</v>
      </c>
      <c r="BY80" s="39">
        <f t="shared" si="79"/>
        <v>91</v>
      </c>
      <c r="BZ80" s="39">
        <f t="shared" si="79"/>
        <v>113</v>
      </c>
      <c r="CA80" s="39">
        <f t="shared" si="79"/>
        <v>139</v>
      </c>
      <c r="CB80" s="39">
        <f t="shared" si="79"/>
        <v>139</v>
      </c>
      <c r="CC80" s="39">
        <f t="shared" si="79"/>
        <v>482</v>
      </c>
      <c r="CD80" s="39">
        <f>CD79+CD78+1</f>
        <v>148</v>
      </c>
      <c r="CE80" s="39">
        <f t="shared" si="79"/>
        <v>163</v>
      </c>
      <c r="CF80" s="39">
        <f t="shared" si="79"/>
        <v>185</v>
      </c>
      <c r="CG80" s="39">
        <f t="shared" si="79"/>
        <v>208</v>
      </c>
      <c r="CH80" s="39">
        <f t="shared" si="79"/>
        <v>703</v>
      </c>
      <c r="CI80" s="39">
        <f t="shared" si="79"/>
        <v>204</v>
      </c>
      <c r="CJ80" s="39">
        <f t="shared" si="79"/>
        <v>240</v>
      </c>
      <c r="CK80" s="39">
        <f t="shared" si="79"/>
        <v>216</v>
      </c>
      <c r="CL80" s="39">
        <f t="shared" si="79"/>
        <v>256</v>
      </c>
      <c r="CM80" s="39">
        <f t="shared" si="79"/>
        <v>916</v>
      </c>
      <c r="CN80" s="39">
        <f t="shared" si="79"/>
        <v>255</v>
      </c>
      <c r="CO80" s="39">
        <f t="shared" si="79"/>
        <v>278</v>
      </c>
      <c r="CP80" s="39">
        <f t="shared" si="79"/>
        <v>284</v>
      </c>
      <c r="CQ80" s="39">
        <f>CQ79+CQ78-1</f>
        <v>313</v>
      </c>
      <c r="CR80" s="39">
        <f>CR79+CR78</f>
        <v>1131</v>
      </c>
      <c r="CS80" s="39">
        <f>CS79+CS78-1</f>
        <v>299</v>
      </c>
      <c r="CT80" s="39">
        <f>CT79+CT78</f>
        <v>224</v>
      </c>
      <c r="CU80" s="39">
        <f>CU79+CU78+1</f>
        <v>320</v>
      </c>
      <c r="CV80" s="39">
        <f>CV79+CV78</f>
        <v>355</v>
      </c>
      <c r="CW80" s="74">
        <f>SUM(CS80:CV80)</f>
        <v>1198</v>
      </c>
      <c r="CX80" s="39">
        <f>SUM(CX78:CX79)</f>
        <v>340</v>
      </c>
      <c r="CY80" s="39">
        <f>SUM(CY78:CY79)</f>
        <v>387</v>
      </c>
      <c r="CZ80" s="39">
        <f>SUM(CZ78:CZ79)</f>
        <v>369</v>
      </c>
      <c r="DA80" s="39">
        <f>SUM(DA78:DA79)</f>
        <v>436</v>
      </c>
      <c r="DB80" s="74">
        <f>SUM(CX80:DA80)</f>
        <v>1532</v>
      </c>
      <c r="DC80" s="74">
        <f>DC79+DC78</f>
        <v>394</v>
      </c>
      <c r="DD80" s="74">
        <f>DD79+DD78</f>
        <v>427</v>
      </c>
      <c r="DE80" s="74">
        <f>DE79+DE78</f>
        <v>423</v>
      </c>
      <c r="DF80" s="74">
        <f>DF79+DF78</f>
        <v>440</v>
      </c>
      <c r="DG80" s="39">
        <f>SUM(DC80:DF80)</f>
        <v>1684</v>
      </c>
      <c r="DH80" s="39">
        <f>DH79+DH78</f>
        <v>433.32000000000005</v>
      </c>
      <c r="DI80" s="39">
        <f>DI79+DI78</f>
        <v>470.64</v>
      </c>
      <c r="DJ80" s="39">
        <f>DJ79+DJ78</f>
        <v>466.16000000000008</v>
      </c>
      <c r="DK80" s="39">
        <f>DK79+DK78</f>
        <v>485.48</v>
      </c>
      <c r="DL80" s="187">
        <f>SUM(DH80:DK80)</f>
        <v>1855.6000000000001</v>
      </c>
      <c r="DM80" s="187">
        <f t="shared" ref="DM80:DP80" si="80">DM79+DM78</f>
        <v>1979.3592000000003</v>
      </c>
      <c r="DN80" s="187">
        <f t="shared" si="80"/>
        <v>2049.8924880000004</v>
      </c>
      <c r="DO80" s="187">
        <f t="shared" si="80"/>
        <v>1902.6142380000001</v>
      </c>
      <c r="DP80" s="187">
        <f t="shared" si="80"/>
        <v>1782.2338941960002</v>
      </c>
    </row>
    <row r="81" spans="1:120" x14ac:dyDescent="0.2">
      <c r="A81" s="68" t="s">
        <v>54</v>
      </c>
      <c r="G81" s="39"/>
      <c r="H81" s="39"/>
      <c r="I81" s="39"/>
      <c r="J81" s="39"/>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6"/>
      <c r="BF81" s="76"/>
      <c r="BG81" s="76"/>
      <c r="BH81" s="76"/>
      <c r="BI81" s="90"/>
      <c r="BJ81" s="76"/>
      <c r="BK81" s="76"/>
      <c r="BL81" s="76"/>
      <c r="BM81" s="76"/>
      <c r="BN81" s="90"/>
      <c r="BO81" s="76"/>
      <c r="BP81" s="76"/>
      <c r="BQ81" s="76"/>
      <c r="BR81" s="76"/>
      <c r="BS81" s="75"/>
      <c r="BT81" s="76"/>
      <c r="BU81" s="76"/>
      <c r="BV81" s="76"/>
      <c r="BW81" s="76"/>
      <c r="BX81" s="75"/>
      <c r="BY81" s="76"/>
      <c r="BZ81" s="76"/>
      <c r="CA81" s="75"/>
      <c r="CB81" s="75"/>
      <c r="CC81" s="75"/>
      <c r="CD81" s="76">
        <f t="shared" ref="CD81:CG82" si="81">+CD78/BY78-1</f>
        <v>8</v>
      </c>
      <c r="CE81" s="76">
        <f t="shared" si="81"/>
        <v>3.1538461538461542</v>
      </c>
      <c r="CF81" s="76">
        <f t="shared" si="81"/>
        <v>1.625</v>
      </c>
      <c r="CG81" s="76">
        <f t="shared" si="81"/>
        <v>1.1714285714285713</v>
      </c>
      <c r="CH81" s="75"/>
      <c r="CI81" s="76">
        <f t="shared" ref="CI81:CL83" si="82">CI78/CD78-1</f>
        <v>0.77777777777777768</v>
      </c>
      <c r="CJ81" s="76">
        <f t="shared" si="82"/>
        <v>0.7592592592592593</v>
      </c>
      <c r="CK81" s="76">
        <f t="shared" si="82"/>
        <v>0.52380952380952372</v>
      </c>
      <c r="CL81" s="76">
        <f t="shared" si="82"/>
        <v>0.5</v>
      </c>
      <c r="CM81" s="76">
        <f>CM78/CH78-1</f>
        <v>0.61764705882352944</v>
      </c>
      <c r="CN81" s="75">
        <f t="shared" ref="CN81:DF83" si="83">CN78/CI78-1</f>
        <v>0.48750000000000004</v>
      </c>
      <c r="CO81" s="75">
        <f t="shared" si="83"/>
        <v>0.35789473684210527</v>
      </c>
      <c r="CP81" s="75">
        <f t="shared" si="83"/>
        <v>0.38541666666666674</v>
      </c>
      <c r="CQ81" s="75">
        <f t="shared" si="83"/>
        <v>0.33333333333333326</v>
      </c>
      <c r="CR81" s="76">
        <f t="shared" si="83"/>
        <v>0.38441558441558432</v>
      </c>
      <c r="CS81" s="75">
        <f t="shared" si="83"/>
        <v>0.20168067226890751</v>
      </c>
      <c r="CT81" s="75">
        <f t="shared" si="83"/>
        <v>-0.1705426356589147</v>
      </c>
      <c r="CU81" s="75">
        <f t="shared" si="83"/>
        <v>0.21804511278195493</v>
      </c>
      <c r="CV81" s="75">
        <f t="shared" si="83"/>
        <v>0.13157894736842102</v>
      </c>
      <c r="CW81" s="90">
        <f>CW78/CR78-1</f>
        <v>9.5684803001876206E-2</v>
      </c>
      <c r="CX81" s="75">
        <f t="shared" si="83"/>
        <v>0.16783216783216792</v>
      </c>
      <c r="CY81" s="75">
        <f t="shared" si="83"/>
        <v>0.8411214953271029</v>
      </c>
      <c r="CZ81" s="75">
        <f t="shared" si="83"/>
        <v>0.11728395061728403</v>
      </c>
      <c r="DA81" s="75">
        <f t="shared" si="83"/>
        <v>0.26744186046511631</v>
      </c>
      <c r="DB81" s="90">
        <f>DB78/CW78-1</f>
        <v>0.30650684931506844</v>
      </c>
      <c r="DC81" s="75">
        <f t="shared" si="83"/>
        <v>0.16766467065868262</v>
      </c>
      <c r="DD81" s="75">
        <f t="shared" si="83"/>
        <v>0.20304568527918776</v>
      </c>
      <c r="DE81" s="75">
        <f t="shared" si="83"/>
        <v>0.28729281767955794</v>
      </c>
      <c r="DF81" s="75">
        <f t="shared" si="83"/>
        <v>0.17889908256880727</v>
      </c>
      <c r="DG81" s="75">
        <f>DG78/DB78-1</f>
        <v>0.20838794233289648</v>
      </c>
      <c r="DH81" s="75">
        <v>0.12</v>
      </c>
      <c r="DI81" s="75">
        <v>0.12</v>
      </c>
      <c r="DJ81" s="75">
        <v>0.12</v>
      </c>
      <c r="DK81" s="75">
        <v>0.12</v>
      </c>
      <c r="DL81" s="192">
        <f>DL78/DG78-1</f>
        <v>0.12000000000000011</v>
      </c>
      <c r="DM81" s="192">
        <v>0.08</v>
      </c>
      <c r="DN81" s="192">
        <v>0.04</v>
      </c>
      <c r="DO81" s="192">
        <v>-0.15</v>
      </c>
      <c r="DP81" s="192">
        <v>-0.15</v>
      </c>
    </row>
    <row r="82" spans="1:120" x14ac:dyDescent="0.2">
      <c r="A82" s="68" t="s">
        <v>55</v>
      </c>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6">
        <f>BE79/AZ79-1</f>
        <v>0.41463414634146334</v>
      </c>
      <c r="BF82" s="76">
        <f>BF79/BA79-1</f>
        <v>0.27659574468085113</v>
      </c>
      <c r="BG82" s="76">
        <f>BG79/BB79-1</f>
        <v>0.3600000000000001</v>
      </c>
      <c r="BH82" s="76"/>
      <c r="BI82" s="90"/>
      <c r="BJ82" s="76"/>
      <c r="BK82" s="76"/>
      <c r="BL82" s="76"/>
      <c r="BM82" s="76"/>
      <c r="BN82" s="90"/>
      <c r="BO82" s="76">
        <f>+BO79/BJ79-1</f>
        <v>0.15873015873015883</v>
      </c>
      <c r="BP82" s="76">
        <f>+BP79/BK79-1</f>
        <v>0.18840579710144922</v>
      </c>
      <c r="BQ82" s="76">
        <f>+BQ79/BL79-1</f>
        <v>0.19999999999999996</v>
      </c>
      <c r="BR82" s="76">
        <f>+BR79/BM79-1</f>
        <v>0.15853658536585358</v>
      </c>
      <c r="BS82" s="75"/>
      <c r="BT82" s="76">
        <f>+BT79/BO79-1</f>
        <v>0.16438356164383561</v>
      </c>
      <c r="BU82" s="76">
        <f>+BU79/BP79-1</f>
        <v>6.0975609756097615E-2</v>
      </c>
      <c r="BV82" s="76">
        <f>+BV79/BQ79-1</f>
        <v>-1.1111111111111072E-2</v>
      </c>
      <c r="BW82" s="76">
        <f>+BW79/BR79-1</f>
        <v>-3.157894736842104E-2</v>
      </c>
      <c r="BX82" s="75"/>
      <c r="BY82" s="76">
        <f>+BY79/BT79-1</f>
        <v>1.1764705882352899E-2</v>
      </c>
      <c r="BZ82" s="76">
        <f>+BZ79/BU79-1</f>
        <v>0.14942528735632177</v>
      </c>
      <c r="CA82" s="76">
        <f>+CA79/BV79-1</f>
        <v>0.2921348314606742</v>
      </c>
      <c r="CB82" s="76">
        <f>+CB79/BW79-1</f>
        <v>0.13043478260869557</v>
      </c>
      <c r="CC82" s="75"/>
      <c r="CD82" s="76">
        <f t="shared" si="81"/>
        <v>0.18604651162790709</v>
      </c>
      <c r="CE82" s="76">
        <f t="shared" si="81"/>
        <v>9.000000000000008E-2</v>
      </c>
      <c r="CF82" s="76">
        <f t="shared" si="81"/>
        <v>6.0869565217391397E-2</v>
      </c>
      <c r="CG82" s="76">
        <f t="shared" si="81"/>
        <v>0.26923076923076916</v>
      </c>
      <c r="CH82" s="75"/>
      <c r="CI82" s="76">
        <f t="shared" si="82"/>
        <v>0.21568627450980382</v>
      </c>
      <c r="CJ82" s="76">
        <f t="shared" si="82"/>
        <v>0.33027522935779818</v>
      </c>
      <c r="CK82" s="76">
        <f t="shared" si="82"/>
        <v>-1.6393442622950838E-2</v>
      </c>
      <c r="CL82" s="76">
        <f t="shared" si="82"/>
        <v>7.575757575757569E-2</v>
      </c>
      <c r="CM82" s="76">
        <f>CM79/CH79-1</f>
        <v>0.14193548387096766</v>
      </c>
      <c r="CN82" s="75">
        <f t="shared" si="83"/>
        <v>9.6774193548387011E-2</v>
      </c>
      <c r="CO82" s="75">
        <f t="shared" si="83"/>
        <v>2.7586206896551779E-2</v>
      </c>
      <c r="CP82" s="75">
        <f t="shared" si="83"/>
        <v>0.2583333333333333</v>
      </c>
      <c r="CQ82" s="75">
        <f t="shared" si="83"/>
        <v>0.14084507042253525</v>
      </c>
      <c r="CR82" s="76">
        <f t="shared" si="83"/>
        <v>0.12617702448210921</v>
      </c>
      <c r="CS82" s="75">
        <f t="shared" si="83"/>
        <v>0.15441176470588225</v>
      </c>
      <c r="CT82" s="75">
        <f t="shared" si="83"/>
        <v>-0.21476510067114096</v>
      </c>
      <c r="CU82" s="75">
        <f t="shared" si="83"/>
        <v>3.9735099337748325E-2</v>
      </c>
      <c r="CV82" s="75">
        <f t="shared" si="83"/>
        <v>0.12962962962962954</v>
      </c>
      <c r="CW82" s="90">
        <f>CW79/CR79-1</f>
        <v>2.6755852842809347E-2</v>
      </c>
      <c r="CX82" s="75">
        <f t="shared" si="83"/>
        <v>0.10191082802547768</v>
      </c>
      <c r="CY82" s="75">
        <f t="shared" si="83"/>
        <v>0.62393162393162394</v>
      </c>
      <c r="CZ82" s="75">
        <f t="shared" si="83"/>
        <v>0.19745222929936301</v>
      </c>
      <c r="DA82" s="75">
        <f t="shared" si="83"/>
        <v>0.19125683060109289</v>
      </c>
      <c r="DB82" s="90">
        <f>DB79/CW79-1</f>
        <v>0.2524429967426709</v>
      </c>
      <c r="DC82" s="75">
        <f t="shared" si="83"/>
        <v>0.1502890173410405</v>
      </c>
      <c r="DD82" s="75">
        <f t="shared" si="83"/>
        <v>0</v>
      </c>
      <c r="DE82" s="75">
        <f t="shared" si="83"/>
        <v>1.0638297872340496E-2</v>
      </c>
      <c r="DF82" s="75">
        <f t="shared" si="83"/>
        <v>-0.16055045871559637</v>
      </c>
      <c r="DG82" s="75">
        <f>DG79/DB79-1</f>
        <v>-9.1027308192457301E-3</v>
      </c>
      <c r="DH82" s="75">
        <v>0.08</v>
      </c>
      <c r="DI82" s="75">
        <v>0.08</v>
      </c>
      <c r="DJ82" s="75">
        <v>0.08</v>
      </c>
      <c r="DK82" s="75">
        <v>0.08</v>
      </c>
      <c r="DL82" s="192">
        <f>DL79/DG79-1</f>
        <v>8.0000000000000071E-2</v>
      </c>
      <c r="DM82" s="192">
        <v>0.05</v>
      </c>
      <c r="DN82" s="192">
        <v>0.03</v>
      </c>
      <c r="DO82" s="192">
        <v>0.03</v>
      </c>
      <c r="DP82" s="192">
        <v>0.03</v>
      </c>
    </row>
    <row r="83" spans="1:120" x14ac:dyDescent="0.2">
      <c r="A83" s="78" t="s">
        <v>95</v>
      </c>
      <c r="F83" s="98"/>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83"/>
      <c r="AT83" s="83"/>
      <c r="AU83" s="83"/>
      <c r="AV83" s="83"/>
      <c r="AW83" s="83"/>
      <c r="AX83" s="83"/>
      <c r="AY83" s="83"/>
      <c r="AZ83" s="83"/>
      <c r="BA83" s="83"/>
      <c r="BB83" s="83"/>
      <c r="BC83" s="83"/>
      <c r="BD83" s="83"/>
      <c r="BE83" s="80"/>
      <c r="BF83" s="80"/>
      <c r="BG83" s="80"/>
      <c r="BH83" s="80"/>
      <c r="BI83" s="80"/>
      <c r="BJ83" s="80"/>
      <c r="BK83" s="91"/>
      <c r="BL83" s="91"/>
      <c r="BM83" s="91"/>
      <c r="BN83" s="80"/>
      <c r="BO83" s="80">
        <f>BO80/BJ80-1</f>
        <v>0.15873015873015883</v>
      </c>
      <c r="BP83" s="91">
        <f>BP80/BK80-1</f>
        <v>0.18840579710144922</v>
      </c>
      <c r="BQ83" s="91">
        <f>BQ80/BL80-1</f>
        <v>0.19999999999999996</v>
      </c>
      <c r="BR83" s="91">
        <f>BR80/BM80-1</f>
        <v>0.15853658536585358</v>
      </c>
      <c r="BS83" s="83"/>
      <c r="BT83" s="80">
        <f>BT80/BO80-1</f>
        <v>0.16438356164383561</v>
      </c>
      <c r="BU83" s="80">
        <f>BU80/BP80-1</f>
        <v>6.0975609756097615E-2</v>
      </c>
      <c r="BV83" s="91">
        <f>BV80/BQ80-1</f>
        <v>-1.1111111111111072E-2</v>
      </c>
      <c r="BW83" s="91">
        <f>BW80/BR80-1</f>
        <v>-3.157894736842104E-2</v>
      </c>
      <c r="BX83" s="83"/>
      <c r="BY83" s="83">
        <f>BY80/BT80-1</f>
        <v>7.0588235294117618E-2</v>
      </c>
      <c r="BZ83" s="83">
        <f>BZ80/BU80-1</f>
        <v>0.29885057471264376</v>
      </c>
      <c r="CA83" s="83">
        <f>CA80/BV80-1</f>
        <v>0.5617977528089888</v>
      </c>
      <c r="CB83" s="83">
        <f>CB80/BW80-1</f>
        <v>0.51086956521739135</v>
      </c>
      <c r="CC83" s="83"/>
      <c r="CD83" s="83">
        <f>CD80/BY80-1</f>
        <v>0.62637362637362637</v>
      </c>
      <c r="CE83" s="83">
        <f>CE80/BZ80-1</f>
        <v>0.44247787610619471</v>
      </c>
      <c r="CF83" s="83">
        <f>CF80/CA80-1</f>
        <v>0.33093525179856109</v>
      </c>
      <c r="CG83" s="83">
        <f>CG80/CB80-1</f>
        <v>0.49640287769784175</v>
      </c>
      <c r="CH83" s="83"/>
      <c r="CI83" s="83">
        <f t="shared" si="82"/>
        <v>0.37837837837837829</v>
      </c>
      <c r="CJ83" s="83">
        <f t="shared" si="82"/>
        <v>0.47239263803680975</v>
      </c>
      <c r="CK83" s="83">
        <f t="shared" si="82"/>
        <v>0.16756756756756763</v>
      </c>
      <c r="CL83" s="83">
        <f t="shared" si="82"/>
        <v>0.23076923076923084</v>
      </c>
      <c r="CM83" s="80">
        <f>CM80/CH80-1</f>
        <v>0.30298719772403993</v>
      </c>
      <c r="CN83" s="83">
        <f t="shared" si="83"/>
        <v>0.25</v>
      </c>
      <c r="CO83" s="83">
        <f t="shared" si="83"/>
        <v>0.15833333333333344</v>
      </c>
      <c r="CP83" s="83">
        <f t="shared" si="83"/>
        <v>0.31481481481481488</v>
      </c>
      <c r="CQ83" s="83">
        <f t="shared" si="83"/>
        <v>0.22265625</v>
      </c>
      <c r="CR83" s="80">
        <f t="shared" si="83"/>
        <v>0.23471615720524008</v>
      </c>
      <c r="CS83" s="83">
        <f t="shared" si="83"/>
        <v>0.17254901960784319</v>
      </c>
      <c r="CT83" s="83">
        <f t="shared" si="83"/>
        <v>-0.19424460431654678</v>
      </c>
      <c r="CU83" s="83">
        <f t="shared" si="83"/>
        <v>0.12676056338028174</v>
      </c>
      <c r="CV83" s="83">
        <f t="shared" si="83"/>
        <v>0.13418530351437696</v>
      </c>
      <c r="CW83" s="83">
        <f>CW80/CR80-1</f>
        <v>5.9239610963748968E-2</v>
      </c>
      <c r="CX83" s="83">
        <f>CX80/CS80-1</f>
        <v>0.1371237458193979</v>
      </c>
      <c r="CY83" s="83">
        <f>CY80/CT80-1</f>
        <v>0.7276785714285714</v>
      </c>
      <c r="CZ83" s="83">
        <f>CZ80/CU80-1</f>
        <v>0.15312499999999996</v>
      </c>
      <c r="DA83" s="83">
        <f>DA80/CV80-1</f>
        <v>0.22816901408450696</v>
      </c>
      <c r="DB83" s="83">
        <f>DB80/CW80-1</f>
        <v>0.27879799666110183</v>
      </c>
      <c r="DC83" s="83">
        <f>DC80/CX80-1</f>
        <v>0.15882352941176481</v>
      </c>
      <c r="DD83" s="83">
        <f>DD80/CY80-1</f>
        <v>0.10335917312661502</v>
      </c>
      <c r="DE83" s="83">
        <f>DE80/CZ80-1</f>
        <v>0.14634146341463405</v>
      </c>
      <c r="DF83" s="83">
        <f>DF80/DA80-1</f>
        <v>9.1743119266054496E-3</v>
      </c>
      <c r="DG83" s="83">
        <f>DG80/DB80-1</f>
        <v>9.9216710182767676E-2</v>
      </c>
      <c r="DH83" s="83">
        <f>DH80/DC80-1</f>
        <v>9.979695431472102E-2</v>
      </c>
      <c r="DI83" s="83">
        <f>DI80/DD80-1</f>
        <v>0.10220140515222487</v>
      </c>
      <c r="DJ83" s="83">
        <f>DJ80/DE80-1</f>
        <v>0.10203309692671425</v>
      </c>
      <c r="DK83" s="83">
        <f>DK80/DF80-1</f>
        <v>0.10336363636363632</v>
      </c>
      <c r="DL83" s="193">
        <f>DL80/DG80-1</f>
        <v>0.10190023752969135</v>
      </c>
      <c r="DM83" s="193">
        <f t="shared" ref="DM83:DP83" si="84">DM80/DL80-1</f>
        <v>6.6694977365811647E-2</v>
      </c>
      <c r="DN83" s="193">
        <f t="shared" si="84"/>
        <v>3.5634405316629758E-2</v>
      </c>
      <c r="DO83" s="193">
        <f t="shared" si="84"/>
        <v>-7.1846816778032063E-2</v>
      </c>
      <c r="DP83" s="193">
        <f t="shared" si="84"/>
        <v>-6.3271020157266378E-2</v>
      </c>
    </row>
    <row r="84" spans="1:120" x14ac:dyDescent="0.2">
      <c r="A84" s="68" t="s">
        <v>96</v>
      </c>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72"/>
      <c r="CX84" s="36"/>
      <c r="CY84" s="36"/>
      <c r="CZ84" s="36"/>
      <c r="DA84" s="36"/>
      <c r="DB84" s="72"/>
      <c r="DC84" s="72"/>
      <c r="DD84" s="72"/>
      <c r="DE84" s="72">
        <v>72</v>
      </c>
      <c r="DF84" s="72">
        <v>57</v>
      </c>
      <c r="DG84" s="36">
        <f>DF84+DE84</f>
        <v>129</v>
      </c>
      <c r="DH84" s="36">
        <v>60</v>
      </c>
      <c r="DI84" s="36">
        <v>65</v>
      </c>
      <c r="DJ84" s="36">
        <v>65</v>
      </c>
      <c r="DK84" s="36">
        <v>70</v>
      </c>
      <c r="DL84" s="183">
        <f>DK84+DJ84</f>
        <v>135</v>
      </c>
      <c r="DM84" s="183">
        <f t="shared" ref="DM84:DP85" si="85">DL84*(1+DM87)</f>
        <v>139.05000000000001</v>
      </c>
      <c r="DN84" s="183">
        <f t="shared" si="85"/>
        <v>143.22150000000002</v>
      </c>
      <c r="DO84" s="183">
        <f t="shared" si="85"/>
        <v>147.51814500000003</v>
      </c>
      <c r="DP84" s="183">
        <f t="shared" si="85"/>
        <v>151.94368935000003</v>
      </c>
    </row>
    <row r="85" spans="1:120" x14ac:dyDescent="0.2">
      <c r="A85" s="68" t="s">
        <v>97</v>
      </c>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72"/>
      <c r="CX85" s="36"/>
      <c r="CY85" s="36"/>
      <c r="CZ85" s="36"/>
      <c r="DA85" s="36"/>
      <c r="DB85" s="72"/>
      <c r="DC85" s="72"/>
      <c r="DD85" s="72"/>
      <c r="DE85" s="72">
        <v>6</v>
      </c>
      <c r="DF85" s="72">
        <v>10</v>
      </c>
      <c r="DG85" s="36">
        <f>DF85+DE85</f>
        <v>16</v>
      </c>
      <c r="DH85" s="36">
        <v>12</v>
      </c>
      <c r="DI85" s="36">
        <v>14</v>
      </c>
      <c r="DJ85" s="36">
        <v>14</v>
      </c>
      <c r="DK85" s="36">
        <v>16</v>
      </c>
      <c r="DL85" s="183">
        <f>DK85+DJ85</f>
        <v>30</v>
      </c>
      <c r="DM85" s="183">
        <f t="shared" si="85"/>
        <v>30.900000000000002</v>
      </c>
      <c r="DN85" s="183">
        <f t="shared" si="85"/>
        <v>31.827000000000002</v>
      </c>
      <c r="DO85" s="183">
        <f t="shared" si="85"/>
        <v>32.78181</v>
      </c>
      <c r="DP85" s="183">
        <f t="shared" si="85"/>
        <v>33.765264299999998</v>
      </c>
    </row>
    <row r="86" spans="1:120" x14ac:dyDescent="0.2">
      <c r="A86" s="66" t="s">
        <v>98</v>
      </c>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74"/>
      <c r="CX86" s="39"/>
      <c r="CY86" s="39"/>
      <c r="CZ86" s="39"/>
      <c r="DA86" s="39"/>
      <c r="DB86" s="74"/>
      <c r="DC86" s="74"/>
      <c r="DD86" s="74"/>
      <c r="DE86" s="74">
        <f t="shared" ref="DE86:DP86" si="86">DE85+DE84</f>
        <v>78</v>
      </c>
      <c r="DF86" s="74">
        <f t="shared" si="86"/>
        <v>67</v>
      </c>
      <c r="DG86" s="39">
        <f t="shared" si="86"/>
        <v>145</v>
      </c>
      <c r="DH86" s="39">
        <f t="shared" si="86"/>
        <v>72</v>
      </c>
      <c r="DI86" s="39">
        <f t="shared" si="86"/>
        <v>79</v>
      </c>
      <c r="DJ86" s="39">
        <f t="shared" si="86"/>
        <v>79</v>
      </c>
      <c r="DK86" s="39">
        <f t="shared" si="86"/>
        <v>86</v>
      </c>
      <c r="DL86" s="187">
        <f t="shared" si="86"/>
        <v>165</v>
      </c>
      <c r="DM86" s="187">
        <f t="shared" si="86"/>
        <v>169.95000000000002</v>
      </c>
      <c r="DN86" s="187">
        <f t="shared" si="86"/>
        <v>175.04850000000002</v>
      </c>
      <c r="DO86" s="187">
        <f t="shared" si="86"/>
        <v>180.29995500000004</v>
      </c>
      <c r="DP86" s="187">
        <f t="shared" si="86"/>
        <v>185.70895365000001</v>
      </c>
    </row>
    <row r="87" spans="1:120" x14ac:dyDescent="0.2">
      <c r="A87" s="68" t="s">
        <v>54</v>
      </c>
      <c r="G87" s="39"/>
      <c r="H87" s="39"/>
      <c r="I87" s="39"/>
      <c r="J87" s="39"/>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6"/>
      <c r="BF87" s="76"/>
      <c r="BG87" s="76"/>
      <c r="BH87" s="76"/>
      <c r="BI87" s="90"/>
      <c r="BJ87" s="76"/>
      <c r="BK87" s="76"/>
      <c r="BL87" s="76"/>
      <c r="BM87" s="76"/>
      <c r="BN87" s="90"/>
      <c r="BO87" s="76"/>
      <c r="BP87" s="76"/>
      <c r="BQ87" s="76"/>
      <c r="BR87" s="76"/>
      <c r="BS87" s="75"/>
      <c r="BT87" s="76"/>
      <c r="BU87" s="76"/>
      <c r="BV87" s="76"/>
      <c r="BW87" s="76"/>
      <c r="BX87" s="75"/>
      <c r="BY87" s="76"/>
      <c r="BZ87" s="76"/>
      <c r="CA87" s="75"/>
      <c r="CB87" s="75"/>
      <c r="CC87" s="75"/>
      <c r="CD87" s="76"/>
      <c r="CE87" s="76"/>
      <c r="CF87" s="76"/>
      <c r="CG87" s="76"/>
      <c r="CH87" s="75"/>
      <c r="CI87" s="76"/>
      <c r="CJ87" s="76"/>
      <c r="CK87" s="76"/>
      <c r="CL87" s="76"/>
      <c r="CM87" s="76"/>
      <c r="CN87" s="75"/>
      <c r="CO87" s="75"/>
      <c r="CP87" s="75"/>
      <c r="CQ87" s="75"/>
      <c r="CR87" s="76"/>
      <c r="CS87" s="75"/>
      <c r="CT87" s="75"/>
      <c r="CU87" s="75"/>
      <c r="CV87" s="75"/>
      <c r="CW87" s="90"/>
      <c r="CX87" s="75"/>
      <c r="CY87" s="75"/>
      <c r="CZ87" s="75"/>
      <c r="DA87" s="75"/>
      <c r="DB87" s="90"/>
      <c r="DC87" s="75"/>
      <c r="DD87" s="75"/>
      <c r="DE87" s="75"/>
      <c r="DF87" s="90"/>
      <c r="DG87" s="75"/>
      <c r="DH87" s="75"/>
      <c r="DI87" s="75"/>
      <c r="DJ87" s="75"/>
      <c r="DK87" s="75"/>
      <c r="DL87" s="192"/>
      <c r="DM87" s="192">
        <v>0.03</v>
      </c>
      <c r="DN87" s="192">
        <v>0.03</v>
      </c>
      <c r="DO87" s="192">
        <v>0.03</v>
      </c>
      <c r="DP87" s="192">
        <v>0.03</v>
      </c>
    </row>
    <row r="88" spans="1:120" x14ac:dyDescent="0.2">
      <c r="A88" s="68" t="s">
        <v>55</v>
      </c>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6"/>
      <c r="BF88" s="76"/>
      <c r="BG88" s="76"/>
      <c r="BH88" s="76"/>
      <c r="BI88" s="90"/>
      <c r="BJ88" s="76"/>
      <c r="BK88" s="76"/>
      <c r="BL88" s="76"/>
      <c r="BM88" s="76"/>
      <c r="BN88" s="90"/>
      <c r="BO88" s="76"/>
      <c r="BP88" s="76"/>
      <c r="BQ88" s="76"/>
      <c r="BR88" s="76"/>
      <c r="BS88" s="75"/>
      <c r="BT88" s="76"/>
      <c r="BU88" s="76"/>
      <c r="BV88" s="76"/>
      <c r="BW88" s="76"/>
      <c r="BX88" s="75"/>
      <c r="BY88" s="76"/>
      <c r="BZ88" s="76"/>
      <c r="CA88" s="76"/>
      <c r="CB88" s="76"/>
      <c r="CC88" s="75"/>
      <c r="CD88" s="76"/>
      <c r="CE88" s="76"/>
      <c r="CF88" s="76"/>
      <c r="CG88" s="76"/>
      <c r="CH88" s="75"/>
      <c r="CI88" s="76"/>
      <c r="CJ88" s="76"/>
      <c r="CK88" s="76"/>
      <c r="CL88" s="76"/>
      <c r="CM88" s="76"/>
      <c r="CN88" s="75"/>
      <c r="CO88" s="75"/>
      <c r="CP88" s="75"/>
      <c r="CQ88" s="75"/>
      <c r="CR88" s="76"/>
      <c r="CS88" s="75"/>
      <c r="CT88" s="75"/>
      <c r="CU88" s="75"/>
      <c r="CV88" s="75"/>
      <c r="CW88" s="90"/>
      <c r="CX88" s="75"/>
      <c r="CY88" s="75"/>
      <c r="CZ88" s="75"/>
      <c r="DA88" s="75"/>
      <c r="DB88" s="90"/>
      <c r="DC88" s="75"/>
      <c r="DD88" s="75"/>
      <c r="DE88" s="75"/>
      <c r="DF88" s="90"/>
      <c r="DG88" s="75"/>
      <c r="DH88" s="75"/>
      <c r="DI88" s="75"/>
      <c r="DJ88" s="75"/>
      <c r="DK88" s="75"/>
      <c r="DL88" s="192"/>
      <c r="DM88" s="192">
        <v>0.03</v>
      </c>
      <c r="DN88" s="192">
        <v>0.03</v>
      </c>
      <c r="DO88" s="192">
        <v>0.03</v>
      </c>
      <c r="DP88" s="192">
        <v>0.03</v>
      </c>
    </row>
    <row r="89" spans="1:120" x14ac:dyDescent="0.2">
      <c r="A89" s="78" t="s">
        <v>95</v>
      </c>
      <c r="F89" s="98"/>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0"/>
      <c r="BF89" s="80"/>
      <c r="BG89" s="80"/>
      <c r="BH89" s="80"/>
      <c r="BI89" s="80"/>
      <c r="BJ89" s="80"/>
      <c r="BK89" s="91"/>
      <c r="BL89" s="91"/>
      <c r="BM89" s="91"/>
      <c r="BN89" s="80"/>
      <c r="BO89" s="80"/>
      <c r="BP89" s="91"/>
      <c r="BQ89" s="91"/>
      <c r="BR89" s="91"/>
      <c r="BS89" s="83"/>
      <c r="BT89" s="80"/>
      <c r="BU89" s="80"/>
      <c r="BV89" s="91"/>
      <c r="BW89" s="91"/>
      <c r="BX89" s="83"/>
      <c r="BY89" s="83"/>
      <c r="BZ89" s="83"/>
      <c r="CA89" s="83"/>
      <c r="CB89" s="83"/>
      <c r="CC89" s="83"/>
      <c r="CD89" s="83"/>
      <c r="CE89" s="83"/>
      <c r="CF89" s="83"/>
      <c r="CG89" s="83"/>
      <c r="CH89" s="83"/>
      <c r="CI89" s="83"/>
      <c r="CJ89" s="83"/>
      <c r="CK89" s="83"/>
      <c r="CL89" s="83"/>
      <c r="CM89" s="80"/>
      <c r="CN89" s="83"/>
      <c r="CO89" s="83"/>
      <c r="CP89" s="83"/>
      <c r="CQ89" s="83"/>
      <c r="CR89" s="80"/>
      <c r="CS89" s="83"/>
      <c r="CT89" s="83"/>
      <c r="CU89" s="83"/>
      <c r="CV89" s="83"/>
      <c r="CW89" s="83"/>
      <c r="CX89" s="83"/>
      <c r="CY89" s="83"/>
      <c r="CZ89" s="83"/>
      <c r="DA89" s="83"/>
      <c r="DB89" s="83"/>
      <c r="DC89" s="83"/>
      <c r="DD89" s="83"/>
      <c r="DE89" s="83"/>
      <c r="DF89" s="83"/>
      <c r="DG89" s="83"/>
      <c r="DH89" s="83"/>
      <c r="DI89" s="83"/>
      <c r="DJ89" s="83"/>
      <c r="DK89" s="83"/>
      <c r="DL89" s="193"/>
      <c r="DM89" s="193">
        <f t="shared" ref="DM89:DP89" si="87">DM86/DL86-1</f>
        <v>3.0000000000000027E-2</v>
      </c>
      <c r="DN89" s="193">
        <f t="shared" si="87"/>
        <v>3.0000000000000027E-2</v>
      </c>
      <c r="DO89" s="193">
        <f t="shared" si="87"/>
        <v>3.0000000000000027E-2</v>
      </c>
      <c r="DP89" s="193">
        <f t="shared" si="87"/>
        <v>2.9999999999999805E-2</v>
      </c>
    </row>
    <row r="90" spans="1:120" x14ac:dyDescent="0.2">
      <c r="A90" s="68" t="s">
        <v>99</v>
      </c>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9"/>
      <c r="BF90" s="69"/>
      <c r="BG90" s="69"/>
      <c r="BH90" s="69"/>
      <c r="BI90" s="69"/>
      <c r="BJ90" s="69"/>
      <c r="BK90" s="114"/>
      <c r="BL90" s="114"/>
      <c r="BM90" s="114"/>
      <c r="BN90" s="69"/>
      <c r="BO90" s="69"/>
      <c r="BP90" s="114"/>
      <c r="BQ90" s="114"/>
      <c r="BR90" s="114"/>
      <c r="BS90" s="67"/>
      <c r="BT90" s="69"/>
      <c r="BU90" s="69"/>
      <c r="BV90" s="114"/>
      <c r="BW90" s="114"/>
      <c r="BX90" s="67"/>
      <c r="BY90" s="67"/>
      <c r="BZ90" s="67"/>
      <c r="CA90" s="67"/>
      <c r="CB90" s="67"/>
      <c r="CC90" s="67"/>
      <c r="CD90" s="36">
        <v>65</v>
      </c>
      <c r="CE90" s="36">
        <v>77</v>
      </c>
      <c r="CF90" s="36">
        <v>83</v>
      </c>
      <c r="CG90" s="36">
        <v>89</v>
      </c>
      <c r="CH90" s="36">
        <f>SUM(CD90:CG90)</f>
        <v>314</v>
      </c>
      <c r="CI90" s="36">
        <v>81</v>
      </c>
      <c r="CJ90" s="36">
        <v>87.3</v>
      </c>
      <c r="CK90" s="36">
        <v>89</v>
      </c>
      <c r="CL90" s="36">
        <v>96</v>
      </c>
      <c r="CM90" s="36">
        <f>CL90+CK90+CJ90+CI90</f>
        <v>353.3</v>
      </c>
      <c r="CN90" s="36">
        <v>91</v>
      </c>
      <c r="CO90" s="36">
        <v>100</v>
      </c>
      <c r="CP90" s="36">
        <v>77</v>
      </c>
      <c r="CQ90" s="36">
        <v>14</v>
      </c>
      <c r="CR90" s="36">
        <f>CQ90+CP90+CO90+CN90</f>
        <v>282</v>
      </c>
      <c r="CS90" s="36">
        <v>8</v>
      </c>
      <c r="CT90" s="36">
        <v>6</v>
      </c>
      <c r="CU90" s="36">
        <v>13</v>
      </c>
      <c r="CV90" s="36">
        <v>15</v>
      </c>
      <c r="CW90" s="72">
        <f>SUM(CS90:CV90)</f>
        <v>42</v>
      </c>
      <c r="CX90" s="36">
        <v>15</v>
      </c>
      <c r="CY90" s="36">
        <v>14</v>
      </c>
      <c r="CZ90" s="36">
        <v>19</v>
      </c>
      <c r="DA90" s="36">
        <v>11</v>
      </c>
      <c r="DB90" s="72">
        <f>SUM(CX90:DA90)</f>
        <v>59</v>
      </c>
      <c r="DC90" s="72">
        <v>10</v>
      </c>
      <c r="DD90" s="72">
        <v>16</v>
      </c>
      <c r="DE90" s="72">
        <v>13</v>
      </c>
      <c r="DF90" s="72">
        <v>13</v>
      </c>
      <c r="DG90" s="36">
        <f>SUM(DC90:DF90)</f>
        <v>52</v>
      </c>
      <c r="DH90" s="36">
        <f t="shared" ref="DH90:DK91" si="88">DC90*(1+DH93)</f>
        <v>9.5</v>
      </c>
      <c r="DI90" s="36">
        <f t="shared" si="88"/>
        <v>15.2</v>
      </c>
      <c r="DJ90" s="36">
        <f t="shared" si="88"/>
        <v>12.35</v>
      </c>
      <c r="DK90" s="36">
        <f t="shared" si="88"/>
        <v>12.35</v>
      </c>
      <c r="DL90" s="183">
        <f>SUM(DH90:DK90)</f>
        <v>49.4</v>
      </c>
      <c r="DM90" s="183">
        <f t="shared" ref="DM90:DP91" si="89">DL90*(1+DM93)</f>
        <v>46.93</v>
      </c>
      <c r="DN90" s="183">
        <f t="shared" si="89"/>
        <v>44.583500000000001</v>
      </c>
      <c r="DO90" s="183">
        <f t="shared" si="89"/>
        <v>42.354324999999996</v>
      </c>
      <c r="DP90" s="183">
        <f t="shared" si="89"/>
        <v>40.236608749999995</v>
      </c>
    </row>
    <row r="91" spans="1:120" x14ac:dyDescent="0.2">
      <c r="A91" s="68" t="s">
        <v>100</v>
      </c>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9"/>
      <c r="BF91" s="69"/>
      <c r="BG91" s="69"/>
      <c r="BH91" s="69"/>
      <c r="BI91" s="69"/>
      <c r="BJ91" s="69"/>
      <c r="BK91" s="114"/>
      <c r="BL91" s="114"/>
      <c r="BM91" s="114"/>
      <c r="BN91" s="69"/>
      <c r="BO91" s="69"/>
      <c r="BP91" s="114"/>
      <c r="BQ91" s="114"/>
      <c r="BR91" s="114"/>
      <c r="BS91" s="67"/>
      <c r="BT91" s="69"/>
      <c r="BU91" s="69"/>
      <c r="BV91" s="114"/>
      <c r="BW91" s="114"/>
      <c r="BX91" s="67"/>
      <c r="BY91" s="67"/>
      <c r="BZ91" s="67"/>
      <c r="CA91" s="67"/>
      <c r="CB91" s="67"/>
      <c r="CC91" s="67"/>
      <c r="CD91" s="36">
        <v>76</v>
      </c>
      <c r="CE91" s="36">
        <v>78</v>
      </c>
      <c r="CF91" s="36">
        <v>78</v>
      </c>
      <c r="CG91" s="36">
        <v>90</v>
      </c>
      <c r="CH91" s="36">
        <f>SUM(CD91:CG91)</f>
        <v>322</v>
      </c>
      <c r="CI91" s="36">
        <v>94</v>
      </c>
      <c r="CJ91" s="36">
        <v>100.3</v>
      </c>
      <c r="CK91" s="36">
        <v>99</v>
      </c>
      <c r="CL91" s="36">
        <v>95</v>
      </c>
      <c r="CM91" s="36">
        <f>CL91+CK91+CJ91+CI91</f>
        <v>388.3</v>
      </c>
      <c r="CN91" s="36">
        <v>99</v>
      </c>
      <c r="CO91" s="36">
        <v>93</v>
      </c>
      <c r="CP91" s="36">
        <v>100</v>
      </c>
      <c r="CQ91" s="36">
        <v>89</v>
      </c>
      <c r="CR91" s="36">
        <f>CQ91+CP91+CO91+CN91</f>
        <v>381</v>
      </c>
      <c r="CS91" s="36">
        <v>87</v>
      </c>
      <c r="CT91" s="36">
        <v>67</v>
      </c>
      <c r="CU91" s="36">
        <v>66</v>
      </c>
      <c r="CV91" s="36">
        <v>67</v>
      </c>
      <c r="CW91" s="72">
        <f>SUM(CS91:CV91)</f>
        <v>287</v>
      </c>
      <c r="CX91" s="36">
        <v>52</v>
      </c>
      <c r="CY91" s="36">
        <v>52</v>
      </c>
      <c r="CZ91" s="36">
        <v>45</v>
      </c>
      <c r="DA91" s="36">
        <v>50</v>
      </c>
      <c r="DB91" s="72">
        <f>SUM(CX91:DA91)</f>
        <v>199</v>
      </c>
      <c r="DC91" s="72">
        <v>48</v>
      </c>
      <c r="DD91" s="72">
        <v>45</v>
      </c>
      <c r="DE91" s="72">
        <v>49</v>
      </c>
      <c r="DF91" s="72">
        <v>46</v>
      </c>
      <c r="DG91" s="36">
        <f>SUM(DC91:DF91)</f>
        <v>188</v>
      </c>
      <c r="DH91" s="36">
        <f t="shared" si="88"/>
        <v>40.799999999999997</v>
      </c>
      <c r="DI91" s="36">
        <f t="shared" si="88"/>
        <v>38.25</v>
      </c>
      <c r="DJ91" s="36">
        <f t="shared" si="88"/>
        <v>41.65</v>
      </c>
      <c r="DK91" s="36">
        <f t="shared" si="88"/>
        <v>39.1</v>
      </c>
      <c r="DL91" s="183">
        <f>SUM(DH91:DK91)</f>
        <v>159.79999999999998</v>
      </c>
      <c r="DM91" s="183">
        <f t="shared" si="89"/>
        <v>135.82999999999998</v>
      </c>
      <c r="DN91" s="183">
        <f t="shared" si="89"/>
        <v>115.45549999999999</v>
      </c>
      <c r="DO91" s="183">
        <f t="shared" si="89"/>
        <v>98.137174999999985</v>
      </c>
      <c r="DP91" s="183">
        <f t="shared" si="89"/>
        <v>83.416598749999991</v>
      </c>
    </row>
    <row r="92" spans="1:120" x14ac:dyDescent="0.2">
      <c r="A92" s="66" t="s">
        <v>101</v>
      </c>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9"/>
      <c r="BF92" s="69"/>
      <c r="BG92" s="69"/>
      <c r="BH92" s="69"/>
      <c r="BI92" s="69"/>
      <c r="BJ92" s="69"/>
      <c r="BK92" s="114"/>
      <c r="BL92" s="114"/>
      <c r="BM92" s="114"/>
      <c r="BN92" s="69"/>
      <c r="BO92" s="69"/>
      <c r="BP92" s="114"/>
      <c r="BQ92" s="114"/>
      <c r="BR92" s="114"/>
      <c r="BS92" s="67"/>
      <c r="BT92" s="69"/>
      <c r="BU92" s="69"/>
      <c r="BV92" s="114"/>
      <c r="BW92" s="114"/>
      <c r="BX92" s="67"/>
      <c r="BY92" s="67"/>
      <c r="BZ92" s="67"/>
      <c r="CA92" s="67"/>
      <c r="CB92" s="67"/>
      <c r="CC92" s="67"/>
      <c r="CD92" s="74">
        <f t="shared" ref="CD92:CV92" si="90">CD91+CD90</f>
        <v>141</v>
      </c>
      <c r="CE92" s="74">
        <f t="shared" si="90"/>
        <v>155</v>
      </c>
      <c r="CF92" s="74">
        <f t="shared" si="90"/>
        <v>161</v>
      </c>
      <c r="CG92" s="74">
        <f t="shared" si="90"/>
        <v>179</v>
      </c>
      <c r="CH92" s="74">
        <f t="shared" si="90"/>
        <v>636</v>
      </c>
      <c r="CI92" s="74">
        <f t="shared" si="90"/>
        <v>175</v>
      </c>
      <c r="CJ92" s="74">
        <f t="shared" si="90"/>
        <v>187.6</v>
      </c>
      <c r="CK92" s="39">
        <f t="shared" si="90"/>
        <v>188</v>
      </c>
      <c r="CL92" s="39">
        <f t="shared" si="90"/>
        <v>191</v>
      </c>
      <c r="CM92" s="39">
        <f t="shared" si="90"/>
        <v>741.6</v>
      </c>
      <c r="CN92" s="39">
        <f t="shared" si="90"/>
        <v>190</v>
      </c>
      <c r="CO92" s="39">
        <f t="shared" si="90"/>
        <v>193</v>
      </c>
      <c r="CP92" s="39">
        <f t="shared" si="90"/>
        <v>177</v>
      </c>
      <c r="CQ92" s="39">
        <f t="shared" si="90"/>
        <v>103</v>
      </c>
      <c r="CR92" s="39">
        <f t="shared" si="90"/>
        <v>663</v>
      </c>
      <c r="CS92" s="39">
        <f>CS91+CS90-1</f>
        <v>94</v>
      </c>
      <c r="CT92" s="39">
        <f t="shared" si="90"/>
        <v>73</v>
      </c>
      <c r="CU92" s="39">
        <f t="shared" si="90"/>
        <v>79</v>
      </c>
      <c r="CV92" s="39">
        <f t="shared" si="90"/>
        <v>82</v>
      </c>
      <c r="CW92" s="74">
        <f>SUM(CS92:CV92)</f>
        <v>328</v>
      </c>
      <c r="CX92" s="39">
        <f>SUM(CX90:CX91)</f>
        <v>67</v>
      </c>
      <c r="CY92" s="39">
        <f>SUM(CY90:CY91)</f>
        <v>66</v>
      </c>
      <c r="CZ92" s="39">
        <f>SUM(CZ90:CZ91)</f>
        <v>64</v>
      </c>
      <c r="DA92" s="39">
        <f>SUM(DA90:DA91)</f>
        <v>61</v>
      </c>
      <c r="DB92" s="74">
        <f>SUM(CX92:DA92)</f>
        <v>258</v>
      </c>
      <c r="DC92" s="74">
        <f>DC91+DC90</f>
        <v>58</v>
      </c>
      <c r="DD92" s="74">
        <f>DD91+DD90</f>
        <v>61</v>
      </c>
      <c r="DE92" s="74">
        <f>DE91+DE90</f>
        <v>62</v>
      </c>
      <c r="DF92" s="74">
        <f>DF91+DF90</f>
        <v>59</v>
      </c>
      <c r="DG92" s="39">
        <f>SUM(DC92:DF92)</f>
        <v>240</v>
      </c>
      <c r="DH92" s="39">
        <f>DH91+DH90</f>
        <v>50.3</v>
      </c>
      <c r="DI92" s="39">
        <f>DI91+DI90</f>
        <v>53.45</v>
      </c>
      <c r="DJ92" s="39">
        <f>DJ91+DJ90</f>
        <v>54</v>
      </c>
      <c r="DK92" s="39">
        <f>DK91+DK90</f>
        <v>51.45</v>
      </c>
      <c r="DL92" s="187">
        <f>SUM(DH92:DK92)</f>
        <v>209.2</v>
      </c>
      <c r="DM92" s="187">
        <f t="shared" ref="DM92:DP92" si="91">DM91+DM90</f>
        <v>182.76</v>
      </c>
      <c r="DN92" s="187">
        <f t="shared" si="91"/>
        <v>160.03899999999999</v>
      </c>
      <c r="DO92" s="187">
        <f t="shared" si="91"/>
        <v>140.49149999999997</v>
      </c>
      <c r="DP92" s="187">
        <f t="shared" si="91"/>
        <v>123.65320749999998</v>
      </c>
    </row>
    <row r="93" spans="1:120" x14ac:dyDescent="0.2">
      <c r="A93" s="68" t="s">
        <v>54</v>
      </c>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9"/>
      <c r="BF93" s="69"/>
      <c r="BG93" s="69"/>
      <c r="BH93" s="69"/>
      <c r="BI93" s="69"/>
      <c r="BJ93" s="69"/>
      <c r="BK93" s="114"/>
      <c r="BL93" s="114"/>
      <c r="BM93" s="114"/>
      <c r="BN93" s="69"/>
      <c r="BO93" s="69"/>
      <c r="BP93" s="114"/>
      <c r="BQ93" s="114"/>
      <c r="BR93" s="114"/>
      <c r="BS93" s="67"/>
      <c r="BT93" s="69"/>
      <c r="BU93" s="69"/>
      <c r="BV93" s="114"/>
      <c r="BW93" s="114"/>
      <c r="BX93" s="67"/>
      <c r="BY93" s="67"/>
      <c r="BZ93" s="67"/>
      <c r="CA93" s="67"/>
      <c r="CB93" s="67"/>
      <c r="CC93" s="67"/>
      <c r="CD93" s="67"/>
      <c r="CE93" s="67"/>
      <c r="CF93" s="67"/>
      <c r="CG93" s="67"/>
      <c r="CH93" s="75" t="e">
        <f t="shared" ref="CH93:DD95" si="92">CH90/CC90-1</f>
        <v>#DIV/0!</v>
      </c>
      <c r="CI93" s="76">
        <f t="shared" si="92"/>
        <v>0.24615384615384617</v>
      </c>
      <c r="CJ93" s="76">
        <f t="shared" si="92"/>
        <v>0.13376623376623376</v>
      </c>
      <c r="CK93" s="76">
        <f t="shared" si="92"/>
        <v>7.2289156626506035E-2</v>
      </c>
      <c r="CL93" s="76">
        <f t="shared" si="92"/>
        <v>7.8651685393258397E-2</v>
      </c>
      <c r="CM93" s="76">
        <f t="shared" si="92"/>
        <v>0.12515923566878984</v>
      </c>
      <c r="CN93" s="75">
        <f t="shared" si="92"/>
        <v>0.12345679012345689</v>
      </c>
      <c r="CO93" s="75">
        <f t="shared" si="92"/>
        <v>0.14547537227949592</v>
      </c>
      <c r="CP93" s="75">
        <f t="shared" si="92"/>
        <v>-0.1348314606741573</v>
      </c>
      <c r="CQ93" s="75">
        <f t="shared" si="92"/>
        <v>-0.85416666666666663</v>
      </c>
      <c r="CR93" s="76">
        <f>CR90/CM90-1</f>
        <v>-0.20181149165015566</v>
      </c>
      <c r="CS93" s="75">
        <f t="shared" si="92"/>
        <v>-0.91208791208791207</v>
      </c>
      <c r="CT93" s="75">
        <f t="shared" si="92"/>
        <v>-0.94</v>
      </c>
      <c r="CU93" s="75">
        <f t="shared" si="92"/>
        <v>-0.83116883116883122</v>
      </c>
      <c r="CV93" s="75">
        <f t="shared" si="92"/>
        <v>7.1428571428571397E-2</v>
      </c>
      <c r="CW93" s="90">
        <f>CW90/CR90-1</f>
        <v>-0.85106382978723405</v>
      </c>
      <c r="CX93" s="75">
        <f t="shared" si="92"/>
        <v>0.875</v>
      </c>
      <c r="CY93" s="75">
        <f t="shared" si="92"/>
        <v>1.3333333333333335</v>
      </c>
      <c r="CZ93" s="75">
        <f t="shared" si="92"/>
        <v>0.46153846153846145</v>
      </c>
      <c r="DA93" s="75">
        <f t="shared" si="92"/>
        <v>-0.26666666666666672</v>
      </c>
      <c r="DB93" s="75">
        <v>-0.5</v>
      </c>
      <c r="DC93" s="75">
        <f t="shared" si="92"/>
        <v>-0.33333333333333337</v>
      </c>
      <c r="DD93" s="75">
        <f t="shared" si="92"/>
        <v>0.14285714285714279</v>
      </c>
      <c r="DE93" s="75">
        <f>DE90/CZ90-1</f>
        <v>-0.31578947368421051</v>
      </c>
      <c r="DF93" s="75">
        <f>DF90/DA90-1</f>
        <v>0.18181818181818188</v>
      </c>
      <c r="DG93" s="75">
        <v>-0.5</v>
      </c>
      <c r="DH93" s="75">
        <v>-0.05</v>
      </c>
      <c r="DI93" s="75">
        <v>-0.05</v>
      </c>
      <c r="DJ93" s="75">
        <v>-0.05</v>
      </c>
      <c r="DK93" s="75">
        <v>-0.05</v>
      </c>
      <c r="DL93" s="192">
        <v>-0.5</v>
      </c>
      <c r="DM93" s="192">
        <v>-0.05</v>
      </c>
      <c r="DN93" s="192">
        <v>-0.05</v>
      </c>
      <c r="DO93" s="192">
        <v>-0.05</v>
      </c>
      <c r="DP93" s="192">
        <v>-0.05</v>
      </c>
    </row>
    <row r="94" spans="1:120" x14ac:dyDescent="0.2">
      <c r="A94" s="68" t="s">
        <v>55</v>
      </c>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9"/>
      <c r="BF94" s="69"/>
      <c r="BG94" s="69"/>
      <c r="BH94" s="69"/>
      <c r="BI94" s="69"/>
      <c r="BJ94" s="69"/>
      <c r="BK94" s="114"/>
      <c r="BL94" s="114"/>
      <c r="BM94" s="114"/>
      <c r="BN94" s="69"/>
      <c r="BO94" s="69"/>
      <c r="BP94" s="114"/>
      <c r="BQ94" s="114"/>
      <c r="BR94" s="114"/>
      <c r="BS94" s="67"/>
      <c r="BT94" s="69"/>
      <c r="BU94" s="69"/>
      <c r="BV94" s="114"/>
      <c r="BW94" s="114"/>
      <c r="BX94" s="67"/>
      <c r="BY94" s="67"/>
      <c r="BZ94" s="67"/>
      <c r="CA94" s="67"/>
      <c r="CB94" s="67"/>
      <c r="CC94" s="67"/>
      <c r="CD94" s="67"/>
      <c r="CE94" s="67"/>
      <c r="CF94" s="67"/>
      <c r="CG94" s="67"/>
      <c r="CH94" s="75" t="e">
        <f t="shared" si="92"/>
        <v>#DIV/0!</v>
      </c>
      <c r="CI94" s="76">
        <f t="shared" si="92"/>
        <v>0.23684210526315796</v>
      </c>
      <c r="CJ94" s="76">
        <f t="shared" si="92"/>
        <v>0.28589743589743577</v>
      </c>
      <c r="CK94" s="76">
        <f t="shared" si="92"/>
        <v>0.26923076923076916</v>
      </c>
      <c r="CL94" s="76">
        <f t="shared" si="92"/>
        <v>5.555555555555558E-2</v>
      </c>
      <c r="CM94" s="76">
        <f t="shared" si="92"/>
        <v>0.20590062111801255</v>
      </c>
      <c r="CN94" s="75">
        <f t="shared" si="92"/>
        <v>5.3191489361702038E-2</v>
      </c>
      <c r="CO94" s="75">
        <f t="shared" si="92"/>
        <v>-7.278165503489531E-2</v>
      </c>
      <c r="CP94" s="75">
        <f t="shared" si="92"/>
        <v>1.0101010101010166E-2</v>
      </c>
      <c r="CQ94" s="75">
        <f t="shared" si="92"/>
        <v>-6.315789473684208E-2</v>
      </c>
      <c r="CR94" s="76">
        <f>CR91/CM91-1</f>
        <v>-1.8799896986865905E-2</v>
      </c>
      <c r="CS94" s="75">
        <f t="shared" si="92"/>
        <v>-0.12121212121212122</v>
      </c>
      <c r="CT94" s="75">
        <f t="shared" si="92"/>
        <v>-0.27956989247311825</v>
      </c>
      <c r="CU94" s="75">
        <f t="shared" si="92"/>
        <v>-0.33999999999999997</v>
      </c>
      <c r="CV94" s="75">
        <f t="shared" si="92"/>
        <v>-0.2471910112359551</v>
      </c>
      <c r="CW94" s="90">
        <f>CW91/CR91-1</f>
        <v>-0.24671916010498685</v>
      </c>
      <c r="CX94" s="75">
        <f t="shared" si="92"/>
        <v>-0.4022988505747126</v>
      </c>
      <c r="CY94" s="75">
        <f t="shared" si="92"/>
        <v>-0.22388059701492535</v>
      </c>
      <c r="CZ94" s="75">
        <f t="shared" si="92"/>
        <v>-0.31818181818181823</v>
      </c>
      <c r="DA94" s="75">
        <f t="shared" si="92"/>
        <v>-0.25373134328358204</v>
      </c>
      <c r="DB94" s="75">
        <v>-0.4</v>
      </c>
      <c r="DC94" s="75">
        <f t="shared" si="92"/>
        <v>-7.6923076923076872E-2</v>
      </c>
      <c r="DD94" s="75">
        <f t="shared" si="92"/>
        <v>-0.13461538461538458</v>
      </c>
      <c r="DE94" s="75">
        <f>DE91/CZ91-1</f>
        <v>8.8888888888888795E-2</v>
      </c>
      <c r="DF94" s="75">
        <f>DF91/DA91-1</f>
        <v>-7.999999999999996E-2</v>
      </c>
      <c r="DG94" s="75">
        <v>-0.4</v>
      </c>
      <c r="DH94" s="75">
        <v>-0.15</v>
      </c>
      <c r="DI94" s="75">
        <v>-0.15</v>
      </c>
      <c r="DJ94" s="75">
        <v>-0.15</v>
      </c>
      <c r="DK94" s="75">
        <v>-0.15</v>
      </c>
      <c r="DL94" s="192">
        <v>-0.4</v>
      </c>
      <c r="DM94" s="192">
        <v>-0.15</v>
      </c>
      <c r="DN94" s="192">
        <v>-0.15</v>
      </c>
      <c r="DO94" s="192">
        <v>-0.15</v>
      </c>
      <c r="DP94" s="192">
        <v>-0.15</v>
      </c>
    </row>
    <row r="95" spans="1:120" x14ac:dyDescent="0.2">
      <c r="A95" s="78" t="s">
        <v>95</v>
      </c>
      <c r="B95" s="98"/>
      <c r="C95" s="98"/>
      <c r="D95" s="98"/>
      <c r="E95" s="98"/>
      <c r="F95" s="98"/>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0"/>
      <c r="BF95" s="80"/>
      <c r="BG95" s="80"/>
      <c r="BH95" s="80"/>
      <c r="BI95" s="80"/>
      <c r="BJ95" s="80"/>
      <c r="BK95" s="91"/>
      <c r="BL95" s="91"/>
      <c r="BM95" s="91"/>
      <c r="BN95" s="80"/>
      <c r="BO95" s="80"/>
      <c r="BP95" s="91"/>
      <c r="BQ95" s="91"/>
      <c r="BR95" s="91"/>
      <c r="BS95" s="83"/>
      <c r="BT95" s="80"/>
      <c r="BU95" s="80"/>
      <c r="BV95" s="91"/>
      <c r="BW95" s="91"/>
      <c r="BX95" s="83"/>
      <c r="BY95" s="83"/>
      <c r="BZ95" s="83"/>
      <c r="CA95" s="83"/>
      <c r="CB95" s="83"/>
      <c r="CC95" s="83"/>
      <c r="CD95" s="83"/>
      <c r="CE95" s="83"/>
      <c r="CF95" s="83"/>
      <c r="CG95" s="83"/>
      <c r="CH95" s="83" t="e">
        <f t="shared" si="92"/>
        <v>#DIV/0!</v>
      </c>
      <c r="CI95" s="83">
        <f t="shared" si="92"/>
        <v>0.24113475177304955</v>
      </c>
      <c r="CJ95" s="83">
        <f t="shared" si="92"/>
        <v>0.21032258064516118</v>
      </c>
      <c r="CK95" s="83">
        <f t="shared" si="92"/>
        <v>0.16770186335403725</v>
      </c>
      <c r="CL95" s="83">
        <f t="shared" si="92"/>
        <v>6.7039106145251326E-2</v>
      </c>
      <c r="CM95" s="80">
        <f t="shared" si="92"/>
        <v>0.16603773584905657</v>
      </c>
      <c r="CN95" s="83">
        <f t="shared" si="92"/>
        <v>8.5714285714285632E-2</v>
      </c>
      <c r="CO95" s="83">
        <f t="shared" si="92"/>
        <v>2.8784648187633266E-2</v>
      </c>
      <c r="CP95" s="83">
        <f t="shared" si="92"/>
        <v>-5.8510638297872286E-2</v>
      </c>
      <c r="CQ95" s="83">
        <f t="shared" si="92"/>
        <v>-0.46073298429319376</v>
      </c>
      <c r="CR95" s="80">
        <f>CR92/CM92-1</f>
        <v>-0.10598705501618122</v>
      </c>
      <c r="CS95" s="83">
        <f t="shared" si="92"/>
        <v>-0.50526315789473686</v>
      </c>
      <c r="CT95" s="83">
        <f t="shared" si="92"/>
        <v>-0.62176165803108807</v>
      </c>
      <c r="CU95" s="83">
        <f t="shared" si="92"/>
        <v>-0.5536723163841808</v>
      </c>
      <c r="CV95" s="83">
        <f t="shared" si="92"/>
        <v>-0.20388349514563109</v>
      </c>
      <c r="CW95" s="83">
        <f>CW92/CR92-1</f>
        <v>-0.50527903469079938</v>
      </c>
      <c r="CX95" s="83">
        <f t="shared" si="92"/>
        <v>-0.28723404255319152</v>
      </c>
      <c r="CY95" s="83">
        <v>-0.41097560975609759</v>
      </c>
      <c r="CZ95" s="83">
        <v>-0.41097560975609759</v>
      </c>
      <c r="DA95" s="83">
        <v>-0.41097560975609759</v>
      </c>
      <c r="DB95" s="83">
        <f t="shared" ref="DB95:DL95" si="93">DB92/CW92-1</f>
        <v>-0.21341463414634143</v>
      </c>
      <c r="DC95" s="83">
        <f t="shared" si="93"/>
        <v>-0.13432835820895528</v>
      </c>
      <c r="DD95" s="83">
        <f t="shared" si="93"/>
        <v>-7.5757575757575801E-2</v>
      </c>
      <c r="DE95" s="83">
        <f t="shared" si="93"/>
        <v>-3.125E-2</v>
      </c>
      <c r="DF95" s="83">
        <f t="shared" si="93"/>
        <v>-3.2786885245901676E-2</v>
      </c>
      <c r="DG95" s="83">
        <f t="shared" si="93"/>
        <v>-6.9767441860465129E-2</v>
      </c>
      <c r="DH95" s="83">
        <f t="shared" si="93"/>
        <v>-0.13275862068965527</v>
      </c>
      <c r="DI95" s="83">
        <f t="shared" si="93"/>
        <v>-0.12377049180327859</v>
      </c>
      <c r="DJ95" s="83">
        <f t="shared" si="93"/>
        <v>-0.12903225806451613</v>
      </c>
      <c r="DK95" s="83">
        <f t="shared" si="93"/>
        <v>-0.12796610169491518</v>
      </c>
      <c r="DL95" s="193">
        <f t="shared" si="93"/>
        <v>-0.12833333333333341</v>
      </c>
      <c r="DM95" s="193">
        <f t="shared" ref="DM95:DP95" si="94">DM92/DL92-1</f>
        <v>-0.12638623326959841</v>
      </c>
      <c r="DN95" s="193">
        <f t="shared" si="94"/>
        <v>-0.12432151455460716</v>
      </c>
      <c r="DO95" s="193">
        <f t="shared" si="94"/>
        <v>-0.12214210286242733</v>
      </c>
      <c r="DP95" s="193">
        <f t="shared" si="94"/>
        <v>-0.11985274909869992</v>
      </c>
    </row>
    <row r="96" spans="1:120" x14ac:dyDescent="0.2">
      <c r="A96" s="115" t="s">
        <v>102</v>
      </c>
      <c r="B96" s="36">
        <v>42.413315850815849</v>
      </c>
      <c r="C96" s="36">
        <v>42.413315850815849</v>
      </c>
      <c r="D96" s="86">
        <v>34.965034965034967</v>
      </c>
      <c r="E96" s="36">
        <v>50.681089743589745</v>
      </c>
      <c r="F96" s="36">
        <v>170.47275641025641</v>
      </c>
      <c r="G96" s="36">
        <v>26</v>
      </c>
      <c r="H96" s="36">
        <v>45</v>
      </c>
      <c r="I96" s="86">
        <v>44</v>
      </c>
      <c r="J96" s="86">
        <v>68</v>
      </c>
      <c r="K96" s="36">
        <f>J96+I96+H96+G96</f>
        <v>183</v>
      </c>
      <c r="L96" s="86">
        <v>62</v>
      </c>
      <c r="M96" s="86">
        <v>33</v>
      </c>
      <c r="N96" s="86">
        <v>58</v>
      </c>
      <c r="O96" s="36">
        <v>26</v>
      </c>
      <c r="P96" s="36">
        <f>O96+N96+M96+L96</f>
        <v>179</v>
      </c>
      <c r="Q96" s="36">
        <v>29</v>
      </c>
      <c r="R96" s="36">
        <v>36</v>
      </c>
      <c r="S96" s="36">
        <v>42</v>
      </c>
      <c r="T96" s="36">
        <v>54</v>
      </c>
      <c r="U96" s="36">
        <f>T96+S96+R96+Q96</f>
        <v>161</v>
      </c>
      <c r="V96" s="36">
        <v>54</v>
      </c>
      <c r="W96" s="36">
        <v>51</v>
      </c>
      <c r="X96" s="36">
        <v>51</v>
      </c>
      <c r="Y96" s="36">
        <v>57</v>
      </c>
      <c r="Z96" s="36">
        <f>Y96+X96+W96+V96</f>
        <v>213</v>
      </c>
      <c r="AA96" s="36">
        <v>50</v>
      </c>
      <c r="AB96" s="36">
        <v>49</v>
      </c>
      <c r="AC96" s="36">
        <v>55</v>
      </c>
      <c r="AD96" s="36">
        <v>58</v>
      </c>
      <c r="AE96" s="36">
        <f>AD96+AC96+AB96+AA96</f>
        <v>212</v>
      </c>
      <c r="AF96" s="36">
        <v>61</v>
      </c>
      <c r="AG96" s="36">
        <v>51</v>
      </c>
      <c r="AH96" s="36">
        <v>47</v>
      </c>
      <c r="AI96" s="36">
        <v>51</v>
      </c>
      <c r="AJ96" s="36">
        <f>AI96+AH96+AG96+AF96</f>
        <v>210</v>
      </c>
      <c r="AK96" s="36">
        <v>51</v>
      </c>
      <c r="AL96" s="36">
        <v>41</v>
      </c>
      <c r="AM96" s="36">
        <v>32</v>
      </c>
      <c r="AN96" s="36">
        <v>39</v>
      </c>
      <c r="AO96" s="36">
        <f>AN96+AM96+AL96+AK96</f>
        <v>163</v>
      </c>
      <c r="AP96" s="36">
        <v>30</v>
      </c>
      <c r="AQ96" s="36">
        <v>32</v>
      </c>
      <c r="AR96" s="36">
        <v>33</v>
      </c>
      <c r="AS96" s="36">
        <v>41</v>
      </c>
      <c r="AT96" s="36">
        <f>AS96+AR96+AQ96+AP96</f>
        <v>136</v>
      </c>
      <c r="AU96" s="36">
        <v>35</v>
      </c>
      <c r="AV96" s="36">
        <v>32</v>
      </c>
      <c r="AW96" s="36">
        <v>27</v>
      </c>
      <c r="AX96" s="36">
        <v>29</v>
      </c>
      <c r="AY96" s="36">
        <f>AX96+AW96+AV96+AU96</f>
        <v>123</v>
      </c>
      <c r="AZ96" s="36">
        <v>25</v>
      </c>
      <c r="BA96" s="36">
        <v>26</v>
      </c>
      <c r="BB96" s="36">
        <v>21</v>
      </c>
      <c r="BC96" s="36">
        <v>14</v>
      </c>
      <c r="BD96" s="36">
        <f>BC96+BB96+BA96+AZ96</f>
        <v>86</v>
      </c>
      <c r="BE96" s="36">
        <v>4</v>
      </c>
      <c r="BF96" s="36">
        <v>7</v>
      </c>
      <c r="BG96" s="36">
        <v>6</v>
      </c>
      <c r="BH96" s="36">
        <v>4</v>
      </c>
      <c r="BI96" s="36">
        <f>SUM(BE96:BH96)</f>
        <v>21</v>
      </c>
      <c r="BJ96" s="36">
        <v>4</v>
      </c>
      <c r="BK96" s="36">
        <v>4</v>
      </c>
      <c r="BL96" s="36">
        <v>8</v>
      </c>
      <c r="BM96" s="36">
        <v>3</v>
      </c>
      <c r="BN96" s="36">
        <f>SUM(BJ96:BM96)</f>
        <v>19</v>
      </c>
      <c r="BO96" s="36">
        <v>3</v>
      </c>
      <c r="BP96" s="36">
        <v>0</v>
      </c>
      <c r="BQ96" s="36">
        <v>1</v>
      </c>
      <c r="BR96" s="36">
        <v>2</v>
      </c>
      <c r="BS96" s="36">
        <f>SUM(BO96:BR96)</f>
        <v>6</v>
      </c>
      <c r="BT96" s="36">
        <v>3</v>
      </c>
      <c r="BU96" s="36">
        <v>1</v>
      </c>
      <c r="BV96" s="36">
        <v>1</v>
      </c>
      <c r="BW96" s="36">
        <v>3</v>
      </c>
      <c r="BX96" s="36">
        <f>SUM(BT96:BW96)</f>
        <v>8</v>
      </c>
      <c r="BY96" s="36">
        <v>1</v>
      </c>
      <c r="BZ96" s="36">
        <v>2</v>
      </c>
      <c r="CA96" s="36">
        <v>1</v>
      </c>
      <c r="CB96" s="36">
        <v>1</v>
      </c>
      <c r="CC96" s="36">
        <f>SUM(BY96:CB96)</f>
        <v>5</v>
      </c>
      <c r="CD96" s="36">
        <v>0</v>
      </c>
      <c r="CE96" s="36">
        <v>1</v>
      </c>
      <c r="CF96" s="36">
        <v>5</v>
      </c>
      <c r="CG96" s="36">
        <v>3</v>
      </c>
      <c r="CH96" s="36">
        <f>SUM(CD96:CG96)</f>
        <v>9</v>
      </c>
      <c r="CI96" s="36">
        <v>5</v>
      </c>
      <c r="CJ96" s="36">
        <v>0</v>
      </c>
      <c r="CK96" s="36">
        <v>1</v>
      </c>
      <c r="CL96" s="36">
        <v>1</v>
      </c>
      <c r="CM96" s="36">
        <f>SUM(CI96:CL96)</f>
        <v>7</v>
      </c>
      <c r="CN96" s="36">
        <v>0</v>
      </c>
      <c r="CO96" s="36">
        <v>0</v>
      </c>
      <c r="CP96" s="36">
        <v>2</v>
      </c>
      <c r="CQ96" s="36">
        <v>0</v>
      </c>
      <c r="CR96" s="36">
        <f>SUM(CN96:CQ96)</f>
        <v>2</v>
      </c>
      <c r="CS96" s="36">
        <v>0</v>
      </c>
      <c r="CT96" s="36">
        <v>1</v>
      </c>
      <c r="CU96" s="36">
        <v>1</v>
      </c>
      <c r="CV96" s="36">
        <v>0</v>
      </c>
      <c r="CW96" s="72">
        <f>SUM(CS96:CV96)</f>
        <v>2</v>
      </c>
      <c r="CX96" s="36">
        <v>0</v>
      </c>
      <c r="CY96" s="36">
        <v>0</v>
      </c>
      <c r="CZ96" s="36">
        <v>0</v>
      </c>
      <c r="DA96" s="36">
        <v>1</v>
      </c>
      <c r="DB96" s="72">
        <f>SUM(CX96:DA96)</f>
        <v>1</v>
      </c>
      <c r="DC96" s="72">
        <v>1</v>
      </c>
      <c r="DD96" s="72">
        <v>0</v>
      </c>
      <c r="DE96" s="72"/>
      <c r="DF96" s="72">
        <v>1</v>
      </c>
      <c r="DG96" s="36"/>
      <c r="DH96" s="36"/>
      <c r="DI96" s="36"/>
      <c r="DJ96" s="36"/>
      <c r="DK96" s="36"/>
      <c r="DL96" s="183"/>
      <c r="DM96" s="183"/>
      <c r="DN96" s="183"/>
      <c r="DO96" s="183"/>
      <c r="DP96" s="183"/>
    </row>
    <row r="97" spans="1:120" x14ac:dyDescent="0.2">
      <c r="A97" s="115" t="s">
        <v>103</v>
      </c>
      <c r="B97" s="36">
        <v>105.26315789473685</v>
      </c>
      <c r="C97" s="36">
        <v>105.26315789473685</v>
      </c>
      <c r="D97" s="86">
        <v>100</v>
      </c>
      <c r="E97" s="36">
        <v>110.18675721561971</v>
      </c>
      <c r="F97" s="36">
        <v>420.71307300509341</v>
      </c>
      <c r="G97" s="36">
        <v>94</v>
      </c>
      <c r="H97" s="36">
        <v>96</v>
      </c>
      <c r="I97" s="86">
        <v>105</v>
      </c>
      <c r="J97" s="86">
        <v>107</v>
      </c>
      <c r="K97" s="36">
        <f>J97+I97+H97+G97</f>
        <v>402</v>
      </c>
      <c r="L97" s="86">
        <v>102</v>
      </c>
      <c r="M97" s="86">
        <v>113</v>
      </c>
      <c r="N97" s="86">
        <v>112</v>
      </c>
      <c r="O97" s="36">
        <v>123</v>
      </c>
      <c r="P97" s="36">
        <f>O97+N97+M97+L97</f>
        <v>450</v>
      </c>
      <c r="Q97" s="36">
        <v>121</v>
      </c>
      <c r="R97" s="36">
        <v>117</v>
      </c>
      <c r="S97" s="36">
        <v>119</v>
      </c>
      <c r="T97" s="36">
        <v>122</v>
      </c>
      <c r="U97" s="36">
        <f>T97+S97+R97+Q97</f>
        <v>479</v>
      </c>
      <c r="V97" s="36">
        <v>131</v>
      </c>
      <c r="W97" s="36">
        <v>131</v>
      </c>
      <c r="X97" s="36">
        <v>131</v>
      </c>
      <c r="Y97" s="36">
        <v>135</v>
      </c>
      <c r="Z97" s="36">
        <f>Y97+X97+W97+V97</f>
        <v>528</v>
      </c>
      <c r="AA97" s="36">
        <v>119</v>
      </c>
      <c r="AB97" s="36">
        <v>123</v>
      </c>
      <c r="AC97" s="36">
        <v>127</v>
      </c>
      <c r="AD97" s="36">
        <v>124</v>
      </c>
      <c r="AE97" s="36">
        <f>AD97+AC97+AB97+AA97</f>
        <v>493</v>
      </c>
      <c r="AF97" s="36">
        <v>136</v>
      </c>
      <c r="AG97" s="36">
        <v>135</v>
      </c>
      <c r="AH97" s="36">
        <v>139</v>
      </c>
      <c r="AI97" s="36">
        <v>144</v>
      </c>
      <c r="AJ97" s="36">
        <f>AI97+AH97+AG97+AF97</f>
        <v>554</v>
      </c>
      <c r="AK97" s="36">
        <v>152</v>
      </c>
      <c r="AL97" s="36">
        <v>160</v>
      </c>
      <c r="AM97" s="36">
        <v>155</v>
      </c>
      <c r="AN97" s="36">
        <v>130</v>
      </c>
      <c r="AO97" s="36">
        <f>AN97+AM97+AL97+AK97</f>
        <v>597</v>
      </c>
      <c r="AP97" s="36">
        <v>134</v>
      </c>
      <c r="AQ97" s="36">
        <v>128</v>
      </c>
      <c r="AR97" s="36">
        <v>135</v>
      </c>
      <c r="AS97" s="36">
        <v>155</v>
      </c>
      <c r="AT97" s="36">
        <f>AS97+AR97+AQ97+AP97</f>
        <v>552</v>
      </c>
      <c r="AU97" s="36">
        <v>124</v>
      </c>
      <c r="AV97" s="36">
        <v>125</v>
      </c>
      <c r="AW97" s="36">
        <v>108</v>
      </c>
      <c r="AX97" s="36">
        <v>130</v>
      </c>
      <c r="AY97" s="36">
        <f>AX97+AW97+AV97+AU97</f>
        <v>487</v>
      </c>
      <c r="AZ97" s="36">
        <v>111</v>
      </c>
      <c r="BA97" s="36">
        <v>110</v>
      </c>
      <c r="BB97" s="36">
        <v>103</v>
      </c>
      <c r="BC97" s="36">
        <v>104</v>
      </c>
      <c r="BD97" s="36">
        <f>BC97+BB97+BA97+AZ97</f>
        <v>428</v>
      </c>
      <c r="BE97" s="36">
        <v>84</v>
      </c>
      <c r="BF97" s="36">
        <v>97</v>
      </c>
      <c r="BG97" s="36">
        <v>103</v>
      </c>
      <c r="BH97" s="36">
        <f ca="1">BC97*(1+BH100)</f>
        <v>104</v>
      </c>
      <c r="BI97" s="36">
        <f ca="1">SUM(BE97:BH97)</f>
        <v>388</v>
      </c>
      <c r="BJ97" s="36">
        <v>80</v>
      </c>
      <c r="BK97" s="36">
        <v>81</v>
      </c>
      <c r="BL97" s="36">
        <v>80</v>
      </c>
      <c r="BM97" s="36">
        <v>76</v>
      </c>
      <c r="BN97" s="36">
        <f>SUM(BJ97:BM97)</f>
        <v>317</v>
      </c>
      <c r="BO97" s="36">
        <v>68</v>
      </c>
      <c r="BP97" s="36">
        <v>81</v>
      </c>
      <c r="BQ97" s="36">
        <v>91</v>
      </c>
      <c r="BR97" s="36">
        <v>84</v>
      </c>
      <c r="BS97" s="36">
        <f>SUM(BO97:BR97)</f>
        <v>324</v>
      </c>
      <c r="BT97" s="36">
        <v>62</v>
      </c>
      <c r="BU97" s="36">
        <v>87</v>
      </c>
      <c r="BV97" s="36">
        <v>74</v>
      </c>
      <c r="BW97" s="36">
        <v>83</v>
      </c>
      <c r="BX97" s="36">
        <f>SUM(BT97:BW97)</f>
        <v>306</v>
      </c>
      <c r="BY97" s="36">
        <v>73</v>
      </c>
      <c r="BZ97" s="36">
        <v>79</v>
      </c>
      <c r="CA97" s="36">
        <v>76</v>
      </c>
      <c r="CB97" s="36">
        <v>65</v>
      </c>
      <c r="CC97" s="36">
        <f>SUM(BY97:CB97)</f>
        <v>293</v>
      </c>
      <c r="CD97" s="36">
        <v>62</v>
      </c>
      <c r="CE97" s="36">
        <v>70</v>
      </c>
      <c r="CF97" s="36">
        <v>68</v>
      </c>
      <c r="CG97" s="36">
        <v>71</v>
      </c>
      <c r="CH97" s="36">
        <f>SUM(CD97:CG97)</f>
        <v>271</v>
      </c>
      <c r="CI97" s="36">
        <v>67</v>
      </c>
      <c r="CJ97" s="36">
        <v>68</v>
      </c>
      <c r="CK97" s="36">
        <v>71</v>
      </c>
      <c r="CL97" s="36">
        <v>52</v>
      </c>
      <c r="CM97" s="36">
        <f>SUM(CI97:CL97)</f>
        <v>258</v>
      </c>
      <c r="CN97" s="36">
        <v>59</v>
      </c>
      <c r="CO97" s="36">
        <f>70+1</f>
        <v>71</v>
      </c>
      <c r="CP97" s="36">
        <v>75</v>
      </c>
      <c r="CQ97" s="36">
        <v>67</v>
      </c>
      <c r="CR97" s="36">
        <f>SUM(CN97:CQ97)</f>
        <v>272</v>
      </c>
      <c r="CS97" s="36">
        <v>51</v>
      </c>
      <c r="CT97" s="36">
        <v>63</v>
      </c>
      <c r="CU97" s="36">
        <v>73</v>
      </c>
      <c r="CV97" s="36">
        <v>62</v>
      </c>
      <c r="CW97" s="72">
        <f>SUM(CS97:CV97)</f>
        <v>249</v>
      </c>
      <c r="CX97" s="36">
        <v>65</v>
      </c>
      <c r="CY97" s="36">
        <v>60</v>
      </c>
      <c r="CZ97" s="36">
        <v>69</v>
      </c>
      <c r="DA97" s="36">
        <v>64</v>
      </c>
      <c r="DB97" s="72">
        <f>SUM(CX97:DA97)</f>
        <v>258</v>
      </c>
      <c r="DC97" s="72">
        <v>58</v>
      </c>
      <c r="DD97" s="72">
        <v>64</v>
      </c>
      <c r="DE97" s="72">
        <v>63</v>
      </c>
      <c r="DF97" s="72">
        <v>53</v>
      </c>
      <c r="DG97" s="36">
        <f>SUM(DC97:DF97)</f>
        <v>238</v>
      </c>
      <c r="DH97" s="36">
        <f>DC97*(1+DH100)</f>
        <v>56.839999999999996</v>
      </c>
      <c r="DI97" s="36">
        <f>DD97*(1+DI100)</f>
        <v>62.72</v>
      </c>
      <c r="DJ97" s="36">
        <f>DE97*(1+DJ100)</f>
        <v>61.74</v>
      </c>
      <c r="DK97" s="36">
        <f>DF97*(1+DK100)</f>
        <v>51.94</v>
      </c>
      <c r="DL97" s="183">
        <f>SUM(DH97:DK97)</f>
        <v>233.24</v>
      </c>
      <c r="DM97" s="183">
        <f t="shared" ref="DM97:DP97" si="95">DL97*(1+DM100)</f>
        <v>228.5752</v>
      </c>
      <c r="DN97" s="183">
        <f t="shared" si="95"/>
        <v>224.00369599999999</v>
      </c>
      <c r="DO97" s="183">
        <f t="shared" si="95"/>
        <v>219.52362208</v>
      </c>
      <c r="DP97" s="183">
        <f t="shared" si="95"/>
        <v>215.1331496384</v>
      </c>
    </row>
    <row r="98" spans="1:120" x14ac:dyDescent="0.2">
      <c r="A98" s="116" t="s">
        <v>104</v>
      </c>
      <c r="B98" s="39">
        <f t="shared" ref="B98:U98" si="96">B97+B96</f>
        <v>147.6764737455527</v>
      </c>
      <c r="C98" s="39">
        <f t="shared" si="96"/>
        <v>147.6764737455527</v>
      </c>
      <c r="D98" s="39">
        <f t="shared" si="96"/>
        <v>134.96503496503496</v>
      </c>
      <c r="E98" s="39">
        <f t="shared" si="96"/>
        <v>160.86784695920946</v>
      </c>
      <c r="F98" s="39">
        <f t="shared" si="96"/>
        <v>591.18582941534987</v>
      </c>
      <c r="G98" s="39">
        <f t="shared" si="96"/>
        <v>120</v>
      </c>
      <c r="H98" s="39">
        <f t="shared" si="96"/>
        <v>141</v>
      </c>
      <c r="I98" s="39">
        <f t="shared" si="96"/>
        <v>149</v>
      </c>
      <c r="J98" s="39">
        <f t="shared" si="96"/>
        <v>175</v>
      </c>
      <c r="K98" s="39">
        <f t="shared" si="96"/>
        <v>585</v>
      </c>
      <c r="L98" s="39">
        <f t="shared" si="96"/>
        <v>164</v>
      </c>
      <c r="M98" s="39">
        <f t="shared" si="96"/>
        <v>146</v>
      </c>
      <c r="N98" s="39">
        <f t="shared" si="96"/>
        <v>170</v>
      </c>
      <c r="O98" s="39">
        <f t="shared" si="96"/>
        <v>149</v>
      </c>
      <c r="P98" s="39">
        <f t="shared" si="96"/>
        <v>629</v>
      </c>
      <c r="Q98" s="39">
        <f t="shared" si="96"/>
        <v>150</v>
      </c>
      <c r="R98" s="39">
        <f t="shared" si="96"/>
        <v>153</v>
      </c>
      <c r="S98" s="39">
        <f t="shared" si="96"/>
        <v>161</v>
      </c>
      <c r="T98" s="39">
        <f t="shared" si="96"/>
        <v>176</v>
      </c>
      <c r="U98" s="39">
        <f t="shared" si="96"/>
        <v>640</v>
      </c>
      <c r="V98" s="39">
        <f>V97+V96+1</f>
        <v>186</v>
      </c>
      <c r="W98" s="39">
        <f>W97+W96+1</f>
        <v>183</v>
      </c>
      <c r="X98" s="39">
        <f>X97+X96+1</f>
        <v>183</v>
      </c>
      <c r="Y98" s="39">
        <f>Y97+Y96+1</f>
        <v>193</v>
      </c>
      <c r="Z98" s="39">
        <f>Z97+Z96</f>
        <v>741</v>
      </c>
      <c r="AA98" s="39">
        <f>AA97+AA96+1</f>
        <v>170</v>
      </c>
      <c r="AB98" s="39">
        <f>AB97+AB96+1</f>
        <v>173</v>
      </c>
      <c r="AC98" s="39">
        <f t="shared" ref="AC98:BD98" si="97">AC97+AC96</f>
        <v>182</v>
      </c>
      <c r="AD98" s="39">
        <f t="shared" si="97"/>
        <v>182</v>
      </c>
      <c r="AE98" s="39">
        <f t="shared" si="97"/>
        <v>705</v>
      </c>
      <c r="AF98" s="39">
        <f t="shared" si="97"/>
        <v>197</v>
      </c>
      <c r="AG98" s="39">
        <f t="shared" si="97"/>
        <v>186</v>
      </c>
      <c r="AH98" s="39">
        <f t="shared" si="97"/>
        <v>186</v>
      </c>
      <c r="AI98" s="39">
        <f t="shared" si="97"/>
        <v>195</v>
      </c>
      <c r="AJ98" s="39">
        <f t="shared" si="97"/>
        <v>764</v>
      </c>
      <c r="AK98" s="39">
        <f t="shared" si="97"/>
        <v>203</v>
      </c>
      <c r="AL98" s="39">
        <f t="shared" si="97"/>
        <v>201</v>
      </c>
      <c r="AM98" s="39">
        <f t="shared" si="97"/>
        <v>187</v>
      </c>
      <c r="AN98" s="39">
        <f t="shared" si="97"/>
        <v>169</v>
      </c>
      <c r="AO98" s="39">
        <f t="shared" si="97"/>
        <v>760</v>
      </c>
      <c r="AP98" s="39">
        <f t="shared" si="97"/>
        <v>164</v>
      </c>
      <c r="AQ98" s="39">
        <f t="shared" si="97"/>
        <v>160</v>
      </c>
      <c r="AR98" s="39">
        <f t="shared" si="97"/>
        <v>168</v>
      </c>
      <c r="AS98" s="39">
        <f t="shared" si="97"/>
        <v>196</v>
      </c>
      <c r="AT98" s="39">
        <f t="shared" si="97"/>
        <v>688</v>
      </c>
      <c r="AU98" s="39">
        <f t="shared" si="97"/>
        <v>159</v>
      </c>
      <c r="AV98" s="39">
        <f t="shared" si="97"/>
        <v>157</v>
      </c>
      <c r="AW98" s="39">
        <f t="shared" si="97"/>
        <v>135</v>
      </c>
      <c r="AX98" s="39">
        <f t="shared" si="97"/>
        <v>159</v>
      </c>
      <c r="AY98" s="39">
        <f t="shared" si="97"/>
        <v>610</v>
      </c>
      <c r="AZ98" s="39">
        <f t="shared" si="97"/>
        <v>136</v>
      </c>
      <c r="BA98" s="39">
        <f t="shared" si="97"/>
        <v>136</v>
      </c>
      <c r="BB98" s="39">
        <f t="shared" si="97"/>
        <v>124</v>
      </c>
      <c r="BC98" s="39">
        <f t="shared" si="97"/>
        <v>118</v>
      </c>
      <c r="BD98" s="39">
        <f t="shared" si="97"/>
        <v>514</v>
      </c>
      <c r="BE98" s="39">
        <f>BE96+BE97</f>
        <v>88</v>
      </c>
      <c r="BF98" s="39">
        <f>BF96+BF97</f>
        <v>104</v>
      </c>
      <c r="BG98" s="39">
        <f>BG96+BG97</f>
        <v>109</v>
      </c>
      <c r="BH98" s="39">
        <v>80</v>
      </c>
      <c r="BI98" s="39">
        <f ca="1">BI97+BI96</f>
        <v>409</v>
      </c>
      <c r="BJ98" s="39">
        <f t="shared" ref="BJ98:CQ98" si="98">BJ97+BJ96</f>
        <v>84</v>
      </c>
      <c r="BK98" s="39">
        <f t="shared" si="98"/>
        <v>85</v>
      </c>
      <c r="BL98" s="39">
        <f t="shared" si="98"/>
        <v>88</v>
      </c>
      <c r="BM98" s="39">
        <f t="shared" si="98"/>
        <v>79</v>
      </c>
      <c r="BN98" s="39">
        <f t="shared" si="98"/>
        <v>336</v>
      </c>
      <c r="BO98" s="39">
        <f t="shared" si="98"/>
        <v>71</v>
      </c>
      <c r="BP98" s="39">
        <f t="shared" si="98"/>
        <v>81</v>
      </c>
      <c r="BQ98" s="39">
        <f t="shared" si="98"/>
        <v>92</v>
      </c>
      <c r="BR98" s="39">
        <f t="shared" si="98"/>
        <v>86</v>
      </c>
      <c r="BS98" s="39">
        <f t="shared" si="98"/>
        <v>330</v>
      </c>
      <c r="BT98" s="39">
        <f t="shared" si="98"/>
        <v>65</v>
      </c>
      <c r="BU98" s="39">
        <f t="shared" si="98"/>
        <v>88</v>
      </c>
      <c r="BV98" s="39">
        <f t="shared" si="98"/>
        <v>75</v>
      </c>
      <c r="BW98" s="39">
        <f t="shared" si="98"/>
        <v>86</v>
      </c>
      <c r="BX98" s="39">
        <f t="shared" si="98"/>
        <v>314</v>
      </c>
      <c r="BY98" s="39">
        <f t="shared" si="98"/>
        <v>74</v>
      </c>
      <c r="BZ98" s="39">
        <f t="shared" si="98"/>
        <v>81</v>
      </c>
      <c r="CA98" s="39">
        <f t="shared" si="98"/>
        <v>77</v>
      </c>
      <c r="CB98" s="39">
        <f t="shared" si="98"/>
        <v>66</v>
      </c>
      <c r="CC98" s="39">
        <f t="shared" si="98"/>
        <v>298</v>
      </c>
      <c r="CD98" s="39">
        <f t="shared" si="98"/>
        <v>62</v>
      </c>
      <c r="CE98" s="39">
        <f t="shared" si="98"/>
        <v>71</v>
      </c>
      <c r="CF98" s="39">
        <f t="shared" si="98"/>
        <v>73</v>
      </c>
      <c r="CG98" s="39">
        <f t="shared" si="98"/>
        <v>74</v>
      </c>
      <c r="CH98" s="39">
        <f t="shared" si="98"/>
        <v>280</v>
      </c>
      <c r="CI98" s="39">
        <f t="shared" si="98"/>
        <v>72</v>
      </c>
      <c r="CJ98" s="39">
        <f t="shared" si="98"/>
        <v>68</v>
      </c>
      <c r="CK98" s="39">
        <f t="shared" si="98"/>
        <v>72</v>
      </c>
      <c r="CL98" s="39">
        <f t="shared" si="98"/>
        <v>53</v>
      </c>
      <c r="CM98" s="39">
        <f t="shared" si="98"/>
        <v>265</v>
      </c>
      <c r="CN98" s="39">
        <f t="shared" si="98"/>
        <v>59</v>
      </c>
      <c r="CO98" s="39">
        <f t="shared" si="98"/>
        <v>71</v>
      </c>
      <c r="CP98" s="39">
        <f t="shared" si="98"/>
        <v>77</v>
      </c>
      <c r="CQ98" s="39">
        <f t="shared" si="98"/>
        <v>67</v>
      </c>
      <c r="CR98" s="39">
        <f>CR97+CR96</f>
        <v>274</v>
      </c>
      <c r="CS98" s="39">
        <f>CS97+CS96</f>
        <v>51</v>
      </c>
      <c r="CT98" s="39">
        <f>CT97+CT96</f>
        <v>64</v>
      </c>
      <c r="CU98" s="39">
        <f>CU97+CU96</f>
        <v>74</v>
      </c>
      <c r="CV98" s="39">
        <f>CV97+CV96</f>
        <v>62</v>
      </c>
      <c r="CW98" s="74">
        <f>SUM(CS98:CV98)</f>
        <v>251</v>
      </c>
      <c r="CX98" s="39">
        <f>SUM(CX96:CX97)</f>
        <v>65</v>
      </c>
      <c r="CY98" s="39">
        <f>SUM(CY96:CY97)</f>
        <v>60</v>
      </c>
      <c r="CZ98" s="39">
        <f>SUM(CZ96:CZ97)</f>
        <v>69</v>
      </c>
      <c r="DA98" s="39">
        <f>SUM(DA96:DA97)</f>
        <v>65</v>
      </c>
      <c r="DB98" s="74">
        <f>SUM(CX98:DA98)</f>
        <v>259</v>
      </c>
      <c r="DC98" s="74">
        <f>DC97+DC96</f>
        <v>59</v>
      </c>
      <c r="DD98" s="74">
        <f>DD97+DD96</f>
        <v>64</v>
      </c>
      <c r="DE98" s="74">
        <f>DE97+DE96</f>
        <v>63</v>
      </c>
      <c r="DF98" s="74">
        <f>DF97+DF96</f>
        <v>54</v>
      </c>
      <c r="DG98" s="39">
        <f>SUM(DC98:DF98)</f>
        <v>240</v>
      </c>
      <c r="DH98" s="39">
        <f>DH97+DH96</f>
        <v>56.839999999999996</v>
      </c>
      <c r="DI98" s="39">
        <f>DI97+DI96</f>
        <v>62.72</v>
      </c>
      <c r="DJ98" s="39">
        <f>DJ97+DJ96</f>
        <v>61.74</v>
      </c>
      <c r="DK98" s="39">
        <f>DK97+DK96</f>
        <v>51.94</v>
      </c>
      <c r="DL98" s="187">
        <f>SUM(DH98:DK98)</f>
        <v>233.24</v>
      </c>
      <c r="DM98" s="187">
        <f t="shared" ref="DM98:DP98" si="99">DM97+DM96</f>
        <v>228.5752</v>
      </c>
      <c r="DN98" s="187">
        <f t="shared" si="99"/>
        <v>224.00369599999999</v>
      </c>
      <c r="DO98" s="187">
        <f t="shared" si="99"/>
        <v>219.52362208</v>
      </c>
      <c r="DP98" s="187">
        <f t="shared" si="99"/>
        <v>215.1331496384</v>
      </c>
    </row>
    <row r="99" spans="1:120" x14ac:dyDescent="0.2">
      <c r="A99" s="68" t="s">
        <v>54</v>
      </c>
      <c r="G99" s="76">
        <f t="shared" ref="G99:BR101" si="100">G96/B96-1</f>
        <v>-0.38698497209102611</v>
      </c>
      <c r="H99" s="76">
        <f t="shared" si="100"/>
        <v>6.0987548303993222E-2</v>
      </c>
      <c r="I99" s="76">
        <f t="shared" si="100"/>
        <v>0.25839999999999996</v>
      </c>
      <c r="J99" s="76">
        <f t="shared" si="100"/>
        <v>0.34172332015810269</v>
      </c>
      <c r="K99" s="76">
        <f t="shared" si="100"/>
        <v>7.3485311398354902E-2</v>
      </c>
      <c r="L99" s="76">
        <f t="shared" si="100"/>
        <v>1.3846153846153846</v>
      </c>
      <c r="M99" s="76">
        <f t="shared" si="100"/>
        <v>-0.26666666666666672</v>
      </c>
      <c r="N99" s="76">
        <f t="shared" si="100"/>
        <v>0.31818181818181812</v>
      </c>
      <c r="O99" s="76">
        <f t="shared" si="100"/>
        <v>-0.61764705882352944</v>
      </c>
      <c r="P99" s="76">
        <f t="shared" si="100"/>
        <v>-2.1857923497267784E-2</v>
      </c>
      <c r="Q99" s="90">
        <f t="shared" si="100"/>
        <v>-0.532258064516129</v>
      </c>
      <c r="R99" s="90">
        <f t="shared" si="100"/>
        <v>9.0909090909090828E-2</v>
      </c>
      <c r="S99" s="90">
        <f t="shared" si="100"/>
        <v>-0.27586206896551724</v>
      </c>
      <c r="T99" s="90">
        <f t="shared" si="100"/>
        <v>1.0769230769230771</v>
      </c>
      <c r="U99" s="76">
        <f t="shared" si="100"/>
        <v>-0.1005586592178771</v>
      </c>
      <c r="V99" s="90">
        <f t="shared" si="100"/>
        <v>0.86206896551724133</v>
      </c>
      <c r="W99" s="90">
        <f t="shared" si="100"/>
        <v>0.41666666666666674</v>
      </c>
      <c r="X99" s="90">
        <f t="shared" si="100"/>
        <v>0.21428571428571419</v>
      </c>
      <c r="Y99" s="90">
        <f t="shared" si="100"/>
        <v>5.555555555555558E-2</v>
      </c>
      <c r="Z99" s="76">
        <f t="shared" si="100"/>
        <v>0.32298136645962727</v>
      </c>
      <c r="AA99" s="90">
        <f t="shared" si="100"/>
        <v>-7.407407407407407E-2</v>
      </c>
      <c r="AB99" s="90">
        <f t="shared" si="100"/>
        <v>-3.9215686274509776E-2</v>
      </c>
      <c r="AC99" s="90">
        <f t="shared" si="100"/>
        <v>7.8431372549019551E-2</v>
      </c>
      <c r="AD99" s="90">
        <f t="shared" si="100"/>
        <v>1.7543859649122862E-2</v>
      </c>
      <c r="AE99" s="76">
        <f t="shared" si="100"/>
        <v>-4.6948356807511304E-3</v>
      </c>
      <c r="AF99" s="90">
        <f t="shared" si="100"/>
        <v>0.21999999999999997</v>
      </c>
      <c r="AG99" s="90">
        <f t="shared" si="100"/>
        <v>4.081632653061229E-2</v>
      </c>
      <c r="AH99" s="90">
        <f t="shared" si="100"/>
        <v>-0.1454545454545455</v>
      </c>
      <c r="AI99" s="90">
        <f t="shared" si="100"/>
        <v>-0.12068965517241381</v>
      </c>
      <c r="AJ99" s="76">
        <f t="shared" si="100"/>
        <v>-9.4339622641509413E-3</v>
      </c>
      <c r="AK99" s="90">
        <f t="shared" si="100"/>
        <v>-0.16393442622950816</v>
      </c>
      <c r="AL99" s="90">
        <f t="shared" si="100"/>
        <v>-0.19607843137254899</v>
      </c>
      <c r="AM99" s="90">
        <f t="shared" si="100"/>
        <v>-0.31914893617021278</v>
      </c>
      <c r="AN99" s="90">
        <f t="shared" si="100"/>
        <v>-0.23529411764705888</v>
      </c>
      <c r="AO99" s="76">
        <f t="shared" si="100"/>
        <v>-0.22380952380952379</v>
      </c>
      <c r="AP99" s="90">
        <f t="shared" si="100"/>
        <v>-0.41176470588235292</v>
      </c>
      <c r="AQ99" s="90">
        <f t="shared" si="100"/>
        <v>-0.21951219512195119</v>
      </c>
      <c r="AR99" s="90">
        <f t="shared" si="100"/>
        <v>3.125E-2</v>
      </c>
      <c r="AS99" s="90">
        <f t="shared" si="100"/>
        <v>5.1282051282051322E-2</v>
      </c>
      <c r="AT99" s="76">
        <f t="shared" si="100"/>
        <v>-0.16564417177914115</v>
      </c>
      <c r="AU99" s="90">
        <f t="shared" si="100"/>
        <v>0.16666666666666674</v>
      </c>
      <c r="AV99" s="90">
        <f t="shared" si="100"/>
        <v>0</v>
      </c>
      <c r="AW99" s="90">
        <f t="shared" si="100"/>
        <v>-0.18181818181818177</v>
      </c>
      <c r="AX99" s="90">
        <f t="shared" si="100"/>
        <v>-0.29268292682926833</v>
      </c>
      <c r="AY99" s="76">
        <f t="shared" si="100"/>
        <v>-9.5588235294117641E-2</v>
      </c>
      <c r="AZ99" s="90">
        <f t="shared" si="100"/>
        <v>-0.2857142857142857</v>
      </c>
      <c r="BA99" s="90">
        <f t="shared" si="100"/>
        <v>-0.1875</v>
      </c>
      <c r="BB99" s="90">
        <f t="shared" si="100"/>
        <v>-0.22222222222222221</v>
      </c>
      <c r="BC99" s="90">
        <f t="shared" si="100"/>
        <v>-0.51724137931034475</v>
      </c>
      <c r="BD99" s="76">
        <f t="shared" si="100"/>
        <v>-0.30081300813008127</v>
      </c>
      <c r="BE99" s="76">
        <f t="shared" si="100"/>
        <v>-0.84</v>
      </c>
      <c r="BF99" s="76">
        <f t="shared" si="100"/>
        <v>-0.73076923076923084</v>
      </c>
      <c r="BG99" s="76">
        <f t="shared" si="100"/>
        <v>-0.7142857142857143</v>
      </c>
      <c r="BH99" s="76">
        <f t="shared" si="100"/>
        <v>-0.7142857142857143</v>
      </c>
      <c r="BI99" s="90">
        <f t="shared" si="100"/>
        <v>-0.7558139534883721</v>
      </c>
      <c r="BJ99" s="76">
        <f t="shared" si="100"/>
        <v>0</v>
      </c>
      <c r="BK99" s="76">
        <f t="shared" si="100"/>
        <v>-0.4285714285714286</v>
      </c>
      <c r="BL99" s="76">
        <f t="shared" si="100"/>
        <v>0.33333333333333326</v>
      </c>
      <c r="BM99" s="76">
        <f t="shared" si="100"/>
        <v>-0.25</v>
      </c>
      <c r="BN99" s="90">
        <f>BN96/BI96-1</f>
        <v>-9.5238095238095233E-2</v>
      </c>
      <c r="BO99" s="76">
        <f t="shared" si="100"/>
        <v>-0.25</v>
      </c>
      <c r="BP99" s="76">
        <f t="shared" si="100"/>
        <v>-1</v>
      </c>
      <c r="BQ99" s="76">
        <f t="shared" si="100"/>
        <v>-0.875</v>
      </c>
      <c r="BR99" s="76">
        <f t="shared" si="100"/>
        <v>-0.33333333333333337</v>
      </c>
      <c r="BS99" s="90">
        <f t="shared" ref="BS99:CB101" si="101">BS96/BN96-1</f>
        <v>-0.68421052631578949</v>
      </c>
      <c r="BT99" s="76">
        <f t="shared" si="101"/>
        <v>0</v>
      </c>
      <c r="BU99" s="76"/>
      <c r="BV99" s="76">
        <f t="shared" ref="BV99:CG101" si="102">BV96/BQ96-1</f>
        <v>0</v>
      </c>
      <c r="BW99" s="76">
        <f t="shared" si="102"/>
        <v>0.5</v>
      </c>
      <c r="BX99" s="90">
        <f t="shared" si="102"/>
        <v>0.33333333333333326</v>
      </c>
      <c r="BY99" s="76">
        <f t="shared" si="102"/>
        <v>-0.66666666666666674</v>
      </c>
      <c r="BZ99" s="76">
        <f t="shared" si="102"/>
        <v>1</v>
      </c>
      <c r="CA99" s="76">
        <f t="shared" si="102"/>
        <v>0</v>
      </c>
      <c r="CB99" s="76">
        <f t="shared" si="102"/>
        <v>-0.66666666666666674</v>
      </c>
      <c r="CC99" s="90">
        <f>CC96/BX96-1</f>
        <v>-0.375</v>
      </c>
      <c r="CD99" s="76">
        <f t="shared" si="102"/>
        <v>-1</v>
      </c>
      <c r="CE99" s="76">
        <f t="shared" si="102"/>
        <v>-0.5</v>
      </c>
      <c r="CF99" s="76">
        <f t="shared" si="102"/>
        <v>4</v>
      </c>
      <c r="CG99" s="76">
        <f t="shared" si="102"/>
        <v>2</v>
      </c>
      <c r="CH99" s="90">
        <f>CH96/CC96-1</f>
        <v>0.8</v>
      </c>
      <c r="CI99" s="76"/>
      <c r="CJ99" s="76">
        <f t="shared" ref="CJ99:CN101" si="103">CJ96/CE96-1</f>
        <v>-1</v>
      </c>
      <c r="CK99" s="76">
        <f t="shared" si="103"/>
        <v>-0.8</v>
      </c>
      <c r="CL99" s="76">
        <f t="shared" si="103"/>
        <v>-0.66666666666666674</v>
      </c>
      <c r="CM99" s="90">
        <f t="shared" si="103"/>
        <v>-0.22222222222222221</v>
      </c>
      <c r="CN99" s="90">
        <f t="shared" si="103"/>
        <v>-1</v>
      </c>
      <c r="CO99" s="90"/>
      <c r="CP99" s="90"/>
      <c r="CQ99" s="90"/>
      <c r="CR99" s="90">
        <f>CR96/CM96-1</f>
        <v>-0.7142857142857143</v>
      </c>
      <c r="CS99" s="90"/>
      <c r="CT99" s="90"/>
      <c r="CU99" s="90"/>
      <c r="CV99" s="90"/>
      <c r="CW99" s="90">
        <f>CW96/CR96-1</f>
        <v>0</v>
      </c>
      <c r="CX99" s="90"/>
      <c r="CY99" s="90"/>
      <c r="CZ99" s="90"/>
      <c r="DA99" s="90"/>
      <c r="DB99" s="90">
        <f>DB96/CW96-1</f>
        <v>-0.5</v>
      </c>
      <c r="DC99" s="90"/>
      <c r="DD99" s="90"/>
      <c r="DE99" s="90"/>
      <c r="DF99" s="90"/>
      <c r="DG99" s="90"/>
      <c r="DH99" s="90"/>
      <c r="DI99" s="90"/>
      <c r="DJ99" s="90"/>
      <c r="DK99" s="90"/>
      <c r="DL99" s="188"/>
      <c r="DM99" s="188"/>
      <c r="DN99" s="188"/>
      <c r="DO99" s="188"/>
      <c r="DP99" s="188"/>
    </row>
    <row r="100" spans="1:120" x14ac:dyDescent="0.2">
      <c r="A100" s="68" t="s">
        <v>55</v>
      </c>
      <c r="G100" s="76">
        <f t="shared" si="100"/>
        <v>-0.1070000000000001</v>
      </c>
      <c r="H100" s="76">
        <f t="shared" si="100"/>
        <v>-8.8000000000000078E-2</v>
      </c>
      <c r="I100" s="76">
        <f t="shared" si="100"/>
        <v>5.0000000000000044E-2</v>
      </c>
      <c r="J100" s="76">
        <f t="shared" si="100"/>
        <v>-2.8921417565485497E-2</v>
      </c>
      <c r="K100" s="76">
        <f t="shared" si="100"/>
        <v>-4.4479418886198663E-2</v>
      </c>
      <c r="L100" s="76">
        <f t="shared" si="100"/>
        <v>8.5106382978723305E-2</v>
      </c>
      <c r="M100" s="76">
        <f t="shared" si="100"/>
        <v>0.17708333333333326</v>
      </c>
      <c r="N100" s="76">
        <f t="shared" si="100"/>
        <v>6.6666666666666652E-2</v>
      </c>
      <c r="O100" s="76">
        <f t="shared" si="100"/>
        <v>0.14953271028037385</v>
      </c>
      <c r="P100" s="76">
        <f t="shared" si="100"/>
        <v>0.11940298507462677</v>
      </c>
      <c r="Q100" s="90">
        <f t="shared" si="100"/>
        <v>0.18627450980392157</v>
      </c>
      <c r="R100" s="90">
        <f t="shared" si="100"/>
        <v>3.539823008849563E-2</v>
      </c>
      <c r="S100" s="90">
        <f t="shared" si="100"/>
        <v>6.25E-2</v>
      </c>
      <c r="T100" s="90">
        <f t="shared" si="100"/>
        <v>-8.1300813008130524E-3</v>
      </c>
      <c r="U100" s="76">
        <f t="shared" si="100"/>
        <v>6.4444444444444526E-2</v>
      </c>
      <c r="V100" s="90">
        <f t="shared" si="100"/>
        <v>8.2644628099173501E-2</v>
      </c>
      <c r="W100" s="90">
        <f t="shared" si="100"/>
        <v>0.11965811965811968</v>
      </c>
      <c r="X100" s="90">
        <f t="shared" si="100"/>
        <v>0.10084033613445387</v>
      </c>
      <c r="Y100" s="90">
        <f t="shared" si="100"/>
        <v>0.10655737704918034</v>
      </c>
      <c r="Z100" s="76">
        <f t="shared" si="100"/>
        <v>0.10229645093945727</v>
      </c>
      <c r="AA100" s="90">
        <f t="shared" si="100"/>
        <v>-9.1603053435114545E-2</v>
      </c>
      <c r="AB100" s="90">
        <f t="shared" si="100"/>
        <v>-6.1068702290076327E-2</v>
      </c>
      <c r="AC100" s="90">
        <f t="shared" si="100"/>
        <v>-3.0534351145038219E-2</v>
      </c>
      <c r="AD100" s="90">
        <f t="shared" si="100"/>
        <v>-8.1481481481481488E-2</v>
      </c>
      <c r="AE100" s="76">
        <f t="shared" si="100"/>
        <v>-6.6287878787878785E-2</v>
      </c>
      <c r="AF100" s="90">
        <f t="shared" si="100"/>
        <v>0.14285714285714279</v>
      </c>
      <c r="AG100" s="90">
        <f t="shared" si="100"/>
        <v>9.7560975609756184E-2</v>
      </c>
      <c r="AH100" s="90">
        <f t="shared" si="100"/>
        <v>9.4488188976378007E-2</v>
      </c>
      <c r="AI100" s="90">
        <f t="shared" si="100"/>
        <v>0.16129032258064524</v>
      </c>
      <c r="AJ100" s="76">
        <f t="shared" si="100"/>
        <v>0.12373225152129819</v>
      </c>
      <c r="AK100" s="90">
        <f t="shared" si="100"/>
        <v>0.11764705882352944</v>
      </c>
      <c r="AL100" s="90">
        <f t="shared" si="100"/>
        <v>0.18518518518518512</v>
      </c>
      <c r="AM100" s="90">
        <f t="shared" si="100"/>
        <v>0.1151079136690647</v>
      </c>
      <c r="AN100" s="90">
        <f t="shared" si="100"/>
        <v>-9.722222222222221E-2</v>
      </c>
      <c r="AO100" s="76">
        <f t="shared" si="100"/>
        <v>7.7617328519855588E-2</v>
      </c>
      <c r="AP100" s="90">
        <f t="shared" si="100"/>
        <v>-0.11842105263157898</v>
      </c>
      <c r="AQ100" s="90">
        <f t="shared" si="100"/>
        <v>-0.19999999999999996</v>
      </c>
      <c r="AR100" s="90">
        <f t="shared" si="100"/>
        <v>-0.12903225806451613</v>
      </c>
      <c r="AS100" s="90">
        <f t="shared" si="100"/>
        <v>0.19230769230769229</v>
      </c>
      <c r="AT100" s="76">
        <f t="shared" si="100"/>
        <v>-7.5376884422110546E-2</v>
      </c>
      <c r="AU100" s="90">
        <f t="shared" si="100"/>
        <v>-7.4626865671641784E-2</v>
      </c>
      <c r="AV100" s="90">
        <f t="shared" si="100"/>
        <v>-2.34375E-2</v>
      </c>
      <c r="AW100" s="90">
        <f t="shared" si="100"/>
        <v>-0.19999999999999996</v>
      </c>
      <c r="AX100" s="90">
        <f t="shared" si="100"/>
        <v>-0.16129032258064513</v>
      </c>
      <c r="AY100" s="76">
        <f t="shared" si="100"/>
        <v>-0.11775362318840576</v>
      </c>
      <c r="AZ100" s="90">
        <f t="shared" si="100"/>
        <v>-0.10483870967741937</v>
      </c>
      <c r="BA100" s="90">
        <f t="shared" si="100"/>
        <v>-0.12</v>
      </c>
      <c r="BB100" s="90">
        <f t="shared" si="100"/>
        <v>-4.629629629629628E-2</v>
      </c>
      <c r="BC100" s="90">
        <f t="shared" si="100"/>
        <v>-0.19999999999999996</v>
      </c>
      <c r="BD100" s="76">
        <f t="shared" si="100"/>
        <v>-0.12114989733059545</v>
      </c>
      <c r="BE100" s="76">
        <f t="shared" si="100"/>
        <v>-0.2432432432432432</v>
      </c>
      <c r="BF100" s="76">
        <f t="shared" si="100"/>
        <v>-0.11818181818181817</v>
      </c>
      <c r="BG100" s="76">
        <f t="shared" si="100"/>
        <v>0</v>
      </c>
      <c r="BH100" s="76">
        <f ca="1">BH97/BC97-1</f>
        <v>0</v>
      </c>
      <c r="BI100" s="90">
        <f ca="1">BI97/BD97-1</f>
        <v>-9.3457943925233655E-2</v>
      </c>
      <c r="BJ100" s="76">
        <f t="shared" si="100"/>
        <v>-4.7619047619047672E-2</v>
      </c>
      <c r="BK100" s="76">
        <f t="shared" si="100"/>
        <v>-0.16494845360824739</v>
      </c>
      <c r="BL100" s="76">
        <f t="shared" si="100"/>
        <v>-0.22330097087378642</v>
      </c>
      <c r="BM100" s="76">
        <f ca="1">BM97/BH97-1</f>
        <v>-0.26923076923076927</v>
      </c>
      <c r="BN100" s="90">
        <f ca="1">BN97/BI97-1</f>
        <v>-0.1829896907216495</v>
      </c>
      <c r="BO100" s="76">
        <f t="shared" si="100"/>
        <v>-0.15000000000000002</v>
      </c>
      <c r="BP100" s="76">
        <f t="shared" si="100"/>
        <v>0</v>
      </c>
      <c r="BQ100" s="76">
        <f t="shared" si="100"/>
        <v>0.13749999999999996</v>
      </c>
      <c r="BR100" s="76">
        <f t="shared" si="100"/>
        <v>0.10526315789473695</v>
      </c>
      <c r="BS100" s="90">
        <f t="shared" si="101"/>
        <v>2.208201892744488E-2</v>
      </c>
      <c r="BT100" s="76">
        <f t="shared" si="101"/>
        <v>-8.8235294117647078E-2</v>
      </c>
      <c r="BU100" s="76">
        <f t="shared" si="101"/>
        <v>7.4074074074074181E-2</v>
      </c>
      <c r="BV100" s="76">
        <f t="shared" si="101"/>
        <v>-0.18681318681318682</v>
      </c>
      <c r="BW100" s="76">
        <f t="shared" si="101"/>
        <v>-1.1904761904761862E-2</v>
      </c>
      <c r="BX100" s="90">
        <f t="shared" si="101"/>
        <v>-5.555555555555558E-2</v>
      </c>
      <c r="BY100" s="76">
        <f t="shared" si="101"/>
        <v>0.17741935483870974</v>
      </c>
      <c r="BZ100" s="76">
        <f t="shared" si="101"/>
        <v>-9.1954022988505746E-2</v>
      </c>
      <c r="CA100" s="76">
        <f t="shared" si="101"/>
        <v>2.7027027027026973E-2</v>
      </c>
      <c r="CB100" s="76">
        <f t="shared" si="101"/>
        <v>-0.2168674698795181</v>
      </c>
      <c r="CC100" s="90">
        <f>CC97/BX97-1</f>
        <v>-4.2483660130718914E-2</v>
      </c>
      <c r="CD100" s="76">
        <f t="shared" si="102"/>
        <v>-0.15068493150684936</v>
      </c>
      <c r="CE100" s="76">
        <f t="shared" si="102"/>
        <v>-0.11392405063291144</v>
      </c>
      <c r="CF100" s="76">
        <f t="shared" si="102"/>
        <v>-0.10526315789473684</v>
      </c>
      <c r="CG100" s="76">
        <f t="shared" si="102"/>
        <v>9.2307692307692202E-2</v>
      </c>
      <c r="CH100" s="90">
        <f>CH97/CC97-1</f>
        <v>-7.5085324232081918E-2</v>
      </c>
      <c r="CI100" s="76">
        <f>CI97/CD97-1</f>
        <v>8.0645161290322509E-2</v>
      </c>
      <c r="CJ100" s="76">
        <f>CJ97/CE97-1</f>
        <v>-2.8571428571428581E-2</v>
      </c>
      <c r="CK100" s="76">
        <f t="shared" si="103"/>
        <v>4.4117647058823595E-2</v>
      </c>
      <c r="CL100" s="76">
        <f t="shared" si="103"/>
        <v>-0.26760563380281688</v>
      </c>
      <c r="CM100" s="90">
        <f t="shared" si="103"/>
        <v>-4.7970479704797064E-2</v>
      </c>
      <c r="CN100" s="90">
        <f t="shared" si="103"/>
        <v>-0.11940298507462688</v>
      </c>
      <c r="CO100" s="90">
        <f>CO97/CJ97-1</f>
        <v>4.4117647058823595E-2</v>
      </c>
      <c r="CP100" s="90">
        <f>CP97/CK97-1</f>
        <v>5.6338028169014009E-2</v>
      </c>
      <c r="CQ100" s="90">
        <f>CQ97/CL97-1</f>
        <v>0.28846153846153855</v>
      </c>
      <c r="CR100" s="90">
        <f>CR97/CM97-1</f>
        <v>5.4263565891472965E-2</v>
      </c>
      <c r="CS100" s="90">
        <f t="shared" ref="CS100:DF101" si="104">CS97/CN97-1</f>
        <v>-0.13559322033898302</v>
      </c>
      <c r="CT100" s="90">
        <f t="shared" si="104"/>
        <v>-0.11267605633802813</v>
      </c>
      <c r="CU100" s="90">
        <f t="shared" si="104"/>
        <v>-2.6666666666666616E-2</v>
      </c>
      <c r="CV100" s="90">
        <f t="shared" si="104"/>
        <v>-7.4626865671641784E-2</v>
      </c>
      <c r="CW100" s="90">
        <f>CW97/CR97-1</f>
        <v>-8.4558823529411797E-2</v>
      </c>
      <c r="CX100" s="90">
        <f t="shared" si="104"/>
        <v>0.27450980392156854</v>
      </c>
      <c r="CY100" s="90">
        <f t="shared" si="104"/>
        <v>-4.7619047619047672E-2</v>
      </c>
      <c r="CZ100" s="90">
        <f t="shared" si="104"/>
        <v>-5.4794520547945202E-2</v>
      </c>
      <c r="DA100" s="90">
        <f t="shared" si="104"/>
        <v>3.2258064516129004E-2</v>
      </c>
      <c r="DB100" s="90">
        <f>DB97/CW97-1</f>
        <v>3.6144578313253017E-2</v>
      </c>
      <c r="DC100" s="90">
        <f t="shared" si="104"/>
        <v>-0.10769230769230764</v>
      </c>
      <c r="DD100" s="90">
        <f t="shared" si="104"/>
        <v>6.6666666666666652E-2</v>
      </c>
      <c r="DE100" s="90">
        <f t="shared" si="104"/>
        <v>-8.6956521739130488E-2</v>
      </c>
      <c r="DF100" s="90">
        <f t="shared" si="104"/>
        <v>-0.171875</v>
      </c>
      <c r="DG100" s="90">
        <f>DG97/DB97-1</f>
        <v>-7.7519379844961267E-2</v>
      </c>
      <c r="DH100" s="90">
        <v>-0.02</v>
      </c>
      <c r="DI100" s="90">
        <v>-0.02</v>
      </c>
      <c r="DJ100" s="90">
        <v>-0.02</v>
      </c>
      <c r="DK100" s="90">
        <v>-0.02</v>
      </c>
      <c r="DL100" s="188">
        <f>DL97/DG97-1</f>
        <v>-1.9999999999999907E-2</v>
      </c>
      <c r="DM100" s="188">
        <v>-0.02</v>
      </c>
      <c r="DN100" s="188">
        <v>-0.02</v>
      </c>
      <c r="DO100" s="188">
        <v>-0.02</v>
      </c>
      <c r="DP100" s="188">
        <v>-0.02</v>
      </c>
    </row>
    <row r="101" spans="1:120" x14ac:dyDescent="0.2">
      <c r="A101" s="78" t="s">
        <v>56</v>
      </c>
      <c r="B101" s="79"/>
      <c r="C101" s="79"/>
      <c r="D101" s="79"/>
      <c r="E101" s="79"/>
      <c r="F101" s="79"/>
      <c r="G101" s="80">
        <f t="shared" si="100"/>
        <v>-0.18741288333603767</v>
      </c>
      <c r="H101" s="80">
        <f t="shared" si="100"/>
        <v>-4.5210137919844295E-2</v>
      </c>
      <c r="I101" s="80">
        <f t="shared" si="100"/>
        <v>0.10398963730569943</v>
      </c>
      <c r="J101" s="80">
        <f t="shared" si="100"/>
        <v>8.784945722791937E-2</v>
      </c>
      <c r="K101" s="80">
        <f t="shared" si="100"/>
        <v>-1.0463426400912357E-2</v>
      </c>
      <c r="L101" s="80">
        <f t="shared" si="100"/>
        <v>0.3666666666666667</v>
      </c>
      <c r="M101" s="80">
        <f t="shared" si="100"/>
        <v>3.5460992907801359E-2</v>
      </c>
      <c r="N101" s="80">
        <f t="shared" si="100"/>
        <v>0.14093959731543615</v>
      </c>
      <c r="O101" s="80">
        <f t="shared" si="100"/>
        <v>-0.14857142857142858</v>
      </c>
      <c r="P101" s="80">
        <f t="shared" si="100"/>
        <v>7.5213675213675169E-2</v>
      </c>
      <c r="Q101" s="80">
        <f t="shared" si="100"/>
        <v>-8.536585365853655E-2</v>
      </c>
      <c r="R101" s="80">
        <f t="shared" si="100"/>
        <v>4.7945205479452024E-2</v>
      </c>
      <c r="S101" s="80">
        <f t="shared" si="100"/>
        <v>-5.2941176470588269E-2</v>
      </c>
      <c r="T101" s="80">
        <f t="shared" si="100"/>
        <v>0.18120805369127524</v>
      </c>
      <c r="U101" s="80">
        <f t="shared" si="100"/>
        <v>1.7488076311605649E-2</v>
      </c>
      <c r="V101" s="80">
        <f t="shared" si="100"/>
        <v>0.24</v>
      </c>
      <c r="W101" s="80">
        <f t="shared" si="100"/>
        <v>0.19607843137254899</v>
      </c>
      <c r="X101" s="80">
        <f t="shared" si="100"/>
        <v>0.13664596273291929</v>
      </c>
      <c r="Y101" s="80">
        <f t="shared" si="100"/>
        <v>9.6590909090909172E-2</v>
      </c>
      <c r="Z101" s="80">
        <f t="shared" si="100"/>
        <v>0.15781249999999991</v>
      </c>
      <c r="AA101" s="80">
        <f t="shared" si="100"/>
        <v>-8.6021505376344121E-2</v>
      </c>
      <c r="AB101" s="80">
        <f t="shared" si="100"/>
        <v>-5.4644808743169349E-2</v>
      </c>
      <c r="AC101" s="80">
        <f t="shared" si="100"/>
        <v>-5.464480874316946E-3</v>
      </c>
      <c r="AD101" s="80">
        <f t="shared" si="100"/>
        <v>-5.6994818652849721E-2</v>
      </c>
      <c r="AE101" s="80">
        <f t="shared" si="100"/>
        <v>-4.8582995951417018E-2</v>
      </c>
      <c r="AF101" s="80">
        <f t="shared" si="100"/>
        <v>0.15882352941176481</v>
      </c>
      <c r="AG101" s="80">
        <f t="shared" si="100"/>
        <v>7.5144508670520249E-2</v>
      </c>
      <c r="AH101" s="80">
        <f t="shared" si="100"/>
        <v>2.19780219780219E-2</v>
      </c>
      <c r="AI101" s="80">
        <f t="shared" si="100"/>
        <v>7.1428571428571397E-2</v>
      </c>
      <c r="AJ101" s="80">
        <f t="shared" si="100"/>
        <v>8.3687943262411357E-2</v>
      </c>
      <c r="AK101" s="80">
        <f t="shared" si="100"/>
        <v>3.0456852791878264E-2</v>
      </c>
      <c r="AL101" s="80">
        <f t="shared" si="100"/>
        <v>8.0645161290322509E-2</v>
      </c>
      <c r="AM101" s="80">
        <f t="shared" si="100"/>
        <v>5.3763440860215006E-3</v>
      </c>
      <c r="AN101" s="80">
        <f t="shared" si="100"/>
        <v>-0.1333333333333333</v>
      </c>
      <c r="AO101" s="80">
        <f t="shared" si="100"/>
        <v>-5.2356020942407877E-3</v>
      </c>
      <c r="AP101" s="80">
        <f t="shared" si="100"/>
        <v>-0.19211822660098521</v>
      </c>
      <c r="AQ101" s="80">
        <f t="shared" si="100"/>
        <v>-0.20398009950248752</v>
      </c>
      <c r="AR101" s="80">
        <f t="shared" si="100"/>
        <v>-0.10160427807486627</v>
      </c>
      <c r="AS101" s="80">
        <f t="shared" si="100"/>
        <v>0.15976331360946738</v>
      </c>
      <c r="AT101" s="80">
        <f t="shared" si="100"/>
        <v>-9.4736842105263119E-2</v>
      </c>
      <c r="AU101" s="80">
        <f t="shared" si="100"/>
        <v>-3.0487804878048808E-2</v>
      </c>
      <c r="AV101" s="80">
        <f t="shared" si="100"/>
        <v>-1.8750000000000044E-2</v>
      </c>
      <c r="AW101" s="80">
        <f t="shared" si="100"/>
        <v>-0.1964285714285714</v>
      </c>
      <c r="AX101" s="80">
        <f t="shared" si="100"/>
        <v>-0.18877551020408168</v>
      </c>
      <c r="AY101" s="80">
        <f t="shared" si="100"/>
        <v>-0.11337209302325579</v>
      </c>
      <c r="AZ101" s="80">
        <f t="shared" si="100"/>
        <v>-0.14465408805031443</v>
      </c>
      <c r="BA101" s="80">
        <f t="shared" si="100"/>
        <v>-0.13375796178343946</v>
      </c>
      <c r="BB101" s="80">
        <f t="shared" si="100"/>
        <v>-8.1481481481481488E-2</v>
      </c>
      <c r="BC101" s="80">
        <f t="shared" si="100"/>
        <v>-0.25786163522012584</v>
      </c>
      <c r="BD101" s="80">
        <f t="shared" si="100"/>
        <v>-0.15737704918032791</v>
      </c>
      <c r="BE101" s="80">
        <f t="shared" si="100"/>
        <v>-0.3529411764705882</v>
      </c>
      <c r="BF101" s="80">
        <f t="shared" si="100"/>
        <v>-0.23529411764705888</v>
      </c>
      <c r="BG101" s="80">
        <f>BG98/BB98-1</f>
        <v>-0.12096774193548387</v>
      </c>
      <c r="BH101" s="80">
        <f>BH98/BC98-1</f>
        <v>-0.32203389830508478</v>
      </c>
      <c r="BI101" s="80">
        <f ca="1">BI98/BD98-1</f>
        <v>-0.2042801556420234</v>
      </c>
      <c r="BJ101" s="80">
        <f t="shared" si="100"/>
        <v>-4.5454545454545414E-2</v>
      </c>
      <c r="BK101" s="91">
        <f>BK98/BF98-1</f>
        <v>-0.18269230769230771</v>
      </c>
      <c r="BL101" s="91">
        <f>BL98/BG98-1</f>
        <v>-0.19266055045871555</v>
      </c>
      <c r="BM101" s="91">
        <f>BM98/BH98-1</f>
        <v>-1.2499999999999956E-2</v>
      </c>
      <c r="BN101" s="80">
        <f ca="1">BN98/BI98-1</f>
        <v>-0.17848410757946209</v>
      </c>
      <c r="BO101" s="80">
        <f>BO98/BJ98-1</f>
        <v>-0.15476190476190477</v>
      </c>
      <c r="BP101" s="91">
        <f>BP98/BK98-1</f>
        <v>-4.705882352941182E-2</v>
      </c>
      <c r="BQ101" s="91">
        <f>BQ98/BL98-1</f>
        <v>4.5454545454545414E-2</v>
      </c>
      <c r="BR101" s="91">
        <f>BR98/BM98-1</f>
        <v>8.8607594936708889E-2</v>
      </c>
      <c r="BS101" s="80">
        <f t="shared" si="101"/>
        <v>-1.7857142857142905E-2</v>
      </c>
      <c r="BT101" s="80">
        <f t="shared" si="101"/>
        <v>-8.4507042253521125E-2</v>
      </c>
      <c r="BU101" s="80">
        <f t="shared" si="101"/>
        <v>8.6419753086419693E-2</v>
      </c>
      <c r="BV101" s="91">
        <f t="shared" si="101"/>
        <v>-0.18478260869565222</v>
      </c>
      <c r="BW101" s="91">
        <f t="shared" si="101"/>
        <v>0</v>
      </c>
      <c r="BX101" s="80">
        <f t="shared" si="101"/>
        <v>-4.8484848484848464E-2</v>
      </c>
      <c r="BY101" s="80">
        <f t="shared" si="101"/>
        <v>0.13846153846153841</v>
      </c>
      <c r="BZ101" s="80">
        <f t="shared" si="101"/>
        <v>-7.9545454545454586E-2</v>
      </c>
      <c r="CA101" s="80">
        <f t="shared" si="101"/>
        <v>2.6666666666666616E-2</v>
      </c>
      <c r="CB101" s="80">
        <f t="shared" si="101"/>
        <v>-0.23255813953488369</v>
      </c>
      <c r="CC101" s="80">
        <f>CC98/BX98-1</f>
        <v>-5.0955414012738842E-2</v>
      </c>
      <c r="CD101" s="80">
        <f t="shared" si="102"/>
        <v>-0.16216216216216217</v>
      </c>
      <c r="CE101" s="80">
        <f t="shared" si="102"/>
        <v>-0.12345679012345678</v>
      </c>
      <c r="CF101" s="80">
        <f t="shared" si="102"/>
        <v>-5.1948051948051965E-2</v>
      </c>
      <c r="CG101" s="80">
        <f t="shared" si="102"/>
        <v>0.1212121212121211</v>
      </c>
      <c r="CH101" s="80">
        <f>CH98/CC98-1</f>
        <v>-6.0402684563758413E-2</v>
      </c>
      <c r="CI101" s="80">
        <f>CI98/CD98-1</f>
        <v>0.16129032258064524</v>
      </c>
      <c r="CJ101" s="80">
        <f t="shared" si="103"/>
        <v>-4.2253521126760618E-2</v>
      </c>
      <c r="CK101" s="80">
        <f t="shared" si="103"/>
        <v>-1.3698630136986356E-2</v>
      </c>
      <c r="CL101" s="80">
        <f t="shared" si="103"/>
        <v>-0.28378378378378377</v>
      </c>
      <c r="CM101" s="80">
        <f t="shared" si="103"/>
        <v>-5.3571428571428603E-2</v>
      </c>
      <c r="CN101" s="80">
        <f t="shared" si="103"/>
        <v>-0.18055555555555558</v>
      </c>
      <c r="CO101" s="80">
        <v>-0.25</v>
      </c>
      <c r="CP101" s="80">
        <v>-0.25</v>
      </c>
      <c r="CQ101" s="80">
        <f>CQ98/CL98-1</f>
        <v>0.26415094339622636</v>
      </c>
      <c r="CR101" s="80">
        <f>CR98/CM98-1</f>
        <v>3.3962264150943389E-2</v>
      </c>
      <c r="CS101" s="80">
        <f t="shared" si="104"/>
        <v>-0.13559322033898302</v>
      </c>
      <c r="CT101" s="80">
        <f t="shared" si="104"/>
        <v>-9.8591549295774628E-2</v>
      </c>
      <c r="CU101" s="80">
        <f t="shared" si="104"/>
        <v>-3.8961038961038974E-2</v>
      </c>
      <c r="CV101" s="80">
        <f t="shared" si="104"/>
        <v>-7.4626865671641784E-2</v>
      </c>
      <c r="CW101" s="80">
        <f>CW98/CR98-1</f>
        <v>-8.3941605839416011E-2</v>
      </c>
      <c r="CX101" s="80">
        <f>CX98/CS98-1</f>
        <v>0.27450980392156854</v>
      </c>
      <c r="CY101" s="80">
        <f>CY98/CT98-1</f>
        <v>-6.25E-2</v>
      </c>
      <c r="CZ101" s="80">
        <f>CZ98/CU98-1</f>
        <v>-6.7567567567567544E-2</v>
      </c>
      <c r="DA101" s="80">
        <f>DA98/CV98-1</f>
        <v>4.8387096774193505E-2</v>
      </c>
      <c r="DB101" s="80">
        <f>DB98/CW98-1</f>
        <v>3.1872509960159334E-2</v>
      </c>
      <c r="DC101" s="80">
        <f>DC98/CX98-1</f>
        <v>-9.2307692307692313E-2</v>
      </c>
      <c r="DD101" s="80">
        <f>DD98/CY98-1</f>
        <v>6.6666666666666652E-2</v>
      </c>
      <c r="DE101" s="80">
        <f>DE98/CZ98-1</f>
        <v>-8.6956521739130488E-2</v>
      </c>
      <c r="DF101" s="80">
        <f>DF98/DA98-1</f>
        <v>-0.16923076923076918</v>
      </c>
      <c r="DG101" s="80">
        <f>DG98/DB98-1</f>
        <v>-7.3359073359073323E-2</v>
      </c>
      <c r="DH101" s="80">
        <f>DH98/DC98-1</f>
        <v>-3.6610169491525513E-2</v>
      </c>
      <c r="DI101" s="80">
        <f>DI98/DD98-1</f>
        <v>-2.0000000000000018E-2</v>
      </c>
      <c r="DJ101" s="80">
        <f>DJ98/DE98-1</f>
        <v>-2.0000000000000018E-2</v>
      </c>
      <c r="DK101" s="80">
        <f>DK98/DF98-1</f>
        <v>-3.8148148148148153E-2</v>
      </c>
      <c r="DL101" s="189">
        <f>DL98/DG98-1</f>
        <v>-2.8166666666666673E-2</v>
      </c>
      <c r="DM101" s="189">
        <f t="shared" ref="DM101:DP101" si="105">DM98/DL98-1</f>
        <v>-2.0000000000000018E-2</v>
      </c>
      <c r="DN101" s="189">
        <f t="shared" si="105"/>
        <v>-2.0000000000000018E-2</v>
      </c>
      <c r="DO101" s="189">
        <f t="shared" si="105"/>
        <v>-2.0000000000000018E-2</v>
      </c>
      <c r="DP101" s="189">
        <f t="shared" si="105"/>
        <v>-2.0000000000000018E-2</v>
      </c>
    </row>
    <row r="102" spans="1:120" x14ac:dyDescent="0.2">
      <c r="A102" s="115" t="s">
        <v>105</v>
      </c>
      <c r="B102" s="36">
        <v>42.413315850815849</v>
      </c>
      <c r="C102" s="36">
        <v>42.413315850815849</v>
      </c>
      <c r="D102" s="86">
        <v>34.965034965034967</v>
      </c>
      <c r="E102" s="36">
        <v>50.681089743589745</v>
      </c>
      <c r="F102" s="36"/>
      <c r="G102" s="36"/>
      <c r="H102" s="36"/>
      <c r="I102" s="86"/>
      <c r="J102" s="86"/>
      <c r="K102" s="36"/>
      <c r="L102" s="86"/>
      <c r="M102" s="86"/>
      <c r="N102" s="8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v>28</v>
      </c>
      <c r="CU102" s="36">
        <v>32</v>
      </c>
      <c r="CV102" s="36">
        <v>32</v>
      </c>
      <c r="CW102" s="72">
        <f>SUM(CS102:CV102)</f>
        <v>92</v>
      </c>
      <c r="CX102" s="36">
        <v>35</v>
      </c>
      <c r="CY102" s="36">
        <v>37</v>
      </c>
      <c r="CZ102" s="36">
        <v>39</v>
      </c>
      <c r="DA102" s="36">
        <v>42</v>
      </c>
      <c r="DB102" s="72">
        <f>SUM(CX102:DA102)</f>
        <v>153</v>
      </c>
      <c r="DC102" s="72">
        <v>40</v>
      </c>
      <c r="DD102" s="72">
        <v>47</v>
      </c>
      <c r="DE102" s="72">
        <v>49</v>
      </c>
      <c r="DF102" s="72">
        <v>52</v>
      </c>
      <c r="DG102" s="36">
        <f>SUM(DC102:DF102)</f>
        <v>188</v>
      </c>
      <c r="DH102" s="36">
        <f t="shared" ref="DH102:DK103" si="106">DC102*(1+DH105)</f>
        <v>40.799999999999997</v>
      </c>
      <c r="DI102" s="36">
        <f t="shared" si="106"/>
        <v>47.94</v>
      </c>
      <c r="DJ102" s="36">
        <f t="shared" si="106"/>
        <v>49.980000000000004</v>
      </c>
      <c r="DK102" s="36">
        <f t="shared" si="106"/>
        <v>53.04</v>
      </c>
      <c r="DL102" s="183">
        <f>SUM(DH102:DK102)</f>
        <v>191.76</v>
      </c>
      <c r="DM102" s="183">
        <f t="shared" ref="DM102:DP103" si="107">DL102*(1+DM105)</f>
        <v>195.59520000000001</v>
      </c>
      <c r="DN102" s="183">
        <f t="shared" si="107"/>
        <v>199.507104</v>
      </c>
      <c r="DO102" s="183">
        <f t="shared" si="107"/>
        <v>203.49724608</v>
      </c>
      <c r="DP102" s="183">
        <f t="shared" si="107"/>
        <v>207.56719100160001</v>
      </c>
    </row>
    <row r="103" spans="1:120" x14ac:dyDescent="0.2">
      <c r="A103" s="115" t="s">
        <v>106</v>
      </c>
      <c r="B103" s="36">
        <v>105.26315789473685</v>
      </c>
      <c r="C103" s="36">
        <v>105.26315789473685</v>
      </c>
      <c r="D103" s="86">
        <v>100</v>
      </c>
      <c r="E103" s="36">
        <v>110.18675721561971</v>
      </c>
      <c r="F103" s="36"/>
      <c r="G103" s="36"/>
      <c r="H103" s="36"/>
      <c r="I103" s="86"/>
      <c r="J103" s="86"/>
      <c r="K103" s="36"/>
      <c r="L103" s="86"/>
      <c r="M103" s="86"/>
      <c r="N103" s="8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v>35</v>
      </c>
      <c r="CU103" s="36">
        <v>46</v>
      </c>
      <c r="CV103" s="36">
        <v>48</v>
      </c>
      <c r="CW103" s="72">
        <f>SUM(CS103:CV103)</f>
        <v>129</v>
      </c>
      <c r="CX103" s="36">
        <v>47</v>
      </c>
      <c r="CY103" s="36">
        <v>56</v>
      </c>
      <c r="CZ103" s="36">
        <v>57</v>
      </c>
      <c r="DA103" s="36">
        <v>58</v>
      </c>
      <c r="DB103" s="72">
        <f>SUM(CX103:DA103)</f>
        <v>218</v>
      </c>
      <c r="DC103" s="72">
        <v>54</v>
      </c>
      <c r="DD103" s="72">
        <v>56</v>
      </c>
      <c r="DE103" s="72">
        <v>64</v>
      </c>
      <c r="DF103" s="72">
        <v>65</v>
      </c>
      <c r="DG103" s="36">
        <f>SUM(DC103:DF103)</f>
        <v>239</v>
      </c>
      <c r="DH103" s="36">
        <f t="shared" si="106"/>
        <v>55.08</v>
      </c>
      <c r="DI103" s="36">
        <f t="shared" si="106"/>
        <v>57.120000000000005</v>
      </c>
      <c r="DJ103" s="36">
        <f t="shared" si="106"/>
        <v>65.28</v>
      </c>
      <c r="DK103" s="36">
        <f t="shared" si="106"/>
        <v>66.3</v>
      </c>
      <c r="DL103" s="183">
        <f>SUM(DH103:DK103)</f>
        <v>243.78000000000003</v>
      </c>
      <c r="DM103" s="183">
        <f t="shared" si="107"/>
        <v>248.65560000000002</v>
      </c>
      <c r="DN103" s="183">
        <f t="shared" si="107"/>
        <v>253.62871200000004</v>
      </c>
      <c r="DO103" s="183">
        <f t="shared" si="107"/>
        <v>258.70128624000006</v>
      </c>
      <c r="DP103" s="183">
        <f t="shared" si="107"/>
        <v>263.87531196480006</v>
      </c>
    </row>
    <row r="104" spans="1:120" x14ac:dyDescent="0.2">
      <c r="A104" s="116" t="s">
        <v>107</v>
      </c>
      <c r="B104" s="39">
        <f>B103+B102</f>
        <v>147.6764737455527</v>
      </c>
      <c r="C104" s="39">
        <f>C103+C102</f>
        <v>147.6764737455527</v>
      </c>
      <c r="D104" s="39">
        <f>D103+D102</f>
        <v>134.96503496503496</v>
      </c>
      <c r="E104" s="39">
        <f>E103+E102</f>
        <v>160.86784695920946</v>
      </c>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f>CT103+CT102</f>
        <v>63</v>
      </c>
      <c r="CU104" s="39">
        <f>CU103+CU102-1</f>
        <v>77</v>
      </c>
      <c r="CV104" s="39">
        <f>CV103+CV102</f>
        <v>80</v>
      </c>
      <c r="CW104" s="74">
        <f>SUM(CS104:CV104)</f>
        <v>220</v>
      </c>
      <c r="CX104" s="39">
        <f>SUM(CX102:CX103)</f>
        <v>82</v>
      </c>
      <c r="CY104" s="39">
        <f>SUM(CY102:CY103)</f>
        <v>93</v>
      </c>
      <c r="CZ104" s="39">
        <f>SUM(CZ102:CZ103)</f>
        <v>96</v>
      </c>
      <c r="DA104" s="39">
        <f>SUM(DA102:DA103)</f>
        <v>100</v>
      </c>
      <c r="DB104" s="74">
        <f>SUM(CX104:DA104)</f>
        <v>371</v>
      </c>
      <c r="DC104" s="74">
        <f>DC103+DC102</f>
        <v>94</v>
      </c>
      <c r="DD104" s="74">
        <f>DD103+DD102</f>
        <v>103</v>
      </c>
      <c r="DE104" s="74">
        <f>DE103+DE102</f>
        <v>113</v>
      </c>
      <c r="DF104" s="74">
        <f>DF103+DF102</f>
        <v>117</v>
      </c>
      <c r="DG104" s="39">
        <f>SUM(DC104:DF104)</f>
        <v>427</v>
      </c>
      <c r="DH104" s="39">
        <f>DH103+DH102</f>
        <v>95.88</v>
      </c>
      <c r="DI104" s="39">
        <f>DI103+DI102</f>
        <v>105.06</v>
      </c>
      <c r="DJ104" s="39">
        <f>DJ103+DJ102</f>
        <v>115.26</v>
      </c>
      <c r="DK104" s="39">
        <f>DK103+DK102</f>
        <v>119.34</v>
      </c>
      <c r="DL104" s="187">
        <f>SUM(DH104:DK104)</f>
        <v>435.53999999999996</v>
      </c>
      <c r="DM104" s="187">
        <f t="shared" ref="DM104:DP104" si="108">DM103+DM102</f>
        <v>444.25080000000003</v>
      </c>
      <c r="DN104" s="187">
        <f t="shared" si="108"/>
        <v>453.13581600000003</v>
      </c>
      <c r="DO104" s="187">
        <f t="shared" si="108"/>
        <v>462.19853232000003</v>
      </c>
      <c r="DP104" s="187">
        <f t="shared" si="108"/>
        <v>471.44250296640007</v>
      </c>
    </row>
    <row r="105" spans="1:120" x14ac:dyDescent="0.2">
      <c r="A105" s="68" t="s">
        <v>54</v>
      </c>
      <c r="G105" s="76"/>
      <c r="H105" s="76"/>
      <c r="I105" s="76"/>
      <c r="J105" s="76"/>
      <c r="K105" s="76"/>
      <c r="L105" s="76"/>
      <c r="M105" s="76"/>
      <c r="N105" s="76"/>
      <c r="O105" s="76"/>
      <c r="P105" s="76"/>
      <c r="Q105" s="90"/>
      <c r="R105" s="90"/>
      <c r="S105" s="90"/>
      <c r="T105" s="90"/>
      <c r="U105" s="76"/>
      <c r="V105" s="90"/>
      <c r="W105" s="90"/>
      <c r="X105" s="90"/>
      <c r="Y105" s="90"/>
      <c r="Z105" s="76"/>
      <c r="AA105" s="90"/>
      <c r="AB105" s="90"/>
      <c r="AC105" s="90"/>
      <c r="AD105" s="90"/>
      <c r="AE105" s="76"/>
      <c r="AF105" s="90"/>
      <c r="AG105" s="90"/>
      <c r="AH105" s="90"/>
      <c r="AI105" s="90"/>
      <c r="AJ105" s="76"/>
      <c r="AK105" s="90"/>
      <c r="AL105" s="90"/>
      <c r="AM105" s="90"/>
      <c r="AN105" s="90"/>
      <c r="AO105" s="76"/>
      <c r="AP105" s="90"/>
      <c r="AQ105" s="90"/>
      <c r="AR105" s="90"/>
      <c r="AS105" s="90"/>
      <c r="AT105" s="76"/>
      <c r="AU105" s="90"/>
      <c r="AV105" s="90"/>
      <c r="AW105" s="90"/>
      <c r="AX105" s="90"/>
      <c r="AY105" s="76"/>
      <c r="AZ105" s="90"/>
      <c r="BA105" s="90"/>
      <c r="BB105" s="90"/>
      <c r="BC105" s="90"/>
      <c r="BD105" s="76"/>
      <c r="BE105" s="76"/>
      <c r="BF105" s="76"/>
      <c r="BG105" s="76"/>
      <c r="BH105" s="76"/>
      <c r="BI105" s="90"/>
      <c r="BJ105" s="76"/>
      <c r="BK105" s="76"/>
      <c r="BL105" s="76"/>
      <c r="BM105" s="76"/>
      <c r="BN105" s="90"/>
      <c r="BO105" s="76"/>
      <c r="BP105" s="76"/>
      <c r="BQ105" s="76"/>
      <c r="BR105" s="76"/>
      <c r="BS105" s="90"/>
      <c r="BT105" s="76"/>
      <c r="BU105" s="76"/>
      <c r="BV105" s="76"/>
      <c r="BW105" s="76"/>
      <c r="BX105" s="90"/>
      <c r="BY105" s="76"/>
      <c r="BZ105" s="76"/>
      <c r="CA105" s="76"/>
      <c r="CB105" s="76"/>
      <c r="CC105" s="90"/>
      <c r="CD105" s="76"/>
      <c r="CE105" s="76"/>
      <c r="CF105" s="76"/>
      <c r="CG105" s="76"/>
      <c r="CH105" s="90"/>
      <c r="CI105" s="76"/>
      <c r="CJ105" s="76"/>
      <c r="CK105" s="76"/>
      <c r="CL105" s="76"/>
      <c r="CM105" s="90"/>
      <c r="CN105" s="90"/>
      <c r="CO105" s="90"/>
      <c r="CP105" s="90"/>
      <c r="CQ105" s="90"/>
      <c r="CR105" s="90"/>
      <c r="CS105" s="90"/>
      <c r="CT105" s="90"/>
      <c r="CU105" s="75"/>
      <c r="CV105" s="75"/>
      <c r="CW105" s="90"/>
      <c r="CX105" s="90"/>
      <c r="CY105" s="75">
        <f t="shared" ref="CY105:DF107" si="109">CY102/CT102-1</f>
        <v>0.3214285714285714</v>
      </c>
      <c r="CZ105" s="75">
        <f t="shared" si="109"/>
        <v>0.21875</v>
      </c>
      <c r="DA105" s="75">
        <f t="shared" si="109"/>
        <v>0.3125</v>
      </c>
      <c r="DB105" s="90">
        <f>DB102/CW102-1</f>
        <v>0.66304347826086962</v>
      </c>
      <c r="DC105" s="75">
        <f t="shared" si="109"/>
        <v>0.14285714285714279</v>
      </c>
      <c r="DD105" s="75">
        <f t="shared" si="109"/>
        <v>0.27027027027027017</v>
      </c>
      <c r="DE105" s="75">
        <f t="shared" si="109"/>
        <v>0.25641025641025639</v>
      </c>
      <c r="DF105" s="75">
        <f t="shared" si="109"/>
        <v>0.23809523809523814</v>
      </c>
      <c r="DG105" s="90">
        <f>DG102/DB102-1</f>
        <v>0.2287581699346406</v>
      </c>
      <c r="DH105" s="90">
        <v>0.02</v>
      </c>
      <c r="DI105" s="90">
        <v>0.02</v>
      </c>
      <c r="DJ105" s="90">
        <v>0.02</v>
      </c>
      <c r="DK105" s="90">
        <v>0.02</v>
      </c>
      <c r="DL105" s="188">
        <f>DL102/DG102-1</f>
        <v>2.0000000000000018E-2</v>
      </c>
      <c r="DM105" s="188">
        <v>0.02</v>
      </c>
      <c r="DN105" s="188">
        <v>0.02</v>
      </c>
      <c r="DO105" s="188">
        <v>0.02</v>
      </c>
      <c r="DP105" s="188">
        <v>0.02</v>
      </c>
    </row>
    <row r="106" spans="1:120" x14ac:dyDescent="0.2">
      <c r="A106" s="68" t="s">
        <v>55</v>
      </c>
      <c r="G106" s="76"/>
      <c r="H106" s="76"/>
      <c r="I106" s="76"/>
      <c r="J106" s="76"/>
      <c r="K106" s="76"/>
      <c r="L106" s="76"/>
      <c r="M106" s="76"/>
      <c r="N106" s="76"/>
      <c r="O106" s="76"/>
      <c r="P106" s="76"/>
      <c r="Q106" s="90"/>
      <c r="R106" s="90"/>
      <c r="S106" s="90"/>
      <c r="T106" s="90"/>
      <c r="U106" s="76"/>
      <c r="V106" s="90"/>
      <c r="W106" s="90"/>
      <c r="X106" s="90"/>
      <c r="Y106" s="90"/>
      <c r="Z106" s="76"/>
      <c r="AA106" s="90"/>
      <c r="AB106" s="90"/>
      <c r="AC106" s="90"/>
      <c r="AD106" s="90"/>
      <c r="AE106" s="76"/>
      <c r="AF106" s="90"/>
      <c r="AG106" s="90"/>
      <c r="AH106" s="90"/>
      <c r="AI106" s="90"/>
      <c r="AJ106" s="76"/>
      <c r="AK106" s="90"/>
      <c r="AL106" s="90"/>
      <c r="AM106" s="90"/>
      <c r="AN106" s="90"/>
      <c r="AO106" s="76"/>
      <c r="AP106" s="90"/>
      <c r="AQ106" s="90"/>
      <c r="AR106" s="90"/>
      <c r="AS106" s="90"/>
      <c r="AT106" s="76"/>
      <c r="AU106" s="90"/>
      <c r="AV106" s="90"/>
      <c r="AW106" s="90"/>
      <c r="AX106" s="90"/>
      <c r="AY106" s="76"/>
      <c r="AZ106" s="90"/>
      <c r="BA106" s="90"/>
      <c r="BB106" s="90"/>
      <c r="BC106" s="90"/>
      <c r="BD106" s="76"/>
      <c r="BE106" s="76"/>
      <c r="BF106" s="76"/>
      <c r="BG106" s="76"/>
      <c r="BH106" s="76"/>
      <c r="BI106" s="90"/>
      <c r="BJ106" s="76"/>
      <c r="BK106" s="76"/>
      <c r="BL106" s="76"/>
      <c r="BM106" s="76"/>
      <c r="BN106" s="90"/>
      <c r="BO106" s="76"/>
      <c r="BP106" s="76"/>
      <c r="BQ106" s="76"/>
      <c r="BR106" s="76"/>
      <c r="BS106" s="90"/>
      <c r="BT106" s="76"/>
      <c r="BU106" s="76"/>
      <c r="BV106" s="76"/>
      <c r="BW106" s="76"/>
      <c r="BX106" s="90"/>
      <c r="BY106" s="76"/>
      <c r="BZ106" s="76"/>
      <c r="CA106" s="76"/>
      <c r="CB106" s="76"/>
      <c r="CC106" s="90"/>
      <c r="CD106" s="76"/>
      <c r="CE106" s="76"/>
      <c r="CF106" s="76"/>
      <c r="CG106" s="76"/>
      <c r="CH106" s="90"/>
      <c r="CI106" s="76"/>
      <c r="CJ106" s="76"/>
      <c r="CK106" s="76"/>
      <c r="CL106" s="76"/>
      <c r="CM106" s="90"/>
      <c r="CN106" s="90"/>
      <c r="CO106" s="90"/>
      <c r="CP106" s="90"/>
      <c r="CQ106" s="90"/>
      <c r="CR106" s="90"/>
      <c r="CS106" s="90"/>
      <c r="CT106" s="90"/>
      <c r="CU106" s="75"/>
      <c r="CV106" s="75"/>
      <c r="CW106" s="90"/>
      <c r="CX106" s="90"/>
      <c r="CY106" s="75">
        <f t="shared" si="109"/>
        <v>0.60000000000000009</v>
      </c>
      <c r="CZ106" s="75">
        <f t="shared" si="109"/>
        <v>0.23913043478260865</v>
      </c>
      <c r="DA106" s="75">
        <f t="shared" si="109"/>
        <v>0.20833333333333326</v>
      </c>
      <c r="DB106" s="90">
        <f>DB103/CW103-1</f>
        <v>0.68992248062015493</v>
      </c>
      <c r="DC106" s="75">
        <f t="shared" si="109"/>
        <v>0.14893617021276606</v>
      </c>
      <c r="DD106" s="75">
        <f t="shared" si="109"/>
        <v>0</v>
      </c>
      <c r="DE106" s="75">
        <f t="shared" si="109"/>
        <v>0.12280701754385959</v>
      </c>
      <c r="DF106" s="75">
        <f t="shared" si="109"/>
        <v>0.1206896551724137</v>
      </c>
      <c r="DG106" s="90">
        <f>DG103/DB103-1</f>
        <v>9.6330275229357776E-2</v>
      </c>
      <c r="DH106" s="90">
        <v>0.02</v>
      </c>
      <c r="DI106" s="90">
        <v>0.02</v>
      </c>
      <c r="DJ106" s="90">
        <v>0.02</v>
      </c>
      <c r="DK106" s="90">
        <v>0.02</v>
      </c>
      <c r="DL106" s="188">
        <f>DL103/DG103-1</f>
        <v>2.0000000000000018E-2</v>
      </c>
      <c r="DM106" s="188">
        <v>0.02</v>
      </c>
      <c r="DN106" s="188">
        <v>0.02</v>
      </c>
      <c r="DO106" s="188">
        <v>0.02</v>
      </c>
      <c r="DP106" s="188">
        <v>0.02</v>
      </c>
    </row>
    <row r="107" spans="1:120" x14ac:dyDescent="0.2">
      <c r="A107" s="78" t="s">
        <v>56</v>
      </c>
      <c r="B107" s="79"/>
      <c r="C107" s="79"/>
      <c r="D107" s="79"/>
      <c r="E107" s="79"/>
      <c r="F107" s="79"/>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91"/>
      <c r="BL107" s="91"/>
      <c r="BM107" s="91"/>
      <c r="BN107" s="80"/>
      <c r="BO107" s="80"/>
      <c r="BP107" s="91"/>
      <c r="BQ107" s="91"/>
      <c r="BR107" s="91"/>
      <c r="BS107" s="80"/>
      <c r="BT107" s="80"/>
      <c r="BU107" s="80"/>
      <c r="BV107" s="91"/>
      <c r="BW107" s="91"/>
      <c r="BX107" s="80"/>
      <c r="BY107" s="80"/>
      <c r="BZ107" s="80"/>
      <c r="CA107" s="80"/>
      <c r="CB107" s="80"/>
      <c r="CC107" s="80"/>
      <c r="CD107" s="80"/>
      <c r="CE107" s="80"/>
      <c r="CF107" s="80"/>
      <c r="CG107" s="80"/>
      <c r="CH107" s="80"/>
      <c r="CI107" s="80"/>
      <c r="CJ107" s="80"/>
      <c r="CK107" s="80"/>
      <c r="CL107" s="80"/>
      <c r="CM107" s="80"/>
      <c r="CN107" s="80"/>
      <c r="CO107" s="80"/>
      <c r="CP107" s="80"/>
      <c r="CQ107" s="80"/>
      <c r="CR107" s="80"/>
      <c r="CS107" s="80"/>
      <c r="CT107" s="80"/>
      <c r="CU107" s="83"/>
      <c r="CV107" s="83"/>
      <c r="CW107" s="80"/>
      <c r="CX107" s="80"/>
      <c r="CY107" s="80">
        <f t="shared" si="109"/>
        <v>0.47619047619047628</v>
      </c>
      <c r="CZ107" s="80">
        <f t="shared" si="109"/>
        <v>0.24675324675324672</v>
      </c>
      <c r="DA107" s="80">
        <f>DA104/CV104-1</f>
        <v>0.25</v>
      </c>
      <c r="DB107" s="80">
        <f>DB104/CW104-1</f>
        <v>0.68636363636363629</v>
      </c>
      <c r="DC107" s="80">
        <f>DC104/CX104-1</f>
        <v>0.14634146341463405</v>
      </c>
      <c r="DD107" s="80">
        <f>DD104/CY104-1</f>
        <v>0.10752688172043001</v>
      </c>
      <c r="DE107" s="80">
        <f>DE104/CZ104-1</f>
        <v>0.17708333333333326</v>
      </c>
      <c r="DF107" s="80">
        <f>DF104/DA104-1</f>
        <v>0.16999999999999993</v>
      </c>
      <c r="DG107" s="80">
        <f>DG104/DB104-1</f>
        <v>0.15094339622641506</v>
      </c>
      <c r="DH107" s="80">
        <f>DH104/DC104-1</f>
        <v>2.0000000000000018E-2</v>
      </c>
      <c r="DI107" s="80">
        <f>DI104/DD104-1</f>
        <v>2.0000000000000018E-2</v>
      </c>
      <c r="DJ107" s="80">
        <f>DJ104/DE104-1</f>
        <v>2.0000000000000018E-2</v>
      </c>
      <c r="DK107" s="80">
        <f>DK104/DF104-1</f>
        <v>2.0000000000000018E-2</v>
      </c>
      <c r="DL107" s="189">
        <f>DL104/DG104-1</f>
        <v>2.0000000000000018E-2</v>
      </c>
      <c r="DM107" s="189">
        <f t="shared" ref="DM107:DP107" si="110">DM104/DL104-1</f>
        <v>2.000000000000024E-2</v>
      </c>
      <c r="DN107" s="189">
        <f t="shared" si="110"/>
        <v>2.0000000000000018E-2</v>
      </c>
      <c r="DO107" s="189">
        <f t="shared" si="110"/>
        <v>2.0000000000000018E-2</v>
      </c>
      <c r="DP107" s="189">
        <f t="shared" si="110"/>
        <v>2.0000000000000018E-2</v>
      </c>
    </row>
    <row r="108" spans="1:120" ht="17" x14ac:dyDescent="0.2">
      <c r="A108" s="117" t="s">
        <v>108</v>
      </c>
      <c r="B108" s="86"/>
      <c r="C108" s="86"/>
      <c r="D108" s="86"/>
      <c r="E108" s="86"/>
      <c r="F108" s="86"/>
      <c r="G108" s="36">
        <v>8</v>
      </c>
      <c r="H108" s="36">
        <v>14</v>
      </c>
      <c r="I108" s="86">
        <v>20</v>
      </c>
      <c r="J108" s="86">
        <v>20</v>
      </c>
      <c r="K108" s="36">
        <f>J108+I108+H108+G108</f>
        <v>62</v>
      </c>
      <c r="L108" s="86">
        <v>27</v>
      </c>
      <c r="M108" s="86">
        <v>36</v>
      </c>
      <c r="N108" s="86">
        <v>48</v>
      </c>
      <c r="O108" s="36">
        <v>55</v>
      </c>
      <c r="P108" s="36">
        <f>O108+N108+M108+L108</f>
        <v>166</v>
      </c>
      <c r="Q108" s="36">
        <v>49</v>
      </c>
      <c r="R108" s="36">
        <v>58</v>
      </c>
      <c r="S108" s="36">
        <v>65</v>
      </c>
      <c r="T108" s="36">
        <v>78</v>
      </c>
      <c r="U108" s="36">
        <f>T108+S108+R108+Q108</f>
        <v>250</v>
      </c>
      <c r="V108" s="36">
        <v>67</v>
      </c>
      <c r="W108" s="36">
        <v>75</v>
      </c>
      <c r="X108" s="36">
        <v>80</v>
      </c>
      <c r="Y108" s="36">
        <v>90</v>
      </c>
      <c r="Z108" s="36">
        <f>Y108+X108+W108+V108</f>
        <v>312</v>
      </c>
      <c r="AA108" s="36">
        <v>78</v>
      </c>
      <c r="AB108" s="36">
        <v>47</v>
      </c>
      <c r="AC108" s="36">
        <v>46</v>
      </c>
      <c r="AD108" s="36">
        <v>49</v>
      </c>
      <c r="AE108" s="36">
        <f>AD108+AC108+AB108+AA108</f>
        <v>220</v>
      </c>
      <c r="AF108" s="36">
        <v>38</v>
      </c>
      <c r="AG108" s="36">
        <v>35</v>
      </c>
      <c r="AH108" s="36">
        <v>34</v>
      </c>
      <c r="AI108" s="36">
        <v>20</v>
      </c>
      <c r="AJ108" s="36">
        <f>AI108+AH108+AG108+AF108</f>
        <v>127</v>
      </c>
      <c r="AK108" s="36">
        <v>30</v>
      </c>
      <c r="AL108" s="36">
        <v>26</v>
      </c>
      <c r="AM108" s="36">
        <v>24</v>
      </c>
      <c r="AN108" s="36">
        <v>21</v>
      </c>
      <c r="AO108" s="36">
        <f>AN108+AM108+AL108+AK108</f>
        <v>101</v>
      </c>
      <c r="AP108" s="36">
        <v>19</v>
      </c>
      <c r="AQ108" s="36">
        <v>18</v>
      </c>
      <c r="AR108" s="36">
        <v>18</v>
      </c>
      <c r="AS108" s="36">
        <v>19</v>
      </c>
      <c r="AT108" s="36">
        <f>AS108+AR108+AQ108+AP108</f>
        <v>74</v>
      </c>
      <c r="AU108" s="36">
        <v>15</v>
      </c>
      <c r="AV108" s="36">
        <v>14</v>
      </c>
      <c r="AW108" s="36">
        <v>15</v>
      </c>
      <c r="AX108" s="36">
        <v>17</v>
      </c>
      <c r="AY108" s="36">
        <f>AX108+AW108+AV108+AU108</f>
        <v>61</v>
      </c>
      <c r="AZ108" s="36">
        <v>12</v>
      </c>
      <c r="BA108" s="36">
        <v>6</v>
      </c>
      <c r="BB108" s="36">
        <v>14</v>
      </c>
      <c r="BC108" s="36">
        <v>12</v>
      </c>
      <c r="BD108" s="36">
        <f>BC108+BB108+BA108+AZ108</f>
        <v>44</v>
      </c>
      <c r="BE108" s="36">
        <v>8</v>
      </c>
      <c r="BF108" s="36">
        <v>7</v>
      </c>
      <c r="BG108" s="36">
        <v>8</v>
      </c>
      <c r="BH108" s="36">
        <v>9</v>
      </c>
      <c r="BI108" s="36">
        <f>SUM(BE108:BH108)</f>
        <v>32</v>
      </c>
      <c r="BJ108" s="36">
        <v>7</v>
      </c>
      <c r="BK108" s="36">
        <v>8</v>
      </c>
      <c r="BL108" s="36">
        <v>7</v>
      </c>
      <c r="BM108" s="36">
        <v>9</v>
      </c>
      <c r="BN108" s="36">
        <f>SUM(BJ108:BM108)</f>
        <v>31</v>
      </c>
      <c r="BO108" s="36">
        <v>7</v>
      </c>
      <c r="BP108" s="36">
        <v>4</v>
      </c>
      <c r="BQ108" s="36">
        <v>4</v>
      </c>
      <c r="BR108" s="36">
        <v>8</v>
      </c>
      <c r="BS108" s="36">
        <f>SUM(BO108:BR108)</f>
        <v>23</v>
      </c>
      <c r="BT108" s="36">
        <v>6</v>
      </c>
      <c r="BU108" s="36">
        <v>7</v>
      </c>
      <c r="BV108" s="36">
        <v>6</v>
      </c>
      <c r="BW108" s="36">
        <v>5</v>
      </c>
      <c r="BX108" s="36">
        <f>SUM(BT108:BW108)</f>
        <v>24</v>
      </c>
      <c r="BY108" s="36">
        <v>4</v>
      </c>
      <c r="BZ108" s="36">
        <v>6</v>
      </c>
      <c r="CA108" s="36">
        <v>8</v>
      </c>
      <c r="CB108" s="36">
        <v>6</v>
      </c>
      <c r="CC108" s="36">
        <f>SUM(BY108:CB108)</f>
        <v>24</v>
      </c>
      <c r="CD108" s="36">
        <v>5</v>
      </c>
      <c r="CE108" s="36">
        <v>6</v>
      </c>
      <c r="CF108" s="36">
        <v>6</v>
      </c>
      <c r="CG108" s="36">
        <v>3</v>
      </c>
      <c r="CH108" s="36">
        <f>SUM(CD108:CG108)</f>
        <v>20</v>
      </c>
      <c r="CI108" s="36">
        <v>3</v>
      </c>
      <c r="CJ108" s="36">
        <v>4</v>
      </c>
      <c r="CK108" s="36">
        <v>2</v>
      </c>
      <c r="CL108" s="36">
        <v>2</v>
      </c>
      <c r="CM108" s="36">
        <f>SUM(CI108:CL108)</f>
        <v>11</v>
      </c>
      <c r="CN108" s="36">
        <v>1</v>
      </c>
      <c r="CO108" s="36">
        <v>3</v>
      </c>
      <c r="CP108" s="36">
        <v>0</v>
      </c>
      <c r="CQ108" s="36">
        <v>2</v>
      </c>
      <c r="CR108" s="36">
        <f>SUM(CN108:CQ108)</f>
        <v>6</v>
      </c>
      <c r="CS108" s="36">
        <v>3</v>
      </c>
      <c r="CT108" s="36">
        <v>-2</v>
      </c>
      <c r="CU108" s="36">
        <v>1</v>
      </c>
      <c r="CV108" s="36">
        <v>5</v>
      </c>
      <c r="CW108" s="72">
        <f>SUM(CS108:CV108)</f>
        <v>7</v>
      </c>
      <c r="CX108" s="36">
        <v>3</v>
      </c>
      <c r="CY108" s="36">
        <v>1</v>
      </c>
      <c r="CZ108" s="36">
        <v>1</v>
      </c>
      <c r="DA108" s="36">
        <v>0</v>
      </c>
      <c r="DB108" s="72">
        <f>SUM(CX108:DA108)</f>
        <v>5</v>
      </c>
      <c r="DC108" s="72">
        <v>1</v>
      </c>
      <c r="DD108" s="72">
        <v>2</v>
      </c>
      <c r="DE108" s="72">
        <v>1</v>
      </c>
      <c r="DF108" s="72">
        <v>1</v>
      </c>
      <c r="DG108" s="36">
        <f>SUM(DC108:DF108)</f>
        <v>5</v>
      </c>
      <c r="DH108" s="36">
        <f t="shared" ref="DH108:DK109" si="111">DC108*(1+DH111)</f>
        <v>0.8</v>
      </c>
      <c r="DI108" s="36">
        <f t="shared" si="111"/>
        <v>1.6</v>
      </c>
      <c r="DJ108" s="36">
        <f t="shared" si="111"/>
        <v>0.8</v>
      </c>
      <c r="DK108" s="36">
        <f t="shared" si="111"/>
        <v>0.8</v>
      </c>
      <c r="DL108" s="183">
        <f>SUM(DH108:DK108)</f>
        <v>4</v>
      </c>
      <c r="DM108" s="183">
        <f t="shared" ref="DM108:DP109" si="112">DL108*(1+DM111)</f>
        <v>3.2</v>
      </c>
      <c r="DN108" s="183">
        <f t="shared" si="112"/>
        <v>2.5600000000000005</v>
      </c>
      <c r="DO108" s="183">
        <f t="shared" si="112"/>
        <v>2.0480000000000005</v>
      </c>
      <c r="DP108" s="183">
        <f t="shared" si="112"/>
        <v>1.6384000000000005</v>
      </c>
    </row>
    <row r="109" spans="1:120" ht="17" x14ac:dyDescent="0.2">
      <c r="A109" s="117" t="s">
        <v>109</v>
      </c>
      <c r="B109" s="86"/>
      <c r="C109" s="86"/>
      <c r="D109" s="86"/>
      <c r="E109" s="86"/>
      <c r="F109" s="86"/>
      <c r="G109" s="36">
        <v>5</v>
      </c>
      <c r="H109" s="36">
        <v>8</v>
      </c>
      <c r="I109" s="86">
        <v>13</v>
      </c>
      <c r="J109" s="86">
        <v>16</v>
      </c>
      <c r="K109" s="36">
        <f>J109+I109+H109+G109</f>
        <v>42</v>
      </c>
      <c r="L109" s="86">
        <v>20</v>
      </c>
      <c r="M109" s="86">
        <v>26</v>
      </c>
      <c r="N109" s="86">
        <v>29</v>
      </c>
      <c r="O109" s="36">
        <v>35</v>
      </c>
      <c r="P109" s="36">
        <f>O109+N109+M109+L109</f>
        <v>110</v>
      </c>
      <c r="Q109" s="36">
        <v>39</v>
      </c>
      <c r="R109" s="36">
        <v>43</v>
      </c>
      <c r="S109" s="36">
        <v>43</v>
      </c>
      <c r="T109" s="36">
        <v>54</v>
      </c>
      <c r="U109" s="36">
        <f>T109+S109+R109+Q109</f>
        <v>179</v>
      </c>
      <c r="V109" s="36">
        <v>63</v>
      </c>
      <c r="W109" s="36">
        <v>65</v>
      </c>
      <c r="X109" s="36">
        <v>62</v>
      </c>
      <c r="Y109" s="36">
        <v>67</v>
      </c>
      <c r="Z109" s="36">
        <f>Y109+X109+W109+V109</f>
        <v>257</v>
      </c>
      <c r="AA109" s="36">
        <v>69</v>
      </c>
      <c r="AB109" s="36">
        <v>77</v>
      </c>
      <c r="AC109" s="36">
        <v>81</v>
      </c>
      <c r="AD109" s="36">
        <v>84</v>
      </c>
      <c r="AE109" s="36">
        <f>AD109+AC109+AB109+AA109</f>
        <v>311</v>
      </c>
      <c r="AF109" s="36">
        <v>96</v>
      </c>
      <c r="AG109" s="36">
        <v>99</v>
      </c>
      <c r="AH109" s="36">
        <v>101</v>
      </c>
      <c r="AI109" s="36">
        <v>114</v>
      </c>
      <c r="AJ109" s="36">
        <f>AI109+AH109+AG109+AF109</f>
        <v>410</v>
      </c>
      <c r="AK109" s="36">
        <v>119</v>
      </c>
      <c r="AL109" s="36">
        <v>135</v>
      </c>
      <c r="AM109" s="36">
        <v>124</v>
      </c>
      <c r="AN109" s="36">
        <v>118</v>
      </c>
      <c r="AO109" s="36">
        <f>AN109+AM109+AL109+AK109</f>
        <v>496</v>
      </c>
      <c r="AP109" s="36">
        <v>120</v>
      </c>
      <c r="AQ109" s="36">
        <v>130</v>
      </c>
      <c r="AR109" s="36">
        <v>137</v>
      </c>
      <c r="AS109" s="36">
        <v>156</v>
      </c>
      <c r="AT109" s="36">
        <f>AS109+AR109+AQ109+AP109</f>
        <v>543</v>
      </c>
      <c r="AU109" s="36">
        <v>138</v>
      </c>
      <c r="AV109" s="36">
        <v>135</v>
      </c>
      <c r="AW109" s="36">
        <v>120</v>
      </c>
      <c r="AX109" s="36">
        <v>157</v>
      </c>
      <c r="AY109" s="36">
        <f>AX109+AW109+AV109+AU109</f>
        <v>550</v>
      </c>
      <c r="AZ109" s="36">
        <v>146</v>
      </c>
      <c r="BA109" s="36">
        <v>161</v>
      </c>
      <c r="BB109" s="36">
        <v>136</v>
      </c>
      <c r="BC109" s="36">
        <v>152</v>
      </c>
      <c r="BD109" s="36">
        <f>BC109+BB109+BA109+AZ109</f>
        <v>595</v>
      </c>
      <c r="BE109" s="36">
        <v>137</v>
      </c>
      <c r="BF109" s="36">
        <v>159</v>
      </c>
      <c r="BG109" s="36">
        <v>155</v>
      </c>
      <c r="BH109" s="36">
        <v>136</v>
      </c>
      <c r="BI109" s="36">
        <f>SUM(BE109:BH109)</f>
        <v>587</v>
      </c>
      <c r="BJ109" s="36">
        <v>156</v>
      </c>
      <c r="BK109" s="36">
        <v>155</v>
      </c>
      <c r="BL109" s="36">
        <v>144</v>
      </c>
      <c r="BM109" s="36">
        <v>175</v>
      </c>
      <c r="BN109" s="36">
        <f>SUM(BJ109:BM109)</f>
        <v>630</v>
      </c>
      <c r="BO109" s="36">
        <v>159</v>
      </c>
      <c r="BP109" s="36">
        <v>152</v>
      </c>
      <c r="BQ109" s="36">
        <v>179</v>
      </c>
      <c r="BR109" s="36">
        <v>168</v>
      </c>
      <c r="BS109" s="36">
        <f>SUM(BO109:BR109)</f>
        <v>658</v>
      </c>
      <c r="BT109" s="36">
        <v>157</v>
      </c>
      <c r="BU109" s="36">
        <v>127</v>
      </c>
      <c r="BV109" s="36">
        <v>133</v>
      </c>
      <c r="BW109" s="36">
        <v>132</v>
      </c>
      <c r="BX109" s="36">
        <f>SUM(BT109:BW109)</f>
        <v>549</v>
      </c>
      <c r="BY109" s="36">
        <v>128</v>
      </c>
      <c r="BZ109" s="36">
        <v>125</v>
      </c>
      <c r="CA109" s="36">
        <v>134</v>
      </c>
      <c r="CB109" s="36">
        <v>146</v>
      </c>
      <c r="CC109" s="36">
        <f>SUM(BY109:CB109)</f>
        <v>533</v>
      </c>
      <c r="CD109" s="36">
        <v>116</v>
      </c>
      <c r="CE109" s="36">
        <v>106</v>
      </c>
      <c r="CF109" s="36">
        <v>88</v>
      </c>
      <c r="CG109" s="36">
        <v>92</v>
      </c>
      <c r="CH109" s="36">
        <f>SUM(CD109:CG109)</f>
        <v>402</v>
      </c>
      <c r="CI109" s="36">
        <v>88</v>
      </c>
      <c r="CJ109" s="36">
        <v>83</v>
      </c>
      <c r="CK109" s="36">
        <v>77</v>
      </c>
      <c r="CL109" s="36">
        <v>67</v>
      </c>
      <c r="CM109" s="36">
        <f>SUM(CI109:CL109)</f>
        <v>315</v>
      </c>
      <c r="CN109" s="36">
        <v>60</v>
      </c>
      <c r="CO109" s="36">
        <v>64</v>
      </c>
      <c r="CP109" s="36">
        <v>62</v>
      </c>
      <c r="CQ109" s="36">
        <v>56</v>
      </c>
      <c r="CR109" s="36">
        <f>SUM(CN109:CQ109)</f>
        <v>242</v>
      </c>
      <c r="CS109" s="36">
        <v>52</v>
      </c>
      <c r="CT109" s="36">
        <v>45</v>
      </c>
      <c r="CU109" s="36">
        <v>49</v>
      </c>
      <c r="CV109" s="36">
        <v>60</v>
      </c>
      <c r="CW109" s="72">
        <f>SUM(CS109:CV109)</f>
        <v>206</v>
      </c>
      <c r="CX109" s="36">
        <v>55</v>
      </c>
      <c r="CY109" s="36">
        <v>53</v>
      </c>
      <c r="CZ109" s="36">
        <v>56</v>
      </c>
      <c r="DA109" s="36">
        <v>45</v>
      </c>
      <c r="DB109" s="72">
        <f>SUM(CX109:DA109)</f>
        <v>209</v>
      </c>
      <c r="DC109" s="72">
        <v>52</v>
      </c>
      <c r="DD109" s="72">
        <v>39</v>
      </c>
      <c r="DE109" s="72">
        <v>42</v>
      </c>
      <c r="DF109" s="72">
        <v>35</v>
      </c>
      <c r="DG109" s="36">
        <f>SUM(DC109:DF109)</f>
        <v>168</v>
      </c>
      <c r="DH109" s="36">
        <f t="shared" si="111"/>
        <v>46.800000000000004</v>
      </c>
      <c r="DI109" s="36">
        <f t="shared" si="111"/>
        <v>35.1</v>
      </c>
      <c r="DJ109" s="36">
        <f t="shared" si="111"/>
        <v>37.800000000000004</v>
      </c>
      <c r="DK109" s="36">
        <f t="shared" si="111"/>
        <v>31.5</v>
      </c>
      <c r="DL109" s="183">
        <f>SUM(DH109:DK109)</f>
        <v>151.20000000000002</v>
      </c>
      <c r="DM109" s="183">
        <f t="shared" si="112"/>
        <v>136.08000000000001</v>
      </c>
      <c r="DN109" s="183">
        <f t="shared" si="112"/>
        <v>122.47200000000001</v>
      </c>
      <c r="DO109" s="183">
        <f t="shared" si="112"/>
        <v>110.22480000000002</v>
      </c>
      <c r="DP109" s="183">
        <f t="shared" si="112"/>
        <v>99.202320000000014</v>
      </c>
    </row>
    <row r="110" spans="1:120" ht="17" x14ac:dyDescent="0.2">
      <c r="A110" s="118" t="s">
        <v>110</v>
      </c>
      <c r="B110" s="88"/>
      <c r="C110" s="88"/>
      <c r="D110" s="88"/>
      <c r="E110" s="88"/>
      <c r="F110" s="39">
        <f t="shared" ref="F110:U110" si="113">F109+F108</f>
        <v>0</v>
      </c>
      <c r="G110" s="39">
        <f t="shared" si="113"/>
        <v>13</v>
      </c>
      <c r="H110" s="39">
        <f t="shared" si="113"/>
        <v>22</v>
      </c>
      <c r="I110" s="39">
        <f t="shared" si="113"/>
        <v>33</v>
      </c>
      <c r="J110" s="39">
        <f t="shared" si="113"/>
        <v>36</v>
      </c>
      <c r="K110" s="39">
        <f t="shared" si="113"/>
        <v>104</v>
      </c>
      <c r="L110" s="39">
        <f t="shared" si="113"/>
        <v>47</v>
      </c>
      <c r="M110" s="39">
        <f t="shared" si="113"/>
        <v>62</v>
      </c>
      <c r="N110" s="39">
        <f t="shared" si="113"/>
        <v>77</v>
      </c>
      <c r="O110" s="39">
        <f t="shared" si="113"/>
        <v>90</v>
      </c>
      <c r="P110" s="39">
        <f t="shared" si="113"/>
        <v>276</v>
      </c>
      <c r="Q110" s="39">
        <f t="shared" si="113"/>
        <v>88</v>
      </c>
      <c r="R110" s="39">
        <f t="shared" si="113"/>
        <v>101</v>
      </c>
      <c r="S110" s="39">
        <f t="shared" si="113"/>
        <v>108</v>
      </c>
      <c r="T110" s="39">
        <f t="shared" si="113"/>
        <v>132</v>
      </c>
      <c r="U110" s="39">
        <f t="shared" si="113"/>
        <v>429</v>
      </c>
      <c r="V110" s="39">
        <f>V109+V108+1</f>
        <v>131</v>
      </c>
      <c r="W110" s="39">
        <f>W109+W108+1</f>
        <v>141</v>
      </c>
      <c r="X110" s="39">
        <f>X109+X108+1</f>
        <v>143</v>
      </c>
      <c r="Y110" s="39">
        <f>Y109+Y108+1</f>
        <v>158</v>
      </c>
      <c r="Z110" s="39">
        <f>Z109+Z108</f>
        <v>569</v>
      </c>
      <c r="AA110" s="39">
        <f>AA109+AA108+1</f>
        <v>148</v>
      </c>
      <c r="AB110" s="39">
        <f>AB109+AB108+1</f>
        <v>125</v>
      </c>
      <c r="AC110" s="39">
        <f t="shared" ref="AC110:BD110" si="114">AC109+AC108</f>
        <v>127</v>
      </c>
      <c r="AD110" s="39">
        <f t="shared" si="114"/>
        <v>133</v>
      </c>
      <c r="AE110" s="39">
        <f t="shared" si="114"/>
        <v>531</v>
      </c>
      <c r="AF110" s="39">
        <f t="shared" si="114"/>
        <v>134</v>
      </c>
      <c r="AG110" s="39">
        <f t="shared" si="114"/>
        <v>134</v>
      </c>
      <c r="AH110" s="39">
        <f t="shared" si="114"/>
        <v>135</v>
      </c>
      <c r="AI110" s="39">
        <f t="shared" si="114"/>
        <v>134</v>
      </c>
      <c r="AJ110" s="39">
        <f t="shared" si="114"/>
        <v>537</v>
      </c>
      <c r="AK110" s="39">
        <f t="shared" si="114"/>
        <v>149</v>
      </c>
      <c r="AL110" s="39">
        <f t="shared" si="114"/>
        <v>161</v>
      </c>
      <c r="AM110" s="39">
        <f t="shared" si="114"/>
        <v>148</v>
      </c>
      <c r="AN110" s="39">
        <f t="shared" si="114"/>
        <v>139</v>
      </c>
      <c r="AO110" s="39">
        <f t="shared" si="114"/>
        <v>597</v>
      </c>
      <c r="AP110" s="39">
        <f t="shared" si="114"/>
        <v>139</v>
      </c>
      <c r="AQ110" s="39">
        <f t="shared" si="114"/>
        <v>148</v>
      </c>
      <c r="AR110" s="39">
        <f t="shared" si="114"/>
        <v>155</v>
      </c>
      <c r="AS110" s="39">
        <f t="shared" si="114"/>
        <v>175</v>
      </c>
      <c r="AT110" s="39">
        <f t="shared" si="114"/>
        <v>617</v>
      </c>
      <c r="AU110" s="39">
        <f t="shared" si="114"/>
        <v>153</v>
      </c>
      <c r="AV110" s="39">
        <f t="shared" si="114"/>
        <v>149</v>
      </c>
      <c r="AW110" s="39">
        <f t="shared" si="114"/>
        <v>135</v>
      </c>
      <c r="AX110" s="39">
        <f t="shared" si="114"/>
        <v>174</v>
      </c>
      <c r="AY110" s="39">
        <f t="shared" si="114"/>
        <v>611</v>
      </c>
      <c r="AZ110" s="39">
        <f t="shared" si="114"/>
        <v>158</v>
      </c>
      <c r="BA110" s="39">
        <f t="shared" si="114"/>
        <v>167</v>
      </c>
      <c r="BB110" s="39">
        <f t="shared" si="114"/>
        <v>150</v>
      </c>
      <c r="BC110" s="39">
        <f t="shared" si="114"/>
        <v>164</v>
      </c>
      <c r="BD110" s="39">
        <f t="shared" si="114"/>
        <v>639</v>
      </c>
      <c r="BE110" s="39">
        <f>BE108+BE109</f>
        <v>145</v>
      </c>
      <c r="BF110" s="39">
        <f>BF108+BF109</f>
        <v>166</v>
      </c>
      <c r="BG110" s="39">
        <f>BG108+BG109</f>
        <v>163</v>
      </c>
      <c r="BH110" s="39">
        <f>BH108+BH109</f>
        <v>145</v>
      </c>
      <c r="BI110" s="39">
        <f t="shared" ref="BI110:CQ110" si="115">BI109+BI108</f>
        <v>619</v>
      </c>
      <c r="BJ110" s="39">
        <f t="shared" si="115"/>
        <v>163</v>
      </c>
      <c r="BK110" s="39">
        <f t="shared" si="115"/>
        <v>163</v>
      </c>
      <c r="BL110" s="39">
        <f t="shared" si="115"/>
        <v>151</v>
      </c>
      <c r="BM110" s="39">
        <f t="shared" si="115"/>
        <v>184</v>
      </c>
      <c r="BN110" s="39">
        <f t="shared" si="115"/>
        <v>661</v>
      </c>
      <c r="BO110" s="39">
        <f t="shared" si="115"/>
        <v>166</v>
      </c>
      <c r="BP110" s="39">
        <f t="shared" si="115"/>
        <v>156</v>
      </c>
      <c r="BQ110" s="39">
        <f t="shared" si="115"/>
        <v>183</v>
      </c>
      <c r="BR110" s="39">
        <f t="shared" si="115"/>
        <v>176</v>
      </c>
      <c r="BS110" s="39">
        <f t="shared" si="115"/>
        <v>681</v>
      </c>
      <c r="BT110" s="39">
        <f t="shared" si="115"/>
        <v>163</v>
      </c>
      <c r="BU110" s="39">
        <f t="shared" si="115"/>
        <v>134</v>
      </c>
      <c r="BV110" s="39">
        <f t="shared" si="115"/>
        <v>139</v>
      </c>
      <c r="BW110" s="39">
        <f t="shared" si="115"/>
        <v>137</v>
      </c>
      <c r="BX110" s="39">
        <f t="shared" si="115"/>
        <v>573</v>
      </c>
      <c r="BY110" s="39">
        <f t="shared" si="115"/>
        <v>132</v>
      </c>
      <c r="BZ110" s="39">
        <f t="shared" si="115"/>
        <v>131</v>
      </c>
      <c r="CA110" s="39">
        <f t="shared" si="115"/>
        <v>142</v>
      </c>
      <c r="CB110" s="39">
        <f t="shared" si="115"/>
        <v>152</v>
      </c>
      <c r="CC110" s="39">
        <f t="shared" si="115"/>
        <v>557</v>
      </c>
      <c r="CD110" s="39">
        <f t="shared" si="115"/>
        <v>121</v>
      </c>
      <c r="CE110" s="39">
        <f t="shared" si="115"/>
        <v>112</v>
      </c>
      <c r="CF110" s="39">
        <f t="shared" si="115"/>
        <v>94</v>
      </c>
      <c r="CG110" s="39">
        <f t="shared" si="115"/>
        <v>95</v>
      </c>
      <c r="CH110" s="39">
        <f t="shared" si="115"/>
        <v>422</v>
      </c>
      <c r="CI110" s="39">
        <f t="shared" si="115"/>
        <v>91</v>
      </c>
      <c r="CJ110" s="39">
        <f t="shared" si="115"/>
        <v>87</v>
      </c>
      <c r="CK110" s="39">
        <f t="shared" si="115"/>
        <v>79</v>
      </c>
      <c r="CL110" s="39">
        <f t="shared" si="115"/>
        <v>69</v>
      </c>
      <c r="CM110" s="39">
        <f t="shared" si="115"/>
        <v>326</v>
      </c>
      <c r="CN110" s="39">
        <f t="shared" si="115"/>
        <v>61</v>
      </c>
      <c r="CO110" s="39">
        <f t="shared" si="115"/>
        <v>67</v>
      </c>
      <c r="CP110" s="39">
        <f t="shared" si="115"/>
        <v>62</v>
      </c>
      <c r="CQ110" s="39">
        <f t="shared" si="115"/>
        <v>58</v>
      </c>
      <c r="CR110" s="39">
        <f>CR109+CR108</f>
        <v>248</v>
      </c>
      <c r="CS110" s="39">
        <f>CS109+CS108</f>
        <v>55</v>
      </c>
      <c r="CT110" s="39">
        <f>CT109+CT108</f>
        <v>43</v>
      </c>
      <c r="CU110" s="39">
        <f>CU109+CU108</f>
        <v>50</v>
      </c>
      <c r="CV110" s="39">
        <f>CV109+CV108</f>
        <v>65</v>
      </c>
      <c r="CW110" s="74">
        <f>SUM(CS110:CV110)</f>
        <v>213</v>
      </c>
      <c r="CX110" s="39">
        <f>SUM(CX108:CX109)</f>
        <v>58</v>
      </c>
      <c r="CY110" s="39">
        <f>SUM(CY108:CY109)</f>
        <v>54</v>
      </c>
      <c r="CZ110" s="39">
        <f>SUM(CZ108:CZ109)</f>
        <v>57</v>
      </c>
      <c r="DA110" s="39">
        <f>SUM(DA108:DA109)</f>
        <v>45</v>
      </c>
      <c r="DB110" s="74">
        <f>SUM(CX110:DA110)</f>
        <v>214</v>
      </c>
      <c r="DC110" s="74">
        <f>DC109+DC108</f>
        <v>53</v>
      </c>
      <c r="DD110" s="74">
        <f>DD109+DD108</f>
        <v>41</v>
      </c>
      <c r="DE110" s="74">
        <f>DE109+DE108</f>
        <v>43</v>
      </c>
      <c r="DF110" s="74">
        <f>DF109+DF108</f>
        <v>36</v>
      </c>
      <c r="DG110" s="39">
        <f>SUM(DC110:DF110)</f>
        <v>173</v>
      </c>
      <c r="DH110" s="39">
        <f>DH109+DH108</f>
        <v>47.6</v>
      </c>
      <c r="DI110" s="39">
        <f>DI109+DI108</f>
        <v>36.700000000000003</v>
      </c>
      <c r="DJ110" s="39">
        <f>DJ109+DJ108</f>
        <v>38.6</v>
      </c>
      <c r="DK110" s="39">
        <f>DK109+DK108</f>
        <v>32.299999999999997</v>
      </c>
      <c r="DL110" s="187">
        <f>SUM(DH110:DK110)</f>
        <v>155.19999999999999</v>
      </c>
      <c r="DM110" s="187">
        <f t="shared" ref="DM110:DP110" si="116">DM109+DM108</f>
        <v>139.28</v>
      </c>
      <c r="DN110" s="187">
        <f t="shared" si="116"/>
        <v>125.03200000000001</v>
      </c>
      <c r="DO110" s="187">
        <f t="shared" si="116"/>
        <v>112.27280000000002</v>
      </c>
      <c r="DP110" s="187">
        <f t="shared" si="116"/>
        <v>100.84072000000002</v>
      </c>
    </row>
    <row r="111" spans="1:120" x14ac:dyDescent="0.2">
      <c r="A111" s="68" t="s">
        <v>54</v>
      </c>
      <c r="G111" s="76"/>
      <c r="H111" s="76"/>
      <c r="I111" s="76"/>
      <c r="J111" s="76"/>
      <c r="K111" s="76"/>
      <c r="L111" s="76">
        <f t="shared" ref="L111:BW113" si="117">L108/G108-1</f>
        <v>2.375</v>
      </c>
      <c r="M111" s="76">
        <f t="shared" si="117"/>
        <v>1.5714285714285716</v>
      </c>
      <c r="N111" s="76">
        <f t="shared" si="117"/>
        <v>1.4</v>
      </c>
      <c r="O111" s="76">
        <f t="shared" si="117"/>
        <v>1.75</v>
      </c>
      <c r="P111" s="76">
        <f t="shared" si="117"/>
        <v>1.6774193548387095</v>
      </c>
      <c r="Q111" s="76">
        <f t="shared" si="117"/>
        <v>0.81481481481481488</v>
      </c>
      <c r="R111" s="76">
        <f t="shared" si="117"/>
        <v>0.61111111111111116</v>
      </c>
      <c r="S111" s="76">
        <f t="shared" si="117"/>
        <v>0.35416666666666674</v>
      </c>
      <c r="T111" s="76">
        <f t="shared" si="117"/>
        <v>0.41818181818181821</v>
      </c>
      <c r="U111" s="76">
        <f t="shared" si="117"/>
        <v>0.50602409638554224</v>
      </c>
      <c r="V111" s="90">
        <f t="shared" si="117"/>
        <v>0.36734693877551017</v>
      </c>
      <c r="W111" s="90">
        <f t="shared" si="117"/>
        <v>0.2931034482758621</v>
      </c>
      <c r="X111" s="90">
        <f t="shared" si="117"/>
        <v>0.23076923076923084</v>
      </c>
      <c r="Y111" s="90">
        <f t="shared" si="117"/>
        <v>0.15384615384615374</v>
      </c>
      <c r="Z111" s="76">
        <f t="shared" si="117"/>
        <v>0.248</v>
      </c>
      <c r="AA111" s="90">
        <f t="shared" si="117"/>
        <v>0.16417910447761197</v>
      </c>
      <c r="AB111" s="90">
        <f t="shared" si="117"/>
        <v>-0.37333333333333329</v>
      </c>
      <c r="AC111" s="90">
        <f t="shared" si="117"/>
        <v>-0.42500000000000004</v>
      </c>
      <c r="AD111" s="90">
        <f t="shared" si="117"/>
        <v>-0.4555555555555556</v>
      </c>
      <c r="AE111" s="76">
        <f t="shared" si="117"/>
        <v>-0.29487179487179482</v>
      </c>
      <c r="AF111" s="90">
        <f t="shared" si="117"/>
        <v>-0.51282051282051277</v>
      </c>
      <c r="AG111" s="90">
        <f t="shared" si="117"/>
        <v>-0.25531914893617025</v>
      </c>
      <c r="AH111" s="90">
        <f t="shared" si="117"/>
        <v>-0.26086956521739135</v>
      </c>
      <c r="AI111" s="90">
        <f t="shared" si="117"/>
        <v>-0.59183673469387754</v>
      </c>
      <c r="AJ111" s="76">
        <f t="shared" si="117"/>
        <v>-0.42272727272727273</v>
      </c>
      <c r="AK111" s="90">
        <f t="shared" si="117"/>
        <v>-0.21052631578947367</v>
      </c>
      <c r="AL111" s="90">
        <f t="shared" si="117"/>
        <v>-0.25714285714285712</v>
      </c>
      <c r="AM111" s="90">
        <f t="shared" si="117"/>
        <v>-0.29411764705882348</v>
      </c>
      <c r="AN111" s="90">
        <f t="shared" si="117"/>
        <v>5.0000000000000044E-2</v>
      </c>
      <c r="AO111" s="76">
        <f t="shared" si="117"/>
        <v>-0.20472440944881887</v>
      </c>
      <c r="AP111" s="90">
        <f t="shared" si="117"/>
        <v>-0.3666666666666667</v>
      </c>
      <c r="AQ111" s="90">
        <f t="shared" si="117"/>
        <v>-0.30769230769230771</v>
      </c>
      <c r="AR111" s="90">
        <f t="shared" si="117"/>
        <v>-0.25</v>
      </c>
      <c r="AS111" s="90">
        <f t="shared" si="117"/>
        <v>-9.5238095238095233E-2</v>
      </c>
      <c r="AT111" s="76">
        <f t="shared" si="117"/>
        <v>-0.26732673267326734</v>
      </c>
      <c r="AU111" s="90">
        <f t="shared" si="117"/>
        <v>-0.21052631578947367</v>
      </c>
      <c r="AV111" s="90">
        <f t="shared" si="117"/>
        <v>-0.22222222222222221</v>
      </c>
      <c r="AW111" s="90">
        <f t="shared" si="117"/>
        <v>-0.16666666666666663</v>
      </c>
      <c r="AX111" s="90">
        <f t="shared" si="117"/>
        <v>-0.10526315789473684</v>
      </c>
      <c r="AY111" s="76">
        <f t="shared" si="117"/>
        <v>-0.17567567567567566</v>
      </c>
      <c r="AZ111" s="90">
        <f t="shared" si="117"/>
        <v>-0.19999999999999996</v>
      </c>
      <c r="BA111" s="90">
        <f t="shared" si="117"/>
        <v>-0.5714285714285714</v>
      </c>
      <c r="BB111" s="90">
        <f t="shared" si="117"/>
        <v>-6.6666666666666652E-2</v>
      </c>
      <c r="BC111" s="90">
        <f t="shared" si="117"/>
        <v>-0.29411764705882348</v>
      </c>
      <c r="BD111" s="76">
        <f t="shared" si="117"/>
        <v>-0.27868852459016391</v>
      </c>
      <c r="BE111" s="76">
        <f t="shared" si="117"/>
        <v>-0.33333333333333337</v>
      </c>
      <c r="BF111" s="76">
        <f t="shared" si="117"/>
        <v>0.16666666666666674</v>
      </c>
      <c r="BG111" s="76">
        <f t="shared" si="117"/>
        <v>-0.4285714285714286</v>
      </c>
      <c r="BH111" s="76">
        <f t="shared" si="117"/>
        <v>-0.25</v>
      </c>
      <c r="BI111" s="90">
        <f t="shared" si="117"/>
        <v>-0.27272727272727271</v>
      </c>
      <c r="BJ111" s="76">
        <f t="shared" si="117"/>
        <v>-0.125</v>
      </c>
      <c r="BK111" s="76">
        <f t="shared" si="117"/>
        <v>0.14285714285714279</v>
      </c>
      <c r="BL111" s="76">
        <f t="shared" si="117"/>
        <v>-0.125</v>
      </c>
      <c r="BM111" s="76">
        <f t="shared" si="117"/>
        <v>0</v>
      </c>
      <c r="BN111" s="90">
        <f>BN108/BI108-1</f>
        <v>-3.125E-2</v>
      </c>
      <c r="BO111" s="76">
        <f t="shared" si="117"/>
        <v>0</v>
      </c>
      <c r="BP111" s="76">
        <f t="shared" si="117"/>
        <v>-0.5</v>
      </c>
      <c r="BQ111" s="76">
        <f t="shared" si="117"/>
        <v>-0.4285714285714286</v>
      </c>
      <c r="BR111" s="76">
        <f t="shared" si="117"/>
        <v>-0.11111111111111116</v>
      </c>
      <c r="BS111" s="90">
        <f>BS108/BN108-1</f>
        <v>-0.25806451612903225</v>
      </c>
      <c r="BT111" s="76">
        <f t="shared" si="117"/>
        <v>-0.1428571428571429</v>
      </c>
      <c r="BU111" s="76">
        <f t="shared" si="117"/>
        <v>0.75</v>
      </c>
      <c r="BV111" s="76">
        <f t="shared" si="117"/>
        <v>0.5</v>
      </c>
      <c r="BW111" s="76">
        <f t="shared" si="117"/>
        <v>-0.375</v>
      </c>
      <c r="BX111" s="90">
        <f>BX108/BS108-1</f>
        <v>4.3478260869565188E-2</v>
      </c>
      <c r="BY111" s="76">
        <f t="shared" ref="BY111:CX113" si="118">BY108/BT108-1</f>
        <v>-0.33333333333333337</v>
      </c>
      <c r="BZ111" s="76">
        <f t="shared" si="118"/>
        <v>-0.1428571428571429</v>
      </c>
      <c r="CA111" s="76">
        <f t="shared" si="118"/>
        <v>0.33333333333333326</v>
      </c>
      <c r="CB111" s="76">
        <f t="shared" si="118"/>
        <v>0.19999999999999996</v>
      </c>
      <c r="CC111" s="90">
        <f>CC108/BX108-1</f>
        <v>0</v>
      </c>
      <c r="CD111" s="76">
        <f t="shared" si="118"/>
        <v>0.25</v>
      </c>
      <c r="CE111" s="76">
        <f t="shared" si="118"/>
        <v>0</v>
      </c>
      <c r="CF111" s="76">
        <f t="shared" si="118"/>
        <v>-0.25</v>
      </c>
      <c r="CG111" s="76">
        <f t="shared" si="118"/>
        <v>-0.5</v>
      </c>
      <c r="CH111" s="90">
        <f>CH108/CC108-1</f>
        <v>-0.16666666666666663</v>
      </c>
      <c r="CI111" s="76">
        <f t="shared" si="118"/>
        <v>-0.4</v>
      </c>
      <c r="CJ111" s="76">
        <f t="shared" si="118"/>
        <v>-0.33333333333333337</v>
      </c>
      <c r="CK111" s="76">
        <f t="shared" si="118"/>
        <v>-0.66666666666666674</v>
      </c>
      <c r="CL111" s="76">
        <f t="shared" si="118"/>
        <v>-0.33333333333333337</v>
      </c>
      <c r="CM111" s="90">
        <f t="shared" si="118"/>
        <v>-0.44999999999999996</v>
      </c>
      <c r="CN111" s="90">
        <f t="shared" si="118"/>
        <v>-0.66666666666666674</v>
      </c>
      <c r="CO111" s="90">
        <f t="shared" si="118"/>
        <v>-0.25</v>
      </c>
      <c r="CP111" s="90">
        <f t="shared" si="118"/>
        <v>-1</v>
      </c>
      <c r="CQ111" s="90">
        <f t="shared" si="118"/>
        <v>0</v>
      </c>
      <c r="CR111" s="90">
        <f>CR108/CM108-1</f>
        <v>-0.45454545454545459</v>
      </c>
      <c r="CS111" s="90">
        <f t="shared" si="118"/>
        <v>2</v>
      </c>
      <c r="CT111" s="90">
        <f t="shared" si="118"/>
        <v>-1.6666666666666665</v>
      </c>
      <c r="CU111" s="90" t="e">
        <f t="shared" si="118"/>
        <v>#DIV/0!</v>
      </c>
      <c r="CV111" s="90">
        <f t="shared" si="118"/>
        <v>1.5</v>
      </c>
      <c r="CW111" s="90">
        <f>CW108/CR108-1</f>
        <v>0.16666666666666674</v>
      </c>
      <c r="CX111" s="90">
        <f t="shared" si="118"/>
        <v>0</v>
      </c>
      <c r="CY111" s="90"/>
      <c r="CZ111" s="90"/>
      <c r="DA111" s="90"/>
      <c r="DB111" s="90">
        <f t="shared" ref="DB111:DF113" si="119">DB108/CW108-1</f>
        <v>-0.2857142857142857</v>
      </c>
      <c r="DC111" s="75">
        <f t="shared" si="119"/>
        <v>-0.66666666666666674</v>
      </c>
      <c r="DD111" s="75">
        <f t="shared" si="119"/>
        <v>1</v>
      </c>
      <c r="DE111" s="75">
        <f t="shared" si="119"/>
        <v>0</v>
      </c>
      <c r="DF111" s="75"/>
      <c r="DG111" s="90">
        <f>DG108/DB108-1</f>
        <v>0</v>
      </c>
      <c r="DH111" s="90">
        <v>-0.2</v>
      </c>
      <c r="DI111" s="90">
        <v>-0.2</v>
      </c>
      <c r="DJ111" s="90">
        <v>-0.2</v>
      </c>
      <c r="DK111" s="90">
        <v>-0.2</v>
      </c>
      <c r="DL111" s="188">
        <f>DL108/DG108-1</f>
        <v>-0.19999999999999996</v>
      </c>
      <c r="DM111" s="188">
        <v>-0.2</v>
      </c>
      <c r="DN111" s="188">
        <v>-0.2</v>
      </c>
      <c r="DO111" s="188">
        <v>-0.2</v>
      </c>
      <c r="DP111" s="188">
        <v>-0.2</v>
      </c>
    </row>
    <row r="112" spans="1:120" x14ac:dyDescent="0.2">
      <c r="A112" s="68" t="s">
        <v>55</v>
      </c>
      <c r="G112" s="76"/>
      <c r="H112" s="76"/>
      <c r="I112" s="76"/>
      <c r="J112" s="76"/>
      <c r="K112" s="76"/>
      <c r="L112" s="76">
        <f t="shared" si="117"/>
        <v>3</v>
      </c>
      <c r="M112" s="76">
        <f t="shared" si="117"/>
        <v>2.25</v>
      </c>
      <c r="N112" s="76">
        <f t="shared" si="117"/>
        <v>1.2307692307692308</v>
      </c>
      <c r="O112" s="76">
        <f t="shared" si="117"/>
        <v>1.1875</v>
      </c>
      <c r="P112" s="76">
        <f t="shared" si="117"/>
        <v>1.6190476190476191</v>
      </c>
      <c r="Q112" s="76">
        <f t="shared" si="117"/>
        <v>0.95</v>
      </c>
      <c r="R112" s="76">
        <f t="shared" si="117"/>
        <v>0.65384615384615374</v>
      </c>
      <c r="S112" s="76">
        <f t="shared" si="117"/>
        <v>0.48275862068965525</v>
      </c>
      <c r="T112" s="76">
        <f t="shared" si="117"/>
        <v>0.54285714285714293</v>
      </c>
      <c r="U112" s="76">
        <f t="shared" si="117"/>
        <v>0.6272727272727272</v>
      </c>
      <c r="V112" s="90">
        <f t="shared" si="117"/>
        <v>0.61538461538461542</v>
      </c>
      <c r="W112" s="90">
        <f t="shared" si="117"/>
        <v>0.51162790697674421</v>
      </c>
      <c r="X112" s="90">
        <f t="shared" si="117"/>
        <v>0.44186046511627897</v>
      </c>
      <c r="Y112" s="90">
        <f t="shared" si="117"/>
        <v>0.2407407407407407</v>
      </c>
      <c r="Z112" s="76">
        <f t="shared" si="117"/>
        <v>0.43575418994413417</v>
      </c>
      <c r="AA112" s="90">
        <f t="shared" si="117"/>
        <v>9.5238095238095344E-2</v>
      </c>
      <c r="AB112" s="90">
        <f t="shared" si="117"/>
        <v>0.18461538461538463</v>
      </c>
      <c r="AC112" s="90">
        <f t="shared" si="117"/>
        <v>0.30645161290322576</v>
      </c>
      <c r="AD112" s="90">
        <f t="shared" si="117"/>
        <v>0.25373134328358216</v>
      </c>
      <c r="AE112" s="76">
        <f t="shared" si="117"/>
        <v>0.21011673151750965</v>
      </c>
      <c r="AF112" s="90">
        <f t="shared" si="117"/>
        <v>0.39130434782608692</v>
      </c>
      <c r="AG112" s="90">
        <f t="shared" si="117"/>
        <v>0.28571428571428581</v>
      </c>
      <c r="AH112" s="90">
        <f t="shared" si="117"/>
        <v>0.24691358024691357</v>
      </c>
      <c r="AI112" s="90">
        <f t="shared" si="117"/>
        <v>0.35714285714285721</v>
      </c>
      <c r="AJ112" s="76">
        <f t="shared" si="117"/>
        <v>0.31832797427652726</v>
      </c>
      <c r="AK112" s="90">
        <f t="shared" si="117"/>
        <v>0.23958333333333326</v>
      </c>
      <c r="AL112" s="90">
        <f t="shared" si="117"/>
        <v>0.36363636363636354</v>
      </c>
      <c r="AM112" s="90">
        <f t="shared" si="117"/>
        <v>0.2277227722772277</v>
      </c>
      <c r="AN112" s="90">
        <f t="shared" si="117"/>
        <v>3.5087719298245723E-2</v>
      </c>
      <c r="AO112" s="76">
        <f t="shared" si="117"/>
        <v>0.20975609756097557</v>
      </c>
      <c r="AP112" s="90">
        <f t="shared" si="117"/>
        <v>8.4033613445377853E-3</v>
      </c>
      <c r="AQ112" s="90">
        <f t="shared" si="117"/>
        <v>-3.703703703703709E-2</v>
      </c>
      <c r="AR112" s="90">
        <f t="shared" si="117"/>
        <v>0.10483870967741926</v>
      </c>
      <c r="AS112" s="90">
        <f t="shared" si="117"/>
        <v>0.32203389830508478</v>
      </c>
      <c r="AT112" s="76">
        <f t="shared" si="117"/>
        <v>9.4758064516129004E-2</v>
      </c>
      <c r="AU112" s="90">
        <f t="shared" si="117"/>
        <v>0.14999999999999991</v>
      </c>
      <c r="AV112" s="90">
        <f t="shared" si="117"/>
        <v>3.8461538461538547E-2</v>
      </c>
      <c r="AW112" s="90">
        <f t="shared" si="117"/>
        <v>-0.12408759124087587</v>
      </c>
      <c r="AX112" s="90">
        <f t="shared" si="117"/>
        <v>6.4102564102563875E-3</v>
      </c>
      <c r="AY112" s="76">
        <f t="shared" si="117"/>
        <v>1.2891344383057168E-2</v>
      </c>
      <c r="AZ112" s="90">
        <f t="shared" si="117"/>
        <v>5.7971014492753659E-2</v>
      </c>
      <c r="BA112" s="90">
        <f t="shared" si="117"/>
        <v>0.19259259259259265</v>
      </c>
      <c r="BB112" s="90">
        <f t="shared" si="117"/>
        <v>0.1333333333333333</v>
      </c>
      <c r="BC112" s="90">
        <f t="shared" si="117"/>
        <v>-3.1847133757961776E-2</v>
      </c>
      <c r="BD112" s="76">
        <f t="shared" si="117"/>
        <v>8.181818181818179E-2</v>
      </c>
      <c r="BE112" s="76">
        <f t="shared" si="117"/>
        <v>-6.164383561643838E-2</v>
      </c>
      <c r="BF112" s="76">
        <f t="shared" si="117"/>
        <v>-1.2422360248447228E-2</v>
      </c>
      <c r="BG112" s="76">
        <f t="shared" si="117"/>
        <v>0.13970588235294112</v>
      </c>
      <c r="BH112" s="76">
        <f t="shared" si="117"/>
        <v>-0.10526315789473684</v>
      </c>
      <c r="BI112" s="90">
        <f t="shared" si="117"/>
        <v>-1.3445378151260456E-2</v>
      </c>
      <c r="BJ112" s="76">
        <f t="shared" si="117"/>
        <v>0.13868613138686126</v>
      </c>
      <c r="BK112" s="76">
        <f t="shared" si="117"/>
        <v>-2.515723270440251E-2</v>
      </c>
      <c r="BL112" s="76">
        <f t="shared" si="117"/>
        <v>-7.096774193548383E-2</v>
      </c>
      <c r="BM112" s="76">
        <f t="shared" si="117"/>
        <v>0.28676470588235303</v>
      </c>
      <c r="BN112" s="90">
        <f>BN109/BI109-1</f>
        <v>7.3253833049403694E-2</v>
      </c>
      <c r="BO112" s="76">
        <f t="shared" si="117"/>
        <v>1.9230769230769162E-2</v>
      </c>
      <c r="BP112" s="76">
        <f t="shared" si="117"/>
        <v>-1.9354838709677469E-2</v>
      </c>
      <c r="BQ112" s="76">
        <f t="shared" si="117"/>
        <v>0.24305555555555558</v>
      </c>
      <c r="BR112" s="76">
        <f t="shared" si="117"/>
        <v>-4.0000000000000036E-2</v>
      </c>
      <c r="BS112" s="90">
        <f>BS109/BN109-1</f>
        <v>4.4444444444444509E-2</v>
      </c>
      <c r="BT112" s="76">
        <f t="shared" si="117"/>
        <v>-1.2578616352201255E-2</v>
      </c>
      <c r="BU112" s="76">
        <f t="shared" si="117"/>
        <v>-0.16447368421052633</v>
      </c>
      <c r="BV112" s="76">
        <f t="shared" si="117"/>
        <v>-0.25698324022346364</v>
      </c>
      <c r="BW112" s="76">
        <f t="shared" si="117"/>
        <v>-0.2142857142857143</v>
      </c>
      <c r="BX112" s="90">
        <f>BX109/BS109-1</f>
        <v>-0.16565349544072949</v>
      </c>
      <c r="BY112" s="76">
        <f t="shared" si="118"/>
        <v>-0.1847133757961783</v>
      </c>
      <c r="BZ112" s="76">
        <f t="shared" si="118"/>
        <v>-1.5748031496062964E-2</v>
      </c>
      <c r="CA112" s="76">
        <f t="shared" si="118"/>
        <v>7.5187969924812581E-3</v>
      </c>
      <c r="CB112" s="76">
        <f t="shared" si="118"/>
        <v>0.10606060606060597</v>
      </c>
      <c r="CC112" s="90">
        <f>CC109/BX109-1</f>
        <v>-2.9143897996356971E-2</v>
      </c>
      <c r="CD112" s="76">
        <f t="shared" si="118"/>
        <v>-9.375E-2</v>
      </c>
      <c r="CE112" s="76">
        <f t="shared" si="118"/>
        <v>-0.15200000000000002</v>
      </c>
      <c r="CF112" s="76">
        <f t="shared" si="118"/>
        <v>-0.34328358208955223</v>
      </c>
      <c r="CG112" s="76">
        <f t="shared" si="118"/>
        <v>-0.36986301369863017</v>
      </c>
      <c r="CH112" s="90">
        <f>CH109/CC109-1</f>
        <v>-0.24577861163227022</v>
      </c>
      <c r="CI112" s="76">
        <f t="shared" si="118"/>
        <v>-0.24137931034482762</v>
      </c>
      <c r="CJ112" s="76">
        <f t="shared" si="118"/>
        <v>-0.21698113207547165</v>
      </c>
      <c r="CK112" s="76">
        <f t="shared" si="118"/>
        <v>-0.125</v>
      </c>
      <c r="CL112" s="76">
        <f t="shared" si="118"/>
        <v>-0.27173913043478259</v>
      </c>
      <c r="CM112" s="90">
        <f t="shared" si="118"/>
        <v>-0.21641791044776115</v>
      </c>
      <c r="CN112" s="90">
        <f t="shared" si="118"/>
        <v>-0.31818181818181823</v>
      </c>
      <c r="CO112" s="90">
        <f t="shared" si="118"/>
        <v>-0.22891566265060237</v>
      </c>
      <c r="CP112" s="90">
        <f t="shared" si="118"/>
        <v>-0.19480519480519476</v>
      </c>
      <c r="CQ112" s="90">
        <f t="shared" si="118"/>
        <v>-0.16417910447761197</v>
      </c>
      <c r="CR112" s="90">
        <f>CR109/CM109-1</f>
        <v>-0.2317460317460317</v>
      </c>
      <c r="CS112" s="90">
        <f t="shared" si="118"/>
        <v>-0.1333333333333333</v>
      </c>
      <c r="CT112" s="90">
        <f t="shared" si="118"/>
        <v>-0.296875</v>
      </c>
      <c r="CU112" s="90">
        <f t="shared" si="118"/>
        <v>-0.20967741935483875</v>
      </c>
      <c r="CV112" s="90">
        <f t="shared" si="118"/>
        <v>7.1428571428571397E-2</v>
      </c>
      <c r="CW112" s="90">
        <f>CW109/CR109-1</f>
        <v>-0.14876033057851235</v>
      </c>
      <c r="CX112" s="90">
        <f t="shared" si="118"/>
        <v>5.7692307692307709E-2</v>
      </c>
      <c r="CY112" s="75">
        <f t="shared" ref="CO112:DA113" si="120">CY109/CT109-1</f>
        <v>0.17777777777777781</v>
      </c>
      <c r="CZ112" s="75">
        <f t="shared" si="120"/>
        <v>0.14285714285714279</v>
      </c>
      <c r="DA112" s="75">
        <f t="shared" si="120"/>
        <v>-0.25</v>
      </c>
      <c r="DB112" s="90">
        <f t="shared" si="119"/>
        <v>1.4563106796116498E-2</v>
      </c>
      <c r="DC112" s="75">
        <f t="shared" si="119"/>
        <v>-5.4545454545454564E-2</v>
      </c>
      <c r="DD112" s="75">
        <f t="shared" si="119"/>
        <v>-0.26415094339622647</v>
      </c>
      <c r="DE112" s="75">
        <f t="shared" si="119"/>
        <v>-0.25</v>
      </c>
      <c r="DF112" s="75">
        <f t="shared" si="119"/>
        <v>-0.22222222222222221</v>
      </c>
      <c r="DG112" s="90">
        <f>DG109/DB109-1</f>
        <v>-0.19617224880382778</v>
      </c>
      <c r="DH112" s="90">
        <v>-0.1</v>
      </c>
      <c r="DI112" s="90">
        <v>-0.1</v>
      </c>
      <c r="DJ112" s="90">
        <v>-0.1</v>
      </c>
      <c r="DK112" s="90">
        <v>-0.1</v>
      </c>
      <c r="DL112" s="188">
        <f>DL109/DG109-1</f>
        <v>-9.9999999999999867E-2</v>
      </c>
      <c r="DM112" s="188">
        <v>-0.1</v>
      </c>
      <c r="DN112" s="188">
        <v>-0.1</v>
      </c>
      <c r="DO112" s="188">
        <v>-0.1</v>
      </c>
      <c r="DP112" s="188">
        <v>-0.1</v>
      </c>
    </row>
    <row r="113" spans="1:120" x14ac:dyDescent="0.2">
      <c r="A113" s="78" t="s">
        <v>56</v>
      </c>
      <c r="B113" s="79"/>
      <c r="C113" s="79"/>
      <c r="D113" s="79"/>
      <c r="E113" s="79"/>
      <c r="F113" s="79"/>
      <c r="G113" s="80"/>
      <c r="H113" s="80"/>
      <c r="I113" s="80"/>
      <c r="J113" s="80"/>
      <c r="K113" s="80"/>
      <c r="L113" s="80">
        <f t="shared" si="117"/>
        <v>2.6153846153846154</v>
      </c>
      <c r="M113" s="80">
        <f t="shared" si="117"/>
        <v>1.8181818181818183</v>
      </c>
      <c r="N113" s="80">
        <f t="shared" si="117"/>
        <v>1.3333333333333335</v>
      </c>
      <c r="O113" s="80">
        <f t="shared" si="117"/>
        <v>1.5</v>
      </c>
      <c r="P113" s="80">
        <f t="shared" si="117"/>
        <v>1.6538461538461537</v>
      </c>
      <c r="Q113" s="80">
        <f t="shared" si="117"/>
        <v>0.87234042553191493</v>
      </c>
      <c r="R113" s="80">
        <f t="shared" si="117"/>
        <v>0.62903225806451624</v>
      </c>
      <c r="S113" s="80">
        <f t="shared" si="117"/>
        <v>0.40259740259740262</v>
      </c>
      <c r="T113" s="80">
        <f t="shared" si="117"/>
        <v>0.46666666666666656</v>
      </c>
      <c r="U113" s="80">
        <f t="shared" si="117"/>
        <v>0.55434782608695654</v>
      </c>
      <c r="V113" s="80">
        <f t="shared" si="117"/>
        <v>0.48863636363636354</v>
      </c>
      <c r="W113" s="80">
        <f t="shared" si="117"/>
        <v>0.39603960396039595</v>
      </c>
      <c r="X113" s="80">
        <f t="shared" si="117"/>
        <v>0.32407407407407418</v>
      </c>
      <c r="Y113" s="80">
        <f t="shared" si="117"/>
        <v>0.19696969696969702</v>
      </c>
      <c r="Z113" s="80">
        <f t="shared" si="117"/>
        <v>0.32634032634032639</v>
      </c>
      <c r="AA113" s="80">
        <f t="shared" si="117"/>
        <v>0.12977099236641232</v>
      </c>
      <c r="AB113" s="80">
        <f t="shared" si="117"/>
        <v>-0.11347517730496459</v>
      </c>
      <c r="AC113" s="80">
        <f t="shared" si="117"/>
        <v>-0.11188811188811187</v>
      </c>
      <c r="AD113" s="80">
        <f t="shared" si="117"/>
        <v>-0.15822784810126578</v>
      </c>
      <c r="AE113" s="80">
        <f t="shared" si="117"/>
        <v>-6.678383128295251E-2</v>
      </c>
      <c r="AF113" s="80">
        <f t="shared" si="117"/>
        <v>-9.4594594594594628E-2</v>
      </c>
      <c r="AG113" s="80">
        <f t="shared" si="117"/>
        <v>7.2000000000000064E-2</v>
      </c>
      <c r="AH113" s="80">
        <f t="shared" si="117"/>
        <v>6.2992125984252079E-2</v>
      </c>
      <c r="AI113" s="80">
        <f t="shared" si="117"/>
        <v>7.5187969924812581E-3</v>
      </c>
      <c r="AJ113" s="80">
        <f t="shared" si="117"/>
        <v>1.1299435028248483E-2</v>
      </c>
      <c r="AK113" s="80">
        <f t="shared" si="117"/>
        <v>0.11194029850746268</v>
      </c>
      <c r="AL113" s="80">
        <f t="shared" si="117"/>
        <v>0.20149253731343286</v>
      </c>
      <c r="AM113" s="80">
        <f t="shared" si="117"/>
        <v>9.6296296296296324E-2</v>
      </c>
      <c r="AN113" s="80">
        <f t="shared" si="117"/>
        <v>3.7313432835820892E-2</v>
      </c>
      <c r="AO113" s="80">
        <f t="shared" si="117"/>
        <v>0.1117318435754191</v>
      </c>
      <c r="AP113" s="80">
        <f t="shared" si="117"/>
        <v>-6.7114093959731558E-2</v>
      </c>
      <c r="AQ113" s="80">
        <f t="shared" si="117"/>
        <v>-8.0745341614906874E-2</v>
      </c>
      <c r="AR113" s="80">
        <f t="shared" si="117"/>
        <v>4.7297297297297369E-2</v>
      </c>
      <c r="AS113" s="80">
        <f t="shared" si="117"/>
        <v>0.25899280575539563</v>
      </c>
      <c r="AT113" s="80">
        <f t="shared" si="117"/>
        <v>3.350083752093802E-2</v>
      </c>
      <c r="AU113" s="80">
        <f t="shared" si="117"/>
        <v>0.10071942446043169</v>
      </c>
      <c r="AV113" s="80">
        <f t="shared" si="117"/>
        <v>6.7567567567567988E-3</v>
      </c>
      <c r="AW113" s="80">
        <f t="shared" si="117"/>
        <v>-0.12903225806451613</v>
      </c>
      <c r="AX113" s="80">
        <f t="shared" si="117"/>
        <v>-5.7142857142856718E-3</v>
      </c>
      <c r="AY113" s="80">
        <f t="shared" si="117"/>
        <v>-9.7244732576985404E-3</v>
      </c>
      <c r="AZ113" s="80">
        <f t="shared" si="117"/>
        <v>3.2679738562091609E-2</v>
      </c>
      <c r="BA113" s="80">
        <f t="shared" si="117"/>
        <v>0.12080536912751683</v>
      </c>
      <c r="BB113" s="80">
        <f t="shared" si="117"/>
        <v>0.11111111111111116</v>
      </c>
      <c r="BC113" s="80">
        <f t="shared" si="117"/>
        <v>-5.7471264367816133E-2</v>
      </c>
      <c r="BD113" s="80">
        <f t="shared" si="117"/>
        <v>4.5826513911620292E-2</v>
      </c>
      <c r="BE113" s="80">
        <f t="shared" si="117"/>
        <v>-8.2278481012658222E-2</v>
      </c>
      <c r="BF113" s="80">
        <f t="shared" si="117"/>
        <v>-5.9880239520958556E-3</v>
      </c>
      <c r="BG113" s="80">
        <f>BG110/BB110-1</f>
        <v>8.666666666666667E-2</v>
      </c>
      <c r="BH113" s="80">
        <f>BH110/BC110-1</f>
        <v>-0.11585365853658536</v>
      </c>
      <c r="BI113" s="80">
        <f t="shared" si="117"/>
        <v>-3.1298904538341166E-2</v>
      </c>
      <c r="BJ113" s="80">
        <f t="shared" si="117"/>
        <v>0.12413793103448278</v>
      </c>
      <c r="BK113" s="91">
        <f>BK110/BF110-1</f>
        <v>-1.8072289156626509E-2</v>
      </c>
      <c r="BL113" s="91">
        <f>BL110/BG110-1</f>
        <v>-7.361963190184051E-2</v>
      </c>
      <c r="BM113" s="91">
        <f>BM110/BH110-1</f>
        <v>0.2689655172413794</v>
      </c>
      <c r="BN113" s="80">
        <f>BN110/BI110-1</f>
        <v>6.7851373182552521E-2</v>
      </c>
      <c r="BO113" s="80">
        <f>BO110/BJ110-1</f>
        <v>1.8404907975460016E-2</v>
      </c>
      <c r="BP113" s="91">
        <f>BP110/BK110-1</f>
        <v>-4.2944785276073594E-2</v>
      </c>
      <c r="BQ113" s="91">
        <f>BQ110/BL110-1</f>
        <v>0.21192052980132448</v>
      </c>
      <c r="BR113" s="91">
        <f>BR110/BM110-1</f>
        <v>-4.3478260869565188E-2</v>
      </c>
      <c r="BS113" s="80">
        <f>BS110/BN110-1</f>
        <v>3.0257186081694476E-2</v>
      </c>
      <c r="BT113" s="80">
        <f>BT110/BO110-1</f>
        <v>-1.8072289156626509E-2</v>
      </c>
      <c r="BU113" s="80">
        <f>BU110/BP110-1</f>
        <v>-0.14102564102564108</v>
      </c>
      <c r="BV113" s="91">
        <f>BV110/BQ110-1</f>
        <v>-0.2404371584699454</v>
      </c>
      <c r="BW113" s="91">
        <f>BW110/BR110-1</f>
        <v>-0.22159090909090906</v>
      </c>
      <c r="BX113" s="80">
        <f>BX110/BS110-1</f>
        <v>-0.15859030837004406</v>
      </c>
      <c r="BY113" s="80">
        <f>BY110/BT110-1</f>
        <v>-0.19018404907975461</v>
      </c>
      <c r="BZ113" s="80">
        <f>BZ110/BU110-1</f>
        <v>-2.2388059701492491E-2</v>
      </c>
      <c r="CA113" s="80">
        <f>CA110/BV110-1</f>
        <v>2.1582733812949728E-2</v>
      </c>
      <c r="CB113" s="80">
        <f>CB110/BW110-1</f>
        <v>0.10948905109489049</v>
      </c>
      <c r="CC113" s="80">
        <f>CC110/BX110-1</f>
        <v>-2.7923211169284423E-2</v>
      </c>
      <c r="CD113" s="80">
        <f>CD110/BY110-1</f>
        <v>-8.333333333333337E-2</v>
      </c>
      <c r="CE113" s="80">
        <f>CE110/BZ110-1</f>
        <v>-0.14503816793893132</v>
      </c>
      <c r="CF113" s="80">
        <f>CF110/CA110-1</f>
        <v>-0.3380281690140845</v>
      </c>
      <c r="CG113" s="80">
        <f>CG110/CB110-1</f>
        <v>-0.375</v>
      </c>
      <c r="CH113" s="80">
        <f>CH110/CC110-1</f>
        <v>-0.24236983842010773</v>
      </c>
      <c r="CI113" s="80">
        <f>CI110/CD110-1</f>
        <v>-0.24793388429752061</v>
      </c>
      <c r="CJ113" s="80">
        <f>CJ110/CE110-1</f>
        <v>-0.2232142857142857</v>
      </c>
      <c r="CK113" s="80">
        <f>CK110/CF110-1</f>
        <v>-0.15957446808510634</v>
      </c>
      <c r="CL113" s="80">
        <f>CL110/CG110-1</f>
        <v>-0.27368421052631575</v>
      </c>
      <c r="CM113" s="80">
        <f t="shared" si="118"/>
        <v>-0.22748815165876779</v>
      </c>
      <c r="CN113" s="80">
        <f t="shared" si="118"/>
        <v>-0.32967032967032972</v>
      </c>
      <c r="CO113" s="80">
        <f t="shared" si="120"/>
        <v>-0.22988505747126442</v>
      </c>
      <c r="CP113" s="80">
        <f t="shared" si="120"/>
        <v>-0.21518987341772156</v>
      </c>
      <c r="CQ113" s="80">
        <f t="shared" si="120"/>
        <v>-0.15942028985507251</v>
      </c>
      <c r="CR113" s="80">
        <f>CR110/CM110-1</f>
        <v>-0.23926380368098155</v>
      </c>
      <c r="CS113" s="80">
        <f t="shared" si="120"/>
        <v>-9.8360655737704916E-2</v>
      </c>
      <c r="CT113" s="80">
        <f t="shared" si="120"/>
        <v>-0.35820895522388063</v>
      </c>
      <c r="CU113" s="80">
        <f t="shared" si="120"/>
        <v>-0.19354838709677424</v>
      </c>
      <c r="CV113" s="80">
        <f t="shared" si="120"/>
        <v>0.1206896551724137</v>
      </c>
      <c r="CW113" s="80">
        <f>CW110/CR110-1</f>
        <v>-0.1411290322580645</v>
      </c>
      <c r="CX113" s="80">
        <f>CX110/CS110-1</f>
        <v>5.4545454545454453E-2</v>
      </c>
      <c r="CY113" s="80">
        <f>CY110/CT110-1</f>
        <v>0.2558139534883721</v>
      </c>
      <c r="CZ113" s="80">
        <f>CZ110/CU110-1</f>
        <v>0.1399999999999999</v>
      </c>
      <c r="DA113" s="80">
        <f>DA110/CV110-1</f>
        <v>-0.30769230769230771</v>
      </c>
      <c r="DB113" s="80">
        <f t="shared" si="119"/>
        <v>4.6948356807512415E-3</v>
      </c>
      <c r="DC113" s="80">
        <f t="shared" si="119"/>
        <v>-8.6206896551724088E-2</v>
      </c>
      <c r="DD113" s="80">
        <f>DD110/CY110-1</f>
        <v>-0.2407407407407407</v>
      </c>
      <c r="DE113" s="80">
        <f>DE110/CZ110-1</f>
        <v>-0.24561403508771928</v>
      </c>
      <c r="DF113" s="80">
        <f>DF110/DA110-1</f>
        <v>-0.19999999999999996</v>
      </c>
      <c r="DG113" s="80">
        <f>DG110/DB110-1</f>
        <v>-0.19158878504672894</v>
      </c>
      <c r="DH113" s="80">
        <f>DH110/DC110-1</f>
        <v>-0.10188679245283017</v>
      </c>
      <c r="DI113" s="80">
        <f>DI110/DD110-1</f>
        <v>-0.10487804878048779</v>
      </c>
      <c r="DJ113" s="80">
        <f>DJ110/DE110-1</f>
        <v>-0.10232558139534875</v>
      </c>
      <c r="DK113" s="80">
        <f>DK110/DF110-1</f>
        <v>-0.10277777777777786</v>
      </c>
      <c r="DL113" s="189">
        <f>DL110/DG110-1</f>
        <v>-0.10289017341040474</v>
      </c>
      <c r="DM113" s="189">
        <f t="shared" ref="DM113:DP113" si="121">DM110/DL110-1</f>
        <v>-0.10257731958762883</v>
      </c>
      <c r="DN113" s="189">
        <f t="shared" si="121"/>
        <v>-0.10229753015508325</v>
      </c>
      <c r="DO113" s="189">
        <f t="shared" si="121"/>
        <v>-0.10204747584618334</v>
      </c>
      <c r="DP113" s="189">
        <f t="shared" si="121"/>
        <v>-0.10182412837303423</v>
      </c>
    </row>
    <row r="114" spans="1:120" ht="17" x14ac:dyDescent="0.2">
      <c r="A114" s="117" t="s">
        <v>111</v>
      </c>
      <c r="B114" s="86"/>
      <c r="C114" s="86"/>
      <c r="D114" s="86"/>
      <c r="E114" s="86"/>
      <c r="F114" s="86">
        <v>0</v>
      </c>
      <c r="G114" s="36">
        <v>3</v>
      </c>
      <c r="H114" s="36">
        <v>1</v>
      </c>
      <c r="I114" s="86">
        <v>3</v>
      </c>
      <c r="J114" s="86">
        <v>6</v>
      </c>
      <c r="K114" s="36">
        <f>J114+I114+H114+G114</f>
        <v>13</v>
      </c>
      <c r="L114" s="86">
        <v>4.5999999999999996</v>
      </c>
      <c r="M114" s="86">
        <v>6.6</v>
      </c>
      <c r="N114" s="86">
        <v>8.6</v>
      </c>
      <c r="O114" s="36">
        <v>8.6</v>
      </c>
      <c r="P114" s="36">
        <f>O114+N114+M114+L114</f>
        <v>28.4</v>
      </c>
      <c r="Q114" s="36">
        <v>8</v>
      </c>
      <c r="R114" s="36">
        <v>11</v>
      </c>
      <c r="S114" s="36">
        <v>11</v>
      </c>
      <c r="T114" s="36">
        <v>13</v>
      </c>
      <c r="U114" s="36">
        <f>T114+S114+R114+Q114</f>
        <v>43</v>
      </c>
      <c r="V114" s="36">
        <v>13</v>
      </c>
      <c r="W114" s="36">
        <v>14</v>
      </c>
      <c r="X114" s="36">
        <v>15</v>
      </c>
      <c r="Y114" s="36">
        <v>16</v>
      </c>
      <c r="Z114" s="36">
        <f>Y114+X114+W114+V114</f>
        <v>58</v>
      </c>
      <c r="AA114" s="36">
        <v>16</v>
      </c>
      <c r="AB114" s="36">
        <v>21</v>
      </c>
      <c r="AC114" s="36">
        <v>22</v>
      </c>
      <c r="AD114" s="36">
        <v>24</v>
      </c>
      <c r="AE114" s="36">
        <f>AD114+AC114+AB114+AA114</f>
        <v>83</v>
      </c>
      <c r="AF114" s="36">
        <v>23</v>
      </c>
      <c r="AG114" s="36">
        <v>26</v>
      </c>
      <c r="AH114" s="36">
        <v>27</v>
      </c>
      <c r="AI114" s="36">
        <v>28</v>
      </c>
      <c r="AJ114" s="36">
        <f>AI114+AH114+AG114+AF114</f>
        <v>104</v>
      </c>
      <c r="AK114" s="36">
        <v>28</v>
      </c>
      <c r="AL114" s="36">
        <v>34</v>
      </c>
      <c r="AM114" s="36">
        <v>37</v>
      </c>
      <c r="AN114" s="36">
        <v>38</v>
      </c>
      <c r="AO114" s="36">
        <f>AN114+AM114+AL114+AK114</f>
        <v>137</v>
      </c>
      <c r="AP114" s="36">
        <v>33</v>
      </c>
      <c r="AQ114" s="36">
        <v>37</v>
      </c>
      <c r="AR114" s="36">
        <v>39</v>
      </c>
      <c r="AS114" s="36">
        <v>43</v>
      </c>
      <c r="AT114" s="36">
        <f>AS114+AR114+AQ114+AP114</f>
        <v>152</v>
      </c>
      <c r="AU114" s="36">
        <v>38</v>
      </c>
      <c r="AV114" s="36">
        <v>43</v>
      </c>
      <c r="AW114" s="36">
        <v>48</v>
      </c>
      <c r="AX114" s="36">
        <v>50</v>
      </c>
      <c r="AY114" s="36">
        <f>AX114+AW114+AV114+AU114</f>
        <v>179</v>
      </c>
      <c r="AZ114" s="36">
        <v>44</v>
      </c>
      <c r="BA114" s="36">
        <v>51</v>
      </c>
      <c r="BB114" s="36">
        <v>55</v>
      </c>
      <c r="BC114" s="36">
        <v>55</v>
      </c>
      <c r="BD114" s="36">
        <f>BC114+BB114+BA114+AZ114</f>
        <v>205</v>
      </c>
      <c r="BE114" s="36">
        <v>51</v>
      </c>
      <c r="BF114" s="36">
        <v>55</v>
      </c>
      <c r="BG114" s="36">
        <v>60</v>
      </c>
      <c r="BH114" s="36">
        <v>61</v>
      </c>
      <c r="BI114" s="36">
        <f>SUM(BE114:BH114)</f>
        <v>227</v>
      </c>
      <c r="BJ114" s="36">
        <v>54</v>
      </c>
      <c r="BK114" s="36">
        <v>61</v>
      </c>
      <c r="BL114" s="36">
        <v>70</v>
      </c>
      <c r="BM114" s="36">
        <v>66</v>
      </c>
      <c r="BN114" s="36">
        <f>SUM(BJ114:BM114)</f>
        <v>251</v>
      </c>
      <c r="BO114" s="36">
        <v>60</v>
      </c>
      <c r="BP114" s="36">
        <v>64</v>
      </c>
      <c r="BQ114" s="36">
        <v>72</v>
      </c>
      <c r="BR114" s="36">
        <v>70</v>
      </c>
      <c r="BS114" s="36">
        <f>SUM(BO114:BR114)</f>
        <v>266</v>
      </c>
      <c r="BT114" s="36">
        <v>67</v>
      </c>
      <c r="BU114" s="36">
        <v>79</v>
      </c>
      <c r="BV114" s="36">
        <v>89</v>
      </c>
      <c r="BW114" s="36">
        <v>87</v>
      </c>
      <c r="BX114" s="36">
        <f>SUM(BT114:BW114)</f>
        <v>322</v>
      </c>
      <c r="BY114" s="36">
        <v>65</v>
      </c>
      <c r="BZ114" s="36">
        <v>81</v>
      </c>
      <c r="CA114" s="36">
        <v>93</v>
      </c>
      <c r="CB114" s="36">
        <v>90</v>
      </c>
      <c r="CC114" s="36">
        <f>SUM(BY114:CB114)</f>
        <v>329</v>
      </c>
      <c r="CD114" s="36">
        <v>82</v>
      </c>
      <c r="CE114" s="36">
        <v>93</v>
      </c>
      <c r="CF114" s="36">
        <v>93</v>
      </c>
      <c r="CG114" s="36">
        <v>93</v>
      </c>
      <c r="CH114" s="36">
        <f>SUM(CD114:CG114)</f>
        <v>361</v>
      </c>
      <c r="CI114" s="36">
        <v>91</v>
      </c>
      <c r="CJ114" s="36">
        <v>86.5</v>
      </c>
      <c r="CK114" s="36">
        <v>74</v>
      </c>
      <c r="CL114" s="36">
        <v>1</v>
      </c>
      <c r="CM114" s="36">
        <f>SUM(CI114:CL114)</f>
        <v>252.5</v>
      </c>
      <c r="CN114" s="36">
        <v>14</v>
      </c>
      <c r="CO114" s="36">
        <v>18</v>
      </c>
      <c r="CP114" s="36">
        <v>-1</v>
      </c>
      <c r="CQ114" s="36">
        <v>0</v>
      </c>
      <c r="CR114" s="36">
        <f>SUM(CN114:CQ114)</f>
        <v>31</v>
      </c>
      <c r="CS114" s="36">
        <v>6</v>
      </c>
      <c r="CT114" s="36">
        <v>0</v>
      </c>
      <c r="CU114" s="36">
        <v>1</v>
      </c>
      <c r="CV114" s="36">
        <v>2</v>
      </c>
      <c r="CW114" s="72">
        <f>SUM(CS114:CV114)</f>
        <v>9</v>
      </c>
      <c r="CX114" s="36">
        <v>4</v>
      </c>
      <c r="CY114" s="36">
        <v>-4</v>
      </c>
      <c r="CZ114" s="36">
        <v>-2</v>
      </c>
      <c r="DA114" s="36">
        <v>-3</v>
      </c>
      <c r="DB114" s="72">
        <f>SUM(CX114:DA114)</f>
        <v>-5</v>
      </c>
      <c r="DC114" s="72">
        <v>1</v>
      </c>
      <c r="DD114" s="72">
        <v>2</v>
      </c>
      <c r="DE114" s="72">
        <v>2</v>
      </c>
      <c r="DF114" s="72">
        <v>0</v>
      </c>
      <c r="DG114" s="36">
        <f>SUM(DC114:DF114)</f>
        <v>5</v>
      </c>
      <c r="DH114" s="36">
        <f t="shared" ref="DH114:DK115" si="122">DC114*(1+DH117)</f>
        <v>0.8</v>
      </c>
      <c r="DI114" s="36">
        <f t="shared" si="122"/>
        <v>1.6</v>
      </c>
      <c r="DJ114" s="36">
        <f t="shared" si="122"/>
        <v>1.6</v>
      </c>
      <c r="DK114" s="36">
        <f t="shared" si="122"/>
        <v>0</v>
      </c>
      <c r="DL114" s="183">
        <f>SUM(DH114:DK114)</f>
        <v>4</v>
      </c>
      <c r="DM114" s="183">
        <f t="shared" ref="DM114:DP115" si="123">DL114*(1+DM117)</f>
        <v>3.2</v>
      </c>
      <c r="DN114" s="183">
        <f t="shared" si="123"/>
        <v>2.5600000000000005</v>
      </c>
      <c r="DO114" s="183">
        <f t="shared" si="123"/>
        <v>2.0480000000000005</v>
      </c>
      <c r="DP114" s="183">
        <f t="shared" si="123"/>
        <v>1.6384000000000005</v>
      </c>
    </row>
    <row r="115" spans="1:120" ht="17" x14ac:dyDescent="0.2">
      <c r="A115" s="117" t="s">
        <v>112</v>
      </c>
      <c r="B115" s="86"/>
      <c r="C115" s="86"/>
      <c r="D115" s="86"/>
      <c r="E115" s="86"/>
      <c r="F115" s="86">
        <v>0</v>
      </c>
      <c r="G115" s="36">
        <v>0</v>
      </c>
      <c r="H115" s="36">
        <v>0</v>
      </c>
      <c r="I115" s="86">
        <v>1</v>
      </c>
      <c r="J115" s="86">
        <v>1</v>
      </c>
      <c r="K115" s="36">
        <f>J115+I115+H115+G115</f>
        <v>2</v>
      </c>
      <c r="L115" s="86">
        <v>1</v>
      </c>
      <c r="M115" s="86">
        <v>1.7</v>
      </c>
      <c r="N115" s="86">
        <v>2.6</v>
      </c>
      <c r="O115" s="36">
        <v>3.6</v>
      </c>
      <c r="P115" s="36">
        <f>O115+N115+M115+L115</f>
        <v>8.9</v>
      </c>
      <c r="Q115" s="36">
        <v>3</v>
      </c>
      <c r="R115" s="36">
        <v>4</v>
      </c>
      <c r="S115" s="36">
        <v>5</v>
      </c>
      <c r="T115" s="36">
        <v>6</v>
      </c>
      <c r="U115" s="36">
        <f>T115+S115+R115+Q115</f>
        <v>18</v>
      </c>
      <c r="V115" s="36">
        <v>7</v>
      </c>
      <c r="W115" s="36">
        <v>8</v>
      </c>
      <c r="X115" s="36">
        <v>9</v>
      </c>
      <c r="Y115" s="36">
        <v>11</v>
      </c>
      <c r="Z115" s="36">
        <f>Y115+X115+W115+V115</f>
        <v>35</v>
      </c>
      <c r="AA115" s="36">
        <v>12</v>
      </c>
      <c r="AB115" s="36">
        <v>13</v>
      </c>
      <c r="AC115" s="36">
        <v>15</v>
      </c>
      <c r="AD115" s="36">
        <v>16</v>
      </c>
      <c r="AE115" s="36">
        <f>AD115+AC115+AB115+AA115</f>
        <v>56</v>
      </c>
      <c r="AF115" s="36">
        <v>19</v>
      </c>
      <c r="AG115" s="36">
        <v>20</v>
      </c>
      <c r="AH115" s="36">
        <v>23</v>
      </c>
      <c r="AI115" s="36">
        <v>25</v>
      </c>
      <c r="AJ115" s="36">
        <f>AI115+AH115+AG115+AF115</f>
        <v>87</v>
      </c>
      <c r="AK115" s="36">
        <v>27</v>
      </c>
      <c r="AL115" s="36">
        <v>37</v>
      </c>
      <c r="AM115" s="36">
        <v>34</v>
      </c>
      <c r="AN115" s="36">
        <v>30</v>
      </c>
      <c r="AO115" s="36">
        <f>AN115+AM115+AL115+AK115</f>
        <v>128</v>
      </c>
      <c r="AP115" s="36">
        <v>29</v>
      </c>
      <c r="AQ115" s="36">
        <v>34</v>
      </c>
      <c r="AR115" s="36">
        <v>34</v>
      </c>
      <c r="AS115" s="36">
        <v>45</v>
      </c>
      <c r="AT115" s="36">
        <f>AS115+AR115+AQ115+AP115</f>
        <v>142</v>
      </c>
      <c r="AU115" s="36">
        <v>37</v>
      </c>
      <c r="AV115" s="36">
        <v>40</v>
      </c>
      <c r="AW115" s="36">
        <v>43</v>
      </c>
      <c r="AX115" s="36">
        <v>63</v>
      </c>
      <c r="AY115" s="36">
        <f>AX115+AW115+AV115+AU115</f>
        <v>183</v>
      </c>
      <c r="AZ115" s="36">
        <v>42</v>
      </c>
      <c r="BA115" s="36">
        <v>52</v>
      </c>
      <c r="BB115" s="36">
        <v>52</v>
      </c>
      <c r="BC115" s="36">
        <v>54</v>
      </c>
      <c r="BD115" s="36">
        <f>BC115+BB115+BA115+AZ115</f>
        <v>200</v>
      </c>
      <c r="BE115" s="36">
        <v>50</v>
      </c>
      <c r="BF115" s="36">
        <v>55</v>
      </c>
      <c r="BG115" s="36">
        <v>58</v>
      </c>
      <c r="BH115" s="36">
        <v>55</v>
      </c>
      <c r="BI115" s="36">
        <f>SUM(BE115:BH115)</f>
        <v>218</v>
      </c>
      <c r="BJ115" s="36">
        <v>57</v>
      </c>
      <c r="BK115" s="36">
        <v>59</v>
      </c>
      <c r="BL115" s="36">
        <v>59</v>
      </c>
      <c r="BM115" s="36">
        <v>62</v>
      </c>
      <c r="BN115" s="36">
        <f>SUM(BJ115:BM115)</f>
        <v>237</v>
      </c>
      <c r="BO115" s="36">
        <v>55</v>
      </c>
      <c r="BP115" s="36">
        <v>71</v>
      </c>
      <c r="BQ115" s="36">
        <v>69</v>
      </c>
      <c r="BR115" s="36">
        <v>69</v>
      </c>
      <c r="BS115" s="36">
        <f>SUM(BO115:BR115)</f>
        <v>264</v>
      </c>
      <c r="BT115" s="36">
        <v>65</v>
      </c>
      <c r="BU115" s="36">
        <v>60</v>
      </c>
      <c r="BV115" s="36">
        <v>64</v>
      </c>
      <c r="BW115" s="36">
        <v>57</v>
      </c>
      <c r="BX115" s="36">
        <f>SUM(BT115:BW115)</f>
        <v>246</v>
      </c>
      <c r="BY115" s="36">
        <v>49</v>
      </c>
      <c r="BZ115" s="36">
        <v>61</v>
      </c>
      <c r="CA115" s="36">
        <v>59</v>
      </c>
      <c r="CB115" s="36">
        <v>62</v>
      </c>
      <c r="CC115" s="36">
        <f>SUM(BY115:CB115)</f>
        <v>231</v>
      </c>
      <c r="CD115" s="36">
        <v>54</v>
      </c>
      <c r="CE115" s="36">
        <v>57</v>
      </c>
      <c r="CF115" s="36">
        <v>66</v>
      </c>
      <c r="CG115" s="36">
        <v>64</v>
      </c>
      <c r="CH115" s="36">
        <f>SUM(CD115:CG115)</f>
        <v>241</v>
      </c>
      <c r="CI115" s="36">
        <v>60</v>
      </c>
      <c r="CJ115" s="36">
        <v>62.5</v>
      </c>
      <c r="CK115" s="36">
        <v>62</v>
      </c>
      <c r="CL115" s="36">
        <v>58</v>
      </c>
      <c r="CM115" s="36">
        <f>SUM(CI115:CL115)</f>
        <v>242.5</v>
      </c>
      <c r="CN115" s="36">
        <v>58</v>
      </c>
      <c r="CO115" s="36">
        <v>60</v>
      </c>
      <c r="CP115" s="36">
        <v>58</v>
      </c>
      <c r="CQ115" s="36">
        <v>57</v>
      </c>
      <c r="CR115" s="36">
        <f>SUM(CN115:CQ115)</f>
        <v>233</v>
      </c>
      <c r="CS115" s="36">
        <v>59</v>
      </c>
      <c r="CT115" s="36">
        <v>43</v>
      </c>
      <c r="CU115" s="36">
        <v>50</v>
      </c>
      <c r="CV115" s="36">
        <v>50</v>
      </c>
      <c r="CW115" s="72">
        <f>SUM(CS115:CV115)</f>
        <v>202</v>
      </c>
      <c r="CX115" s="36">
        <v>52</v>
      </c>
      <c r="CY115" s="36">
        <v>52</v>
      </c>
      <c r="CZ115" s="36">
        <v>55</v>
      </c>
      <c r="DA115" s="36">
        <v>48</v>
      </c>
      <c r="DB115" s="72">
        <f>SUM(CX115:DA115)</f>
        <v>207</v>
      </c>
      <c r="DC115" s="72">
        <v>52</v>
      </c>
      <c r="DD115" s="72">
        <v>45</v>
      </c>
      <c r="DE115" s="72">
        <v>48</v>
      </c>
      <c r="DF115" s="72">
        <v>41</v>
      </c>
      <c r="DG115" s="36">
        <f>SUM(DC115:DF115)</f>
        <v>186</v>
      </c>
      <c r="DH115" s="36">
        <f t="shared" si="122"/>
        <v>41.6</v>
      </c>
      <c r="DI115" s="36">
        <f t="shared" si="122"/>
        <v>36</v>
      </c>
      <c r="DJ115" s="36">
        <f t="shared" si="122"/>
        <v>38.400000000000006</v>
      </c>
      <c r="DK115" s="36">
        <f t="shared" si="122"/>
        <v>32.800000000000004</v>
      </c>
      <c r="DL115" s="183">
        <f>SUM(DH115:DK115)</f>
        <v>148.80000000000001</v>
      </c>
      <c r="DM115" s="183">
        <f t="shared" si="123"/>
        <v>119.04000000000002</v>
      </c>
      <c r="DN115" s="183">
        <f t="shared" si="123"/>
        <v>95.232000000000028</v>
      </c>
      <c r="DO115" s="183">
        <f t="shared" si="123"/>
        <v>76.185600000000022</v>
      </c>
      <c r="DP115" s="183">
        <f t="shared" si="123"/>
        <v>60.948480000000018</v>
      </c>
    </row>
    <row r="116" spans="1:120" ht="17" x14ac:dyDescent="0.2">
      <c r="A116" s="118" t="s">
        <v>113</v>
      </c>
      <c r="B116" s="88"/>
      <c r="C116" s="88"/>
      <c r="D116" s="88"/>
      <c r="E116" s="88"/>
      <c r="F116" s="39">
        <f t="shared" ref="F116:U116" si="124">F115+F114</f>
        <v>0</v>
      </c>
      <c r="G116" s="39">
        <f t="shared" si="124"/>
        <v>3</v>
      </c>
      <c r="H116" s="39">
        <f t="shared" si="124"/>
        <v>1</v>
      </c>
      <c r="I116" s="39">
        <f t="shared" si="124"/>
        <v>4</v>
      </c>
      <c r="J116" s="39">
        <f t="shared" si="124"/>
        <v>7</v>
      </c>
      <c r="K116" s="39">
        <f t="shared" si="124"/>
        <v>15</v>
      </c>
      <c r="L116" s="39">
        <f t="shared" si="124"/>
        <v>5.6</v>
      </c>
      <c r="M116" s="39">
        <f t="shared" si="124"/>
        <v>8.2999999999999989</v>
      </c>
      <c r="N116" s="39">
        <f t="shared" si="124"/>
        <v>11.2</v>
      </c>
      <c r="O116" s="39">
        <f t="shared" si="124"/>
        <v>12.2</v>
      </c>
      <c r="P116" s="39">
        <f t="shared" si="124"/>
        <v>37.299999999999997</v>
      </c>
      <c r="Q116" s="39">
        <f t="shared" si="124"/>
        <v>11</v>
      </c>
      <c r="R116" s="39">
        <f t="shared" si="124"/>
        <v>15</v>
      </c>
      <c r="S116" s="39">
        <f t="shared" si="124"/>
        <v>16</v>
      </c>
      <c r="T116" s="39">
        <f t="shared" si="124"/>
        <v>19</v>
      </c>
      <c r="U116" s="39">
        <f t="shared" si="124"/>
        <v>61</v>
      </c>
      <c r="V116" s="39">
        <f>V115+V114+1</f>
        <v>21</v>
      </c>
      <c r="W116" s="39">
        <f>W115+W114+1</f>
        <v>23</v>
      </c>
      <c r="X116" s="39">
        <f>X115+X114+1</f>
        <v>25</v>
      </c>
      <c r="Y116" s="39">
        <f>Y115+Y114+1</f>
        <v>28</v>
      </c>
      <c r="Z116" s="39">
        <f>Z115+Z114</f>
        <v>93</v>
      </c>
      <c r="AA116" s="39">
        <f>AA115+AA114+1</f>
        <v>29</v>
      </c>
      <c r="AB116" s="39">
        <f>AB115+AB114+1</f>
        <v>35</v>
      </c>
      <c r="AC116" s="39">
        <f t="shared" ref="AC116:BD116" si="125">AC115+AC114</f>
        <v>37</v>
      </c>
      <c r="AD116" s="39">
        <f t="shared" si="125"/>
        <v>40</v>
      </c>
      <c r="AE116" s="39">
        <f t="shared" si="125"/>
        <v>139</v>
      </c>
      <c r="AF116" s="39">
        <f t="shared" si="125"/>
        <v>42</v>
      </c>
      <c r="AG116" s="39">
        <f t="shared" si="125"/>
        <v>46</v>
      </c>
      <c r="AH116" s="39">
        <f t="shared" si="125"/>
        <v>50</v>
      </c>
      <c r="AI116" s="39">
        <f t="shared" si="125"/>
        <v>53</v>
      </c>
      <c r="AJ116" s="39">
        <f t="shared" si="125"/>
        <v>191</v>
      </c>
      <c r="AK116" s="39">
        <f t="shared" si="125"/>
        <v>55</v>
      </c>
      <c r="AL116" s="39">
        <f t="shared" si="125"/>
        <v>71</v>
      </c>
      <c r="AM116" s="39">
        <f t="shared" si="125"/>
        <v>71</v>
      </c>
      <c r="AN116" s="39">
        <f t="shared" si="125"/>
        <v>68</v>
      </c>
      <c r="AO116" s="39">
        <f t="shared" si="125"/>
        <v>265</v>
      </c>
      <c r="AP116" s="39">
        <f t="shared" si="125"/>
        <v>62</v>
      </c>
      <c r="AQ116" s="39">
        <f t="shared" si="125"/>
        <v>71</v>
      </c>
      <c r="AR116" s="39">
        <f t="shared" si="125"/>
        <v>73</v>
      </c>
      <c r="AS116" s="39">
        <f t="shared" si="125"/>
        <v>88</v>
      </c>
      <c r="AT116" s="39">
        <f t="shared" si="125"/>
        <v>294</v>
      </c>
      <c r="AU116" s="39">
        <f t="shared" si="125"/>
        <v>75</v>
      </c>
      <c r="AV116" s="39">
        <f t="shared" si="125"/>
        <v>83</v>
      </c>
      <c r="AW116" s="39">
        <f t="shared" si="125"/>
        <v>91</v>
      </c>
      <c r="AX116" s="39">
        <f t="shared" si="125"/>
        <v>113</v>
      </c>
      <c r="AY116" s="39">
        <f t="shared" si="125"/>
        <v>362</v>
      </c>
      <c r="AZ116" s="39">
        <f t="shared" si="125"/>
        <v>86</v>
      </c>
      <c r="BA116" s="39">
        <f t="shared" si="125"/>
        <v>103</v>
      </c>
      <c r="BB116" s="39">
        <f t="shared" si="125"/>
        <v>107</v>
      </c>
      <c r="BC116" s="39">
        <f t="shared" si="125"/>
        <v>109</v>
      </c>
      <c r="BD116" s="39">
        <f t="shared" si="125"/>
        <v>405</v>
      </c>
      <c r="BE116" s="39">
        <f>BE114+BE115</f>
        <v>101</v>
      </c>
      <c r="BF116" s="39">
        <f>BF114+BF115</f>
        <v>110</v>
      </c>
      <c r="BG116" s="39">
        <f>BG114+BG115</f>
        <v>118</v>
      </c>
      <c r="BH116" s="39">
        <f>BH114+BH115</f>
        <v>116</v>
      </c>
      <c r="BI116" s="39">
        <f t="shared" ref="BI116:CQ116" si="126">BI115+BI114</f>
        <v>445</v>
      </c>
      <c r="BJ116" s="39">
        <f t="shared" si="126"/>
        <v>111</v>
      </c>
      <c r="BK116" s="39">
        <f t="shared" si="126"/>
        <v>120</v>
      </c>
      <c r="BL116" s="39">
        <f t="shared" si="126"/>
        <v>129</v>
      </c>
      <c r="BM116" s="39">
        <f t="shared" si="126"/>
        <v>128</v>
      </c>
      <c r="BN116" s="39">
        <f t="shared" si="126"/>
        <v>488</v>
      </c>
      <c r="BO116" s="39">
        <f t="shared" si="126"/>
        <v>115</v>
      </c>
      <c r="BP116" s="39">
        <f t="shared" si="126"/>
        <v>135</v>
      </c>
      <c r="BQ116" s="39">
        <f t="shared" si="126"/>
        <v>141</v>
      </c>
      <c r="BR116" s="39">
        <f t="shared" si="126"/>
        <v>139</v>
      </c>
      <c r="BS116" s="39">
        <f t="shared" si="126"/>
        <v>530</v>
      </c>
      <c r="BT116" s="39">
        <f t="shared" si="126"/>
        <v>132</v>
      </c>
      <c r="BU116" s="39">
        <f t="shared" si="126"/>
        <v>139</v>
      </c>
      <c r="BV116" s="39">
        <f t="shared" si="126"/>
        <v>153</v>
      </c>
      <c r="BW116" s="39">
        <f t="shared" si="126"/>
        <v>144</v>
      </c>
      <c r="BX116" s="39">
        <f t="shared" si="126"/>
        <v>568</v>
      </c>
      <c r="BY116" s="39">
        <f t="shared" si="126"/>
        <v>114</v>
      </c>
      <c r="BZ116" s="39">
        <f t="shared" si="126"/>
        <v>142</v>
      </c>
      <c r="CA116" s="39">
        <f t="shared" si="126"/>
        <v>152</v>
      </c>
      <c r="CB116" s="39">
        <f t="shared" si="126"/>
        <v>152</v>
      </c>
      <c r="CC116" s="39">
        <f t="shared" si="126"/>
        <v>560</v>
      </c>
      <c r="CD116" s="39">
        <f t="shared" si="126"/>
        <v>136</v>
      </c>
      <c r="CE116" s="39">
        <f t="shared" si="126"/>
        <v>150</v>
      </c>
      <c r="CF116" s="39">
        <f t="shared" si="126"/>
        <v>159</v>
      </c>
      <c r="CG116" s="39">
        <f t="shared" si="126"/>
        <v>157</v>
      </c>
      <c r="CH116" s="39">
        <f t="shared" si="126"/>
        <v>602</v>
      </c>
      <c r="CI116" s="39">
        <f t="shared" si="126"/>
        <v>151</v>
      </c>
      <c r="CJ116" s="39">
        <f t="shared" si="126"/>
        <v>149</v>
      </c>
      <c r="CK116" s="39">
        <f t="shared" si="126"/>
        <v>136</v>
      </c>
      <c r="CL116" s="39">
        <f t="shared" si="126"/>
        <v>59</v>
      </c>
      <c r="CM116" s="39">
        <f t="shared" si="126"/>
        <v>495</v>
      </c>
      <c r="CN116" s="39">
        <f t="shared" si="126"/>
        <v>72</v>
      </c>
      <c r="CO116" s="39">
        <f t="shared" si="126"/>
        <v>78</v>
      </c>
      <c r="CP116" s="39">
        <f t="shared" si="126"/>
        <v>57</v>
      </c>
      <c r="CQ116" s="39">
        <f t="shared" si="126"/>
        <v>57</v>
      </c>
      <c r="CR116" s="39">
        <f>CR115+CR114</f>
        <v>264</v>
      </c>
      <c r="CS116" s="39">
        <f>CS115+CS114-1</f>
        <v>64</v>
      </c>
      <c r="CT116" s="39">
        <f>CT115+CT114</f>
        <v>43</v>
      </c>
      <c r="CU116" s="39">
        <f>CU115+CU114</f>
        <v>51</v>
      </c>
      <c r="CV116" s="39">
        <f>CV115+CV114+1</f>
        <v>53</v>
      </c>
      <c r="CW116" s="74">
        <f>SUM(CS116:CV116)</f>
        <v>211</v>
      </c>
      <c r="CX116" s="39">
        <f>SUM(CX114:CX115)</f>
        <v>56</v>
      </c>
      <c r="CY116" s="39">
        <f>SUM(CY114:CY115)</f>
        <v>48</v>
      </c>
      <c r="CZ116" s="39">
        <f>SUM(CZ114:CZ115)</f>
        <v>53</v>
      </c>
      <c r="DA116" s="39">
        <f>SUM(DA114:DA115)</f>
        <v>45</v>
      </c>
      <c r="DB116" s="74">
        <f>SUM(CX116:DA116)</f>
        <v>202</v>
      </c>
      <c r="DC116" s="74">
        <f>DC115+DC114</f>
        <v>53</v>
      </c>
      <c r="DD116" s="74">
        <f>DD115+DD114</f>
        <v>47</v>
      </c>
      <c r="DE116" s="74">
        <f>DE115+DE114</f>
        <v>50</v>
      </c>
      <c r="DF116" s="74">
        <f>DF115+DF114</f>
        <v>41</v>
      </c>
      <c r="DG116" s="39">
        <f>SUM(DC116:DF116)</f>
        <v>191</v>
      </c>
      <c r="DH116" s="39">
        <f>DH115+DH114</f>
        <v>42.4</v>
      </c>
      <c r="DI116" s="39">
        <f>DI115+DI114</f>
        <v>37.6</v>
      </c>
      <c r="DJ116" s="39">
        <f>DJ115+DJ114</f>
        <v>40.000000000000007</v>
      </c>
      <c r="DK116" s="39">
        <f>DK115+DK114</f>
        <v>32.800000000000004</v>
      </c>
      <c r="DL116" s="187">
        <f>SUM(DH116:DK116)</f>
        <v>152.80000000000001</v>
      </c>
      <c r="DM116" s="187">
        <f t="shared" ref="DM116:DP116" si="127">DM115+DM114</f>
        <v>122.24000000000002</v>
      </c>
      <c r="DN116" s="187">
        <f t="shared" si="127"/>
        <v>97.79200000000003</v>
      </c>
      <c r="DO116" s="187">
        <f t="shared" si="127"/>
        <v>78.233600000000024</v>
      </c>
      <c r="DP116" s="187">
        <f t="shared" si="127"/>
        <v>62.586880000000015</v>
      </c>
    </row>
    <row r="117" spans="1:120" x14ac:dyDescent="0.2">
      <c r="A117" s="68" t="s">
        <v>54</v>
      </c>
      <c r="G117" s="76"/>
      <c r="H117" s="76"/>
      <c r="I117" s="76"/>
      <c r="J117" s="76"/>
      <c r="K117" s="76"/>
      <c r="L117" s="76">
        <f t="shared" ref="L117:BW119" si="128">L114/G114-1</f>
        <v>0.53333333333333321</v>
      </c>
      <c r="M117" s="76">
        <f t="shared" si="128"/>
        <v>5.6</v>
      </c>
      <c r="N117" s="76">
        <f t="shared" si="128"/>
        <v>1.8666666666666667</v>
      </c>
      <c r="O117" s="76">
        <f t="shared" si="128"/>
        <v>0.43333333333333335</v>
      </c>
      <c r="P117" s="76">
        <f t="shared" si="128"/>
        <v>1.1846153846153844</v>
      </c>
      <c r="Q117" s="89">
        <f t="shared" si="128"/>
        <v>0.73913043478260887</v>
      </c>
      <c r="R117" s="89">
        <f t="shared" si="128"/>
        <v>0.66666666666666674</v>
      </c>
      <c r="S117" s="89">
        <f t="shared" si="128"/>
        <v>0.27906976744186052</v>
      </c>
      <c r="T117" s="89">
        <f t="shared" si="128"/>
        <v>0.51162790697674421</v>
      </c>
      <c r="U117" s="76">
        <f t="shared" si="128"/>
        <v>0.5140845070422535</v>
      </c>
      <c r="V117" s="90">
        <f t="shared" si="128"/>
        <v>0.625</v>
      </c>
      <c r="W117" s="90">
        <f t="shared" si="128"/>
        <v>0.27272727272727271</v>
      </c>
      <c r="X117" s="90">
        <f t="shared" si="128"/>
        <v>0.36363636363636354</v>
      </c>
      <c r="Y117" s="90">
        <f t="shared" si="128"/>
        <v>0.23076923076923084</v>
      </c>
      <c r="Z117" s="76">
        <f t="shared" si="128"/>
        <v>0.34883720930232553</v>
      </c>
      <c r="AA117" s="90">
        <f t="shared" si="128"/>
        <v>0.23076923076923084</v>
      </c>
      <c r="AB117" s="90">
        <f t="shared" si="128"/>
        <v>0.5</v>
      </c>
      <c r="AC117" s="90">
        <f t="shared" si="128"/>
        <v>0.46666666666666656</v>
      </c>
      <c r="AD117" s="90">
        <f t="shared" si="128"/>
        <v>0.5</v>
      </c>
      <c r="AE117" s="76">
        <f t="shared" si="128"/>
        <v>0.43103448275862077</v>
      </c>
      <c r="AF117" s="90">
        <f t="shared" si="128"/>
        <v>0.4375</v>
      </c>
      <c r="AG117" s="90">
        <f t="shared" si="128"/>
        <v>0.23809523809523814</v>
      </c>
      <c r="AH117" s="90">
        <f t="shared" si="128"/>
        <v>0.22727272727272729</v>
      </c>
      <c r="AI117" s="90">
        <f t="shared" si="128"/>
        <v>0.16666666666666674</v>
      </c>
      <c r="AJ117" s="76">
        <f t="shared" si="128"/>
        <v>0.25301204819277112</v>
      </c>
      <c r="AK117" s="90">
        <f t="shared" si="128"/>
        <v>0.21739130434782616</v>
      </c>
      <c r="AL117" s="90">
        <f t="shared" si="128"/>
        <v>0.30769230769230771</v>
      </c>
      <c r="AM117" s="90">
        <f t="shared" si="128"/>
        <v>0.37037037037037046</v>
      </c>
      <c r="AN117" s="90">
        <f t="shared" si="128"/>
        <v>0.35714285714285721</v>
      </c>
      <c r="AO117" s="76">
        <f t="shared" si="128"/>
        <v>0.31730769230769229</v>
      </c>
      <c r="AP117" s="90">
        <f t="shared" si="128"/>
        <v>0.1785714285714286</v>
      </c>
      <c r="AQ117" s="90">
        <f t="shared" si="128"/>
        <v>8.8235294117646967E-2</v>
      </c>
      <c r="AR117" s="90">
        <f t="shared" si="128"/>
        <v>5.4054054054053946E-2</v>
      </c>
      <c r="AS117" s="90">
        <f t="shared" si="128"/>
        <v>0.13157894736842102</v>
      </c>
      <c r="AT117" s="76">
        <f t="shared" si="128"/>
        <v>0.10948905109489049</v>
      </c>
      <c r="AU117" s="90">
        <f t="shared" si="128"/>
        <v>0.1515151515151516</v>
      </c>
      <c r="AV117" s="90">
        <f t="shared" si="128"/>
        <v>0.16216216216216206</v>
      </c>
      <c r="AW117" s="90">
        <f t="shared" si="128"/>
        <v>0.23076923076923084</v>
      </c>
      <c r="AX117" s="90">
        <f t="shared" si="128"/>
        <v>0.16279069767441867</v>
      </c>
      <c r="AY117" s="76">
        <f t="shared" si="128"/>
        <v>0.17763157894736836</v>
      </c>
      <c r="AZ117" s="90">
        <f t="shared" si="128"/>
        <v>0.15789473684210531</v>
      </c>
      <c r="BA117" s="90">
        <f t="shared" si="128"/>
        <v>0.18604651162790709</v>
      </c>
      <c r="BB117" s="90">
        <f t="shared" si="128"/>
        <v>0.14583333333333326</v>
      </c>
      <c r="BC117" s="90">
        <f t="shared" si="128"/>
        <v>0.10000000000000009</v>
      </c>
      <c r="BD117" s="76">
        <f t="shared" si="128"/>
        <v>0.14525139664804465</v>
      </c>
      <c r="BE117" s="76">
        <f t="shared" si="128"/>
        <v>0.15909090909090917</v>
      </c>
      <c r="BF117" s="76">
        <f t="shared" si="128"/>
        <v>7.8431372549019551E-2</v>
      </c>
      <c r="BG117" s="76">
        <f t="shared" si="128"/>
        <v>9.0909090909090828E-2</v>
      </c>
      <c r="BH117" s="76">
        <f t="shared" si="128"/>
        <v>0.10909090909090913</v>
      </c>
      <c r="BI117" s="90">
        <f t="shared" si="128"/>
        <v>0.1073170731707318</v>
      </c>
      <c r="BJ117" s="76">
        <f t="shared" si="128"/>
        <v>5.8823529411764719E-2</v>
      </c>
      <c r="BK117" s="76">
        <f t="shared" si="128"/>
        <v>0.10909090909090913</v>
      </c>
      <c r="BL117" s="76">
        <f t="shared" si="128"/>
        <v>0.16666666666666674</v>
      </c>
      <c r="BM117" s="76">
        <f t="shared" si="128"/>
        <v>8.1967213114754189E-2</v>
      </c>
      <c r="BN117" s="90">
        <f>BN114/BI114-1</f>
        <v>0.10572687224669597</v>
      </c>
      <c r="BO117" s="76">
        <f t="shared" si="128"/>
        <v>0.11111111111111116</v>
      </c>
      <c r="BP117" s="76">
        <f t="shared" si="128"/>
        <v>4.9180327868852514E-2</v>
      </c>
      <c r="BQ117" s="76">
        <f t="shared" si="128"/>
        <v>2.857142857142847E-2</v>
      </c>
      <c r="BR117" s="76">
        <f t="shared" si="128"/>
        <v>6.0606060606060552E-2</v>
      </c>
      <c r="BS117" s="90">
        <f>BS114/BN114-1</f>
        <v>5.9760956175298752E-2</v>
      </c>
      <c r="BT117" s="76">
        <f t="shared" si="128"/>
        <v>0.1166666666666667</v>
      </c>
      <c r="BU117" s="76">
        <f t="shared" si="128"/>
        <v>0.234375</v>
      </c>
      <c r="BV117" s="76">
        <f t="shared" si="128"/>
        <v>0.23611111111111116</v>
      </c>
      <c r="BW117" s="76">
        <f t="shared" si="128"/>
        <v>0.24285714285714288</v>
      </c>
      <c r="BX117" s="90">
        <f>BX114/BS114-1</f>
        <v>0.21052631578947367</v>
      </c>
      <c r="BY117" s="76">
        <f t="shared" ref="BY117:CX119" si="129">BY114/BT114-1</f>
        <v>-2.9850746268656692E-2</v>
      </c>
      <c r="BZ117" s="76">
        <f t="shared" si="129"/>
        <v>2.5316455696202445E-2</v>
      </c>
      <c r="CA117" s="76">
        <f t="shared" si="129"/>
        <v>4.4943820224719211E-2</v>
      </c>
      <c r="CB117" s="76">
        <f t="shared" si="129"/>
        <v>3.4482758620689724E-2</v>
      </c>
      <c r="CC117" s="90">
        <f>CC114/BX114-1</f>
        <v>2.1739130434782705E-2</v>
      </c>
      <c r="CD117" s="76">
        <f t="shared" si="129"/>
        <v>0.2615384615384615</v>
      </c>
      <c r="CE117" s="76">
        <f t="shared" si="129"/>
        <v>0.14814814814814814</v>
      </c>
      <c r="CF117" s="76">
        <f t="shared" si="129"/>
        <v>0</v>
      </c>
      <c r="CG117" s="76">
        <f t="shared" si="129"/>
        <v>3.3333333333333437E-2</v>
      </c>
      <c r="CH117" s="90">
        <f>CH114/CC114-1</f>
        <v>9.7264437689969618E-2</v>
      </c>
      <c r="CI117" s="76">
        <f t="shared" si="129"/>
        <v>0.10975609756097571</v>
      </c>
      <c r="CJ117" s="76">
        <f t="shared" si="129"/>
        <v>-6.9892473118279619E-2</v>
      </c>
      <c r="CK117" s="76">
        <f t="shared" si="129"/>
        <v>-0.20430107526881724</v>
      </c>
      <c r="CL117" s="76">
        <f t="shared" si="129"/>
        <v>-0.989247311827957</v>
      </c>
      <c r="CM117" s="90">
        <f t="shared" si="129"/>
        <v>-0.30055401662049863</v>
      </c>
      <c r="CN117" s="90">
        <f t="shared" si="129"/>
        <v>-0.84615384615384615</v>
      </c>
      <c r="CO117" s="90">
        <f t="shared" si="129"/>
        <v>-0.79190751445086704</v>
      </c>
      <c r="CP117" s="90">
        <f t="shared" si="129"/>
        <v>-1.0135135135135136</v>
      </c>
      <c r="CQ117" s="90">
        <f t="shared" si="129"/>
        <v>-1</v>
      </c>
      <c r="CR117" s="90">
        <f>CR114/CM114-1</f>
        <v>-0.87722772277227723</v>
      </c>
      <c r="CS117" s="90">
        <f t="shared" si="129"/>
        <v>-0.5714285714285714</v>
      </c>
      <c r="CT117" s="90">
        <f t="shared" si="129"/>
        <v>-1</v>
      </c>
      <c r="CU117" s="90">
        <f t="shared" si="129"/>
        <v>-2</v>
      </c>
      <c r="CV117" s="90" t="e">
        <f>CV114/CQ114-1</f>
        <v>#DIV/0!</v>
      </c>
      <c r="CW117" s="90">
        <f>CW114/CR114-1</f>
        <v>-0.70967741935483875</v>
      </c>
      <c r="CX117" s="90">
        <f t="shared" si="129"/>
        <v>-0.33333333333333337</v>
      </c>
      <c r="CY117" s="90"/>
      <c r="CZ117" s="90"/>
      <c r="DA117" s="90"/>
      <c r="DB117" s="90">
        <f t="shared" ref="DB117:DF119" si="130">DB114/CW114-1</f>
        <v>-1.5555555555555556</v>
      </c>
      <c r="DC117" s="75">
        <f t="shared" si="130"/>
        <v>-0.75</v>
      </c>
      <c r="DD117" s="75">
        <f t="shared" si="130"/>
        <v>-1.5</v>
      </c>
      <c r="DE117" s="90"/>
      <c r="DF117" s="90"/>
      <c r="DG117" s="90">
        <f>DG114/DB114-1</f>
        <v>-2</v>
      </c>
      <c r="DH117" s="90">
        <v>-0.2</v>
      </c>
      <c r="DI117" s="90">
        <v>-0.2</v>
      </c>
      <c r="DJ117" s="90">
        <v>-0.2</v>
      </c>
      <c r="DK117" s="90">
        <v>-0.2</v>
      </c>
      <c r="DL117" s="188">
        <f>DL114/DG114-1</f>
        <v>-0.19999999999999996</v>
      </c>
      <c r="DM117" s="188">
        <v>-0.2</v>
      </c>
      <c r="DN117" s="188">
        <v>-0.2</v>
      </c>
      <c r="DO117" s="188">
        <v>-0.2</v>
      </c>
      <c r="DP117" s="188">
        <v>-0.2</v>
      </c>
    </row>
    <row r="118" spans="1:120" x14ac:dyDescent="0.2">
      <c r="A118" s="68" t="s">
        <v>55</v>
      </c>
      <c r="G118" s="76"/>
      <c r="H118" s="76"/>
      <c r="I118" s="76"/>
      <c r="J118" s="76"/>
      <c r="K118" s="76"/>
      <c r="L118" s="76"/>
      <c r="M118" s="76"/>
      <c r="N118" s="76">
        <f t="shared" si="128"/>
        <v>1.6</v>
      </c>
      <c r="O118" s="76">
        <f t="shared" si="128"/>
        <v>2.6</v>
      </c>
      <c r="P118" s="76">
        <f t="shared" si="128"/>
        <v>3.45</v>
      </c>
      <c r="Q118" s="89">
        <f t="shared" si="128"/>
        <v>2</v>
      </c>
      <c r="R118" s="89">
        <f t="shared" si="128"/>
        <v>1.3529411764705883</v>
      </c>
      <c r="S118" s="89">
        <f t="shared" si="128"/>
        <v>0.92307692307692291</v>
      </c>
      <c r="T118" s="89">
        <f t="shared" si="128"/>
        <v>0.66666666666666652</v>
      </c>
      <c r="U118" s="76">
        <f t="shared" si="128"/>
        <v>1.0224719101123596</v>
      </c>
      <c r="V118" s="90">
        <f t="shared" si="128"/>
        <v>1.3333333333333335</v>
      </c>
      <c r="W118" s="90">
        <f t="shared" si="128"/>
        <v>1</v>
      </c>
      <c r="X118" s="90">
        <f t="shared" si="128"/>
        <v>0.8</v>
      </c>
      <c r="Y118" s="90">
        <f t="shared" si="128"/>
        <v>0.83333333333333326</v>
      </c>
      <c r="Z118" s="76">
        <f t="shared" si="128"/>
        <v>0.94444444444444442</v>
      </c>
      <c r="AA118" s="90">
        <f t="shared" si="128"/>
        <v>0.71428571428571419</v>
      </c>
      <c r="AB118" s="90">
        <f t="shared" si="128"/>
        <v>0.625</v>
      </c>
      <c r="AC118" s="90">
        <f t="shared" si="128"/>
        <v>0.66666666666666674</v>
      </c>
      <c r="AD118" s="90">
        <f t="shared" si="128"/>
        <v>0.45454545454545459</v>
      </c>
      <c r="AE118" s="76">
        <f t="shared" si="128"/>
        <v>0.60000000000000009</v>
      </c>
      <c r="AF118" s="90">
        <f t="shared" si="128"/>
        <v>0.58333333333333326</v>
      </c>
      <c r="AG118" s="90">
        <f t="shared" si="128"/>
        <v>0.53846153846153855</v>
      </c>
      <c r="AH118" s="90">
        <f t="shared" si="128"/>
        <v>0.53333333333333344</v>
      </c>
      <c r="AI118" s="90">
        <f t="shared" si="128"/>
        <v>0.5625</v>
      </c>
      <c r="AJ118" s="76">
        <f t="shared" si="128"/>
        <v>0.5535714285714286</v>
      </c>
      <c r="AK118" s="90">
        <f t="shared" si="128"/>
        <v>0.42105263157894735</v>
      </c>
      <c r="AL118" s="90">
        <f t="shared" si="128"/>
        <v>0.85000000000000009</v>
      </c>
      <c r="AM118" s="90">
        <f t="shared" si="128"/>
        <v>0.47826086956521729</v>
      </c>
      <c r="AN118" s="90">
        <f t="shared" si="128"/>
        <v>0.19999999999999996</v>
      </c>
      <c r="AO118" s="76">
        <f t="shared" si="128"/>
        <v>0.47126436781609193</v>
      </c>
      <c r="AP118" s="90">
        <f t="shared" si="128"/>
        <v>7.4074074074074181E-2</v>
      </c>
      <c r="AQ118" s="90">
        <f t="shared" si="128"/>
        <v>-8.108108108108103E-2</v>
      </c>
      <c r="AR118" s="90">
        <f t="shared" si="128"/>
        <v>0</v>
      </c>
      <c r="AS118" s="90">
        <f t="shared" si="128"/>
        <v>0.5</v>
      </c>
      <c r="AT118" s="76">
        <f t="shared" si="128"/>
        <v>0.109375</v>
      </c>
      <c r="AU118" s="90">
        <f t="shared" si="128"/>
        <v>0.27586206896551735</v>
      </c>
      <c r="AV118" s="90">
        <f t="shared" si="128"/>
        <v>0.17647058823529416</v>
      </c>
      <c r="AW118" s="90">
        <f t="shared" si="128"/>
        <v>0.26470588235294112</v>
      </c>
      <c r="AX118" s="90">
        <f t="shared" si="128"/>
        <v>0.39999999999999991</v>
      </c>
      <c r="AY118" s="76">
        <f t="shared" si="128"/>
        <v>0.28873239436619724</v>
      </c>
      <c r="AZ118" s="90">
        <f t="shared" si="128"/>
        <v>0.13513513513513509</v>
      </c>
      <c r="BA118" s="90">
        <f t="shared" si="128"/>
        <v>0.30000000000000004</v>
      </c>
      <c r="BB118" s="90">
        <f t="shared" si="128"/>
        <v>0.20930232558139528</v>
      </c>
      <c r="BC118" s="90">
        <f t="shared" si="128"/>
        <v>-0.1428571428571429</v>
      </c>
      <c r="BD118" s="76">
        <f t="shared" si="128"/>
        <v>9.2896174863388081E-2</v>
      </c>
      <c r="BE118" s="76">
        <f t="shared" si="128"/>
        <v>0.19047619047619047</v>
      </c>
      <c r="BF118" s="76">
        <f t="shared" si="128"/>
        <v>5.7692307692307709E-2</v>
      </c>
      <c r="BG118" s="76">
        <f t="shared" si="128"/>
        <v>0.11538461538461542</v>
      </c>
      <c r="BH118" s="76">
        <f t="shared" si="128"/>
        <v>1.8518518518518601E-2</v>
      </c>
      <c r="BI118" s="90">
        <f t="shared" si="128"/>
        <v>9.000000000000008E-2</v>
      </c>
      <c r="BJ118" s="76">
        <f t="shared" si="128"/>
        <v>0.1399999999999999</v>
      </c>
      <c r="BK118" s="76">
        <f t="shared" si="128"/>
        <v>7.2727272727272751E-2</v>
      </c>
      <c r="BL118" s="76">
        <f t="shared" si="128"/>
        <v>1.7241379310344751E-2</v>
      </c>
      <c r="BM118" s="76">
        <f t="shared" si="128"/>
        <v>0.1272727272727272</v>
      </c>
      <c r="BN118" s="90">
        <f>BN115/BI115-1</f>
        <v>8.7155963302752326E-2</v>
      </c>
      <c r="BO118" s="76">
        <f t="shared" si="128"/>
        <v>-3.5087719298245612E-2</v>
      </c>
      <c r="BP118" s="76">
        <f t="shared" si="128"/>
        <v>0.20338983050847448</v>
      </c>
      <c r="BQ118" s="76">
        <f t="shared" si="128"/>
        <v>0.16949152542372881</v>
      </c>
      <c r="BR118" s="76">
        <f t="shared" si="128"/>
        <v>0.11290322580645151</v>
      </c>
      <c r="BS118" s="90">
        <f>BS115/BN115-1</f>
        <v>0.11392405063291133</v>
      </c>
      <c r="BT118" s="76">
        <f t="shared" si="128"/>
        <v>0.18181818181818188</v>
      </c>
      <c r="BU118" s="76">
        <f t="shared" si="128"/>
        <v>-0.15492957746478875</v>
      </c>
      <c r="BV118" s="76">
        <f t="shared" si="128"/>
        <v>-7.2463768115942018E-2</v>
      </c>
      <c r="BW118" s="76">
        <f t="shared" si="128"/>
        <v>-0.17391304347826086</v>
      </c>
      <c r="BX118" s="90">
        <f>BX115/BS115-1</f>
        <v>-6.8181818181818232E-2</v>
      </c>
      <c r="BY118" s="76">
        <f t="shared" si="129"/>
        <v>-0.24615384615384617</v>
      </c>
      <c r="BZ118" s="76">
        <f t="shared" si="129"/>
        <v>1.6666666666666607E-2</v>
      </c>
      <c r="CA118" s="76">
        <f t="shared" si="129"/>
        <v>-7.8125E-2</v>
      </c>
      <c r="CB118" s="76">
        <f t="shared" si="129"/>
        <v>8.7719298245614086E-2</v>
      </c>
      <c r="CC118" s="90">
        <f>CC115/BX115-1</f>
        <v>-6.0975609756097615E-2</v>
      </c>
      <c r="CD118" s="76">
        <f t="shared" si="129"/>
        <v>0.1020408163265305</v>
      </c>
      <c r="CE118" s="76">
        <f t="shared" si="129"/>
        <v>-6.557377049180324E-2</v>
      </c>
      <c r="CF118" s="76">
        <f t="shared" si="129"/>
        <v>0.11864406779661008</v>
      </c>
      <c r="CG118" s="76">
        <f t="shared" si="129"/>
        <v>3.2258064516129004E-2</v>
      </c>
      <c r="CH118" s="90">
        <f>CH115/CC115-1</f>
        <v>4.3290043290043378E-2</v>
      </c>
      <c r="CI118" s="76">
        <f t="shared" si="129"/>
        <v>0.11111111111111116</v>
      </c>
      <c r="CJ118" s="76">
        <f t="shared" si="129"/>
        <v>9.6491228070175517E-2</v>
      </c>
      <c r="CK118" s="76">
        <f t="shared" si="129"/>
        <v>-6.0606060606060552E-2</v>
      </c>
      <c r="CL118" s="76">
        <f t="shared" si="129"/>
        <v>-9.375E-2</v>
      </c>
      <c r="CM118" s="90">
        <f t="shared" si="129"/>
        <v>6.2240663900414717E-3</v>
      </c>
      <c r="CN118" s="90">
        <f t="shared" si="129"/>
        <v>-3.3333333333333326E-2</v>
      </c>
      <c r="CO118" s="90">
        <f t="shared" si="129"/>
        <v>-4.0000000000000036E-2</v>
      </c>
      <c r="CP118" s="90">
        <f t="shared" si="129"/>
        <v>-6.4516129032258118E-2</v>
      </c>
      <c r="CQ118" s="90">
        <f t="shared" si="129"/>
        <v>-1.7241379310344862E-2</v>
      </c>
      <c r="CR118" s="90">
        <f>CR115/CM115-1</f>
        <v>-3.9175257731958735E-2</v>
      </c>
      <c r="CS118" s="90">
        <f t="shared" si="129"/>
        <v>1.7241379310344751E-2</v>
      </c>
      <c r="CT118" s="90">
        <f t="shared" si="129"/>
        <v>-0.28333333333333333</v>
      </c>
      <c r="CU118" s="90">
        <f t="shared" si="129"/>
        <v>-0.13793103448275867</v>
      </c>
      <c r="CV118" s="90">
        <f t="shared" si="129"/>
        <v>-0.1228070175438597</v>
      </c>
      <c r="CW118" s="90">
        <f>CW115/CR115-1</f>
        <v>-0.13304721030042921</v>
      </c>
      <c r="CX118" s="90">
        <f t="shared" si="129"/>
        <v>-0.11864406779661019</v>
      </c>
      <c r="CY118" s="90">
        <f t="shared" ref="CO118:DA119" si="131">CY115/CT115-1</f>
        <v>0.20930232558139528</v>
      </c>
      <c r="CZ118" s="90">
        <f t="shared" si="131"/>
        <v>0.10000000000000009</v>
      </c>
      <c r="DA118" s="90">
        <f t="shared" si="131"/>
        <v>-4.0000000000000036E-2</v>
      </c>
      <c r="DB118" s="90">
        <f t="shared" si="130"/>
        <v>2.4752475247524774E-2</v>
      </c>
      <c r="DC118" s="75">
        <f t="shared" si="130"/>
        <v>0</v>
      </c>
      <c r="DD118" s="75">
        <f t="shared" si="130"/>
        <v>-0.13461538461538458</v>
      </c>
      <c r="DE118" s="75">
        <f t="shared" si="130"/>
        <v>-0.12727272727272732</v>
      </c>
      <c r="DF118" s="75">
        <f t="shared" si="130"/>
        <v>-0.14583333333333337</v>
      </c>
      <c r="DG118" s="90">
        <f>DG115/DB115-1</f>
        <v>-0.10144927536231885</v>
      </c>
      <c r="DH118" s="90">
        <v>-0.2</v>
      </c>
      <c r="DI118" s="90">
        <v>-0.2</v>
      </c>
      <c r="DJ118" s="90">
        <v>-0.2</v>
      </c>
      <c r="DK118" s="90">
        <v>-0.2</v>
      </c>
      <c r="DL118" s="188">
        <f>DL115/DG115-1</f>
        <v>-0.19999999999999996</v>
      </c>
      <c r="DM118" s="188">
        <v>-0.2</v>
      </c>
      <c r="DN118" s="188">
        <v>-0.2</v>
      </c>
      <c r="DO118" s="188">
        <v>-0.2</v>
      </c>
      <c r="DP118" s="188">
        <v>-0.2</v>
      </c>
    </row>
    <row r="119" spans="1:120" x14ac:dyDescent="0.2">
      <c r="A119" s="78" t="s">
        <v>56</v>
      </c>
      <c r="B119" s="79"/>
      <c r="C119" s="79"/>
      <c r="D119" s="79"/>
      <c r="E119" s="79"/>
      <c r="F119" s="79"/>
      <c r="G119" s="80"/>
      <c r="H119" s="80"/>
      <c r="I119" s="80"/>
      <c r="J119" s="80"/>
      <c r="K119" s="80"/>
      <c r="L119" s="80">
        <f>L116/G116-1</f>
        <v>0.86666666666666647</v>
      </c>
      <c r="M119" s="80">
        <f>M116/H116-1</f>
        <v>7.2999999999999989</v>
      </c>
      <c r="N119" s="80">
        <f t="shared" si="128"/>
        <v>1.7999999999999998</v>
      </c>
      <c r="O119" s="80">
        <f t="shared" si="128"/>
        <v>0.74285714285714266</v>
      </c>
      <c r="P119" s="80">
        <f t="shared" si="128"/>
        <v>1.4866666666666664</v>
      </c>
      <c r="Q119" s="80">
        <f t="shared" si="128"/>
        <v>0.96428571428571441</v>
      </c>
      <c r="R119" s="80">
        <f t="shared" si="128"/>
        <v>0.80722891566265087</v>
      </c>
      <c r="S119" s="80">
        <f t="shared" si="128"/>
        <v>0.4285714285714286</v>
      </c>
      <c r="T119" s="80">
        <f t="shared" si="128"/>
        <v>0.55737704918032804</v>
      </c>
      <c r="U119" s="80">
        <f t="shared" si="128"/>
        <v>0.6353887399463809</v>
      </c>
      <c r="V119" s="80">
        <f t="shared" si="128"/>
        <v>0.90909090909090917</v>
      </c>
      <c r="W119" s="80">
        <f t="shared" si="128"/>
        <v>0.53333333333333344</v>
      </c>
      <c r="X119" s="80">
        <f t="shared" si="128"/>
        <v>0.5625</v>
      </c>
      <c r="Y119" s="80">
        <f t="shared" si="128"/>
        <v>0.47368421052631571</v>
      </c>
      <c r="Z119" s="80">
        <f t="shared" si="128"/>
        <v>0.52459016393442615</v>
      </c>
      <c r="AA119" s="80">
        <f t="shared" si="128"/>
        <v>0.38095238095238093</v>
      </c>
      <c r="AB119" s="80">
        <f t="shared" si="128"/>
        <v>0.52173913043478271</v>
      </c>
      <c r="AC119" s="80">
        <f t="shared" si="128"/>
        <v>0.48</v>
      </c>
      <c r="AD119" s="80">
        <f t="shared" si="128"/>
        <v>0.4285714285714286</v>
      </c>
      <c r="AE119" s="80">
        <f t="shared" si="128"/>
        <v>0.4946236559139785</v>
      </c>
      <c r="AF119" s="80">
        <f t="shared" si="128"/>
        <v>0.44827586206896552</v>
      </c>
      <c r="AG119" s="80">
        <f t="shared" si="128"/>
        <v>0.31428571428571428</v>
      </c>
      <c r="AH119" s="80">
        <f t="shared" si="128"/>
        <v>0.35135135135135132</v>
      </c>
      <c r="AI119" s="80">
        <f t="shared" si="128"/>
        <v>0.32499999999999996</v>
      </c>
      <c r="AJ119" s="80">
        <f t="shared" si="128"/>
        <v>0.37410071942446033</v>
      </c>
      <c r="AK119" s="80">
        <f t="shared" si="128"/>
        <v>0.30952380952380953</v>
      </c>
      <c r="AL119" s="80">
        <f t="shared" si="128"/>
        <v>0.54347826086956519</v>
      </c>
      <c r="AM119" s="80">
        <f t="shared" si="128"/>
        <v>0.41999999999999993</v>
      </c>
      <c r="AN119" s="80">
        <f t="shared" si="128"/>
        <v>0.28301886792452824</v>
      </c>
      <c r="AO119" s="80">
        <f t="shared" si="128"/>
        <v>0.38743455497382207</v>
      </c>
      <c r="AP119" s="80">
        <f t="shared" si="128"/>
        <v>0.1272727272727272</v>
      </c>
      <c r="AQ119" s="80">
        <f t="shared" si="128"/>
        <v>0</v>
      </c>
      <c r="AR119" s="80">
        <f t="shared" si="128"/>
        <v>2.8169014084507005E-2</v>
      </c>
      <c r="AS119" s="80">
        <f t="shared" si="128"/>
        <v>0.29411764705882359</v>
      </c>
      <c r="AT119" s="80">
        <f t="shared" si="128"/>
        <v>0.10943396226415092</v>
      </c>
      <c r="AU119" s="80">
        <f t="shared" si="128"/>
        <v>0.20967741935483875</v>
      </c>
      <c r="AV119" s="80">
        <f t="shared" si="128"/>
        <v>0.16901408450704225</v>
      </c>
      <c r="AW119" s="80">
        <f t="shared" si="128"/>
        <v>0.24657534246575352</v>
      </c>
      <c r="AX119" s="80">
        <f t="shared" si="128"/>
        <v>0.28409090909090917</v>
      </c>
      <c r="AY119" s="80">
        <f t="shared" si="128"/>
        <v>0.23129251700680276</v>
      </c>
      <c r="AZ119" s="80">
        <f t="shared" si="128"/>
        <v>0.14666666666666672</v>
      </c>
      <c r="BA119" s="80">
        <f t="shared" si="128"/>
        <v>0.24096385542168686</v>
      </c>
      <c r="BB119" s="80">
        <f t="shared" si="128"/>
        <v>0.17582417582417587</v>
      </c>
      <c r="BC119" s="80">
        <f t="shared" si="128"/>
        <v>-3.539823008849563E-2</v>
      </c>
      <c r="BD119" s="80">
        <f t="shared" si="128"/>
        <v>0.11878453038674031</v>
      </c>
      <c r="BE119" s="80">
        <f t="shared" si="128"/>
        <v>0.17441860465116288</v>
      </c>
      <c r="BF119" s="80">
        <f t="shared" si="128"/>
        <v>6.7961165048543659E-2</v>
      </c>
      <c r="BG119" s="80">
        <f>BG116/BB116-1</f>
        <v>0.10280373831775691</v>
      </c>
      <c r="BH119" s="80">
        <f>BH116/BC116-1</f>
        <v>6.4220183486238591E-2</v>
      </c>
      <c r="BI119" s="80">
        <f t="shared" si="128"/>
        <v>9.8765432098765427E-2</v>
      </c>
      <c r="BJ119" s="80">
        <f t="shared" si="128"/>
        <v>9.9009900990099098E-2</v>
      </c>
      <c r="BK119" s="91">
        <f>BK116/BF116-1</f>
        <v>9.0909090909090828E-2</v>
      </c>
      <c r="BL119" s="91">
        <f>BL116/BG116-1</f>
        <v>9.3220338983050821E-2</v>
      </c>
      <c r="BM119" s="91">
        <f>BM116/BH116-1</f>
        <v>0.10344827586206895</v>
      </c>
      <c r="BN119" s="80">
        <f>BN116/BI116-1</f>
        <v>9.6629213483146126E-2</v>
      </c>
      <c r="BO119" s="80">
        <f>BO116/BJ116-1</f>
        <v>3.6036036036036112E-2</v>
      </c>
      <c r="BP119" s="91">
        <f>BP116/BK116-1</f>
        <v>0.125</v>
      </c>
      <c r="BQ119" s="91">
        <f>BQ116/BL116-1</f>
        <v>9.3023255813953432E-2</v>
      </c>
      <c r="BR119" s="91">
        <f>BR116/BM116-1</f>
        <v>8.59375E-2</v>
      </c>
      <c r="BS119" s="80">
        <f>BS116/BN116-1</f>
        <v>8.6065573770491843E-2</v>
      </c>
      <c r="BT119" s="80">
        <f>BT116/BO116-1</f>
        <v>0.14782608695652177</v>
      </c>
      <c r="BU119" s="80">
        <f>BU116/BP116-1</f>
        <v>2.9629629629629672E-2</v>
      </c>
      <c r="BV119" s="91">
        <f>BV116/BQ116-1</f>
        <v>8.5106382978723305E-2</v>
      </c>
      <c r="BW119" s="91">
        <f>BW116/BR116-1</f>
        <v>3.5971223021582732E-2</v>
      </c>
      <c r="BX119" s="80">
        <f>BX116/BS116-1</f>
        <v>7.1698113207547154E-2</v>
      </c>
      <c r="BY119" s="80">
        <f>BY116/BT116-1</f>
        <v>-0.13636363636363635</v>
      </c>
      <c r="BZ119" s="80">
        <f>BZ116/BU116-1</f>
        <v>2.1582733812949728E-2</v>
      </c>
      <c r="CA119" s="80">
        <f>CA116/BV116-1</f>
        <v>-6.5359477124182774E-3</v>
      </c>
      <c r="CB119" s="80">
        <f>CB116/BW116-1</f>
        <v>5.555555555555558E-2</v>
      </c>
      <c r="CC119" s="80">
        <f>CC116/BX116-1</f>
        <v>-1.4084507042253502E-2</v>
      </c>
      <c r="CD119" s="80">
        <f>CD116/BY116-1</f>
        <v>0.19298245614035081</v>
      </c>
      <c r="CE119" s="80">
        <f>CE116/BZ116-1</f>
        <v>5.6338028169014009E-2</v>
      </c>
      <c r="CF119" s="80">
        <f>CF116/CA116-1</f>
        <v>4.6052631578947345E-2</v>
      </c>
      <c r="CG119" s="80">
        <f>CG116/CB116-1</f>
        <v>3.289473684210531E-2</v>
      </c>
      <c r="CH119" s="80">
        <f>CH116/CC116-1</f>
        <v>7.4999999999999956E-2</v>
      </c>
      <c r="CI119" s="80">
        <f>CI116/CD116-1</f>
        <v>0.11029411764705888</v>
      </c>
      <c r="CJ119" s="80">
        <f>CJ116/CE116-1</f>
        <v>-6.6666666666667096E-3</v>
      </c>
      <c r="CK119" s="80">
        <f>CK116/CF116-1</f>
        <v>-0.14465408805031443</v>
      </c>
      <c r="CL119" s="80">
        <f>CL116/CG116-1</f>
        <v>-0.62420382165605093</v>
      </c>
      <c r="CM119" s="80">
        <f t="shared" si="129"/>
        <v>-0.17774086378737541</v>
      </c>
      <c r="CN119" s="80">
        <f t="shared" si="129"/>
        <v>-0.52317880794701987</v>
      </c>
      <c r="CO119" s="80">
        <f t="shared" si="131"/>
        <v>-0.47651006711409394</v>
      </c>
      <c r="CP119" s="80">
        <f t="shared" si="131"/>
        <v>-0.58088235294117641</v>
      </c>
      <c r="CQ119" s="80">
        <f t="shared" si="131"/>
        <v>-3.3898305084745783E-2</v>
      </c>
      <c r="CR119" s="80">
        <f>CR116/CM116-1</f>
        <v>-0.46666666666666667</v>
      </c>
      <c r="CS119" s="80">
        <f t="shared" si="131"/>
        <v>-0.11111111111111116</v>
      </c>
      <c r="CT119" s="80">
        <f t="shared" si="131"/>
        <v>-0.44871794871794868</v>
      </c>
      <c r="CU119" s="80">
        <f t="shared" si="131"/>
        <v>-0.10526315789473684</v>
      </c>
      <c r="CV119" s="80">
        <f t="shared" si="131"/>
        <v>-7.0175438596491224E-2</v>
      </c>
      <c r="CW119" s="80">
        <f>CW116/CR116-1</f>
        <v>-0.2007575757575758</v>
      </c>
      <c r="CX119" s="80">
        <f>CX116/CS116-1</f>
        <v>-0.125</v>
      </c>
      <c r="CY119" s="80">
        <f>CY116/CT116-1</f>
        <v>0.11627906976744184</v>
      </c>
      <c r="CZ119" s="80">
        <f>CZ116/CU116-1</f>
        <v>3.9215686274509887E-2</v>
      </c>
      <c r="DA119" s="80">
        <f>DA116/CV116-1</f>
        <v>-0.15094339622641506</v>
      </c>
      <c r="DB119" s="80">
        <f t="shared" si="130"/>
        <v>-4.2654028436018954E-2</v>
      </c>
      <c r="DC119" s="80">
        <f t="shared" si="130"/>
        <v>-5.3571428571428603E-2</v>
      </c>
      <c r="DD119" s="80">
        <f>DD116/CY116-1</f>
        <v>-2.083333333333337E-2</v>
      </c>
      <c r="DE119" s="80">
        <f>DE116/CZ116-1</f>
        <v>-5.6603773584905648E-2</v>
      </c>
      <c r="DF119" s="80">
        <f>DF116/DA116-1</f>
        <v>-8.8888888888888906E-2</v>
      </c>
      <c r="DG119" s="80">
        <f>DG116/DB116-1</f>
        <v>-5.4455445544554504E-2</v>
      </c>
      <c r="DH119" s="80">
        <f>DH116/DC116-1</f>
        <v>-0.20000000000000007</v>
      </c>
      <c r="DI119" s="80">
        <f>DI116/DD116-1</f>
        <v>-0.19999999999999996</v>
      </c>
      <c r="DJ119" s="80">
        <f>DJ116/DE116-1</f>
        <v>-0.19999999999999984</v>
      </c>
      <c r="DK119" s="80">
        <f>DK116/DF116-1</f>
        <v>-0.19999999999999984</v>
      </c>
      <c r="DL119" s="189">
        <f>DL116/DG116-1</f>
        <v>-0.19999999999999996</v>
      </c>
      <c r="DM119" s="189">
        <f t="shared" ref="DM119:DP119" si="132">DM116/DL116-1</f>
        <v>-0.19999999999999996</v>
      </c>
      <c r="DN119" s="189">
        <f t="shared" si="132"/>
        <v>-0.19999999999999996</v>
      </c>
      <c r="DO119" s="189">
        <f t="shared" si="132"/>
        <v>-0.19999999999999996</v>
      </c>
      <c r="DP119" s="189">
        <f t="shared" si="132"/>
        <v>-0.20000000000000007</v>
      </c>
    </row>
    <row r="120" spans="1:120" x14ac:dyDescent="0.2">
      <c r="A120" s="36" t="s">
        <v>114</v>
      </c>
      <c r="G120" s="75"/>
      <c r="H120" s="75"/>
      <c r="I120" s="75"/>
      <c r="J120" s="75"/>
      <c r="K120" s="75"/>
      <c r="L120" s="75"/>
      <c r="M120" s="75"/>
      <c r="N120" s="75"/>
      <c r="O120" s="90"/>
      <c r="P120" s="75"/>
      <c r="Q120" s="90"/>
      <c r="R120" s="90"/>
      <c r="S120" s="90"/>
      <c r="T120" s="90"/>
      <c r="U120" s="119"/>
      <c r="V120" s="119"/>
      <c r="W120" s="119"/>
      <c r="X120" s="119"/>
      <c r="Y120" s="119"/>
      <c r="Z120" s="119"/>
      <c r="AA120" s="119"/>
      <c r="AB120" s="119"/>
      <c r="AC120" s="119"/>
      <c r="AD120" s="119"/>
      <c r="AE120" s="120"/>
      <c r="AF120" s="119"/>
      <c r="AG120" s="119"/>
      <c r="AH120" s="119"/>
      <c r="AI120" s="119"/>
      <c r="AJ120" s="120"/>
      <c r="AK120" s="119"/>
      <c r="AL120" s="119"/>
      <c r="AM120" s="119"/>
      <c r="AN120" s="119"/>
      <c r="AO120" s="120"/>
      <c r="AP120" s="119"/>
      <c r="AQ120" s="121"/>
      <c r="AR120" s="121"/>
      <c r="AS120" s="121"/>
      <c r="AT120" s="120"/>
      <c r="AU120" s="120"/>
      <c r="AV120" s="120"/>
      <c r="AW120" s="120"/>
      <c r="AX120" s="120"/>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72"/>
      <c r="BU120" s="72"/>
      <c r="BV120" s="72"/>
      <c r="BW120" s="72"/>
      <c r="BX120" s="120"/>
      <c r="BY120" s="120"/>
      <c r="BZ120" s="120"/>
      <c r="CA120" s="120"/>
      <c r="CB120" s="120"/>
      <c r="CC120" s="120"/>
      <c r="CD120" s="120"/>
      <c r="CE120" s="120"/>
      <c r="CF120" s="120"/>
      <c r="CG120" s="120"/>
      <c r="CH120" s="120"/>
      <c r="CI120" s="120"/>
      <c r="CJ120" s="120"/>
      <c r="CK120" s="120"/>
      <c r="CL120" s="120"/>
      <c r="CM120" s="120"/>
      <c r="CN120" s="120"/>
      <c r="CO120" s="120"/>
      <c r="CP120" s="120"/>
      <c r="CQ120" s="120"/>
      <c r="CR120" s="120"/>
      <c r="CS120" s="36"/>
      <c r="CT120" s="36">
        <v>17</v>
      </c>
      <c r="CU120" s="36">
        <v>20</v>
      </c>
      <c r="CV120" s="36">
        <v>17</v>
      </c>
      <c r="CW120" s="72">
        <f>SUM(CS120:CV120)</f>
        <v>54</v>
      </c>
      <c r="CX120" s="36">
        <v>-2</v>
      </c>
      <c r="CY120" s="36">
        <v>-2</v>
      </c>
      <c r="CZ120" s="36">
        <v>-1</v>
      </c>
      <c r="DA120" s="36">
        <v>9</v>
      </c>
      <c r="DB120" s="72">
        <f>SUM(CX120:DA120)</f>
        <v>4</v>
      </c>
      <c r="DC120" s="72">
        <v>18</v>
      </c>
      <c r="DD120" s="72">
        <v>22</v>
      </c>
      <c r="DE120" s="72">
        <v>24</v>
      </c>
      <c r="DF120" s="72">
        <v>25</v>
      </c>
      <c r="DG120" s="36">
        <f>SUM(DC120:DF120)</f>
        <v>89</v>
      </c>
      <c r="DH120" s="36">
        <f t="shared" ref="DH120:DK121" si="133">DC120*(1+DH123)</f>
        <v>20.7</v>
      </c>
      <c r="DI120" s="36">
        <f t="shared" si="133"/>
        <v>25.299999999999997</v>
      </c>
      <c r="DJ120" s="36">
        <f t="shared" si="133"/>
        <v>27.599999999999998</v>
      </c>
      <c r="DK120" s="36">
        <f t="shared" si="133"/>
        <v>28.749999999999996</v>
      </c>
      <c r="DL120" s="183">
        <f>SUM(DH120:DK120)</f>
        <v>102.35</v>
      </c>
      <c r="DM120" s="183">
        <f t="shared" ref="DM120:DP121" si="134">DL120*(1+DM123)</f>
        <v>104.39699999999999</v>
      </c>
      <c r="DN120" s="183">
        <f t="shared" si="134"/>
        <v>106.48493999999999</v>
      </c>
      <c r="DO120" s="183">
        <f t="shared" si="134"/>
        <v>108.61463879999999</v>
      </c>
      <c r="DP120" s="183">
        <f t="shared" si="134"/>
        <v>110.786931576</v>
      </c>
    </row>
    <row r="121" spans="1:120" x14ac:dyDescent="0.2">
      <c r="A121" s="36" t="s">
        <v>115</v>
      </c>
      <c r="G121" s="75"/>
      <c r="H121" s="75"/>
      <c r="I121" s="75"/>
      <c r="J121" s="75"/>
      <c r="K121" s="75"/>
      <c r="L121" s="75"/>
      <c r="M121" s="75"/>
      <c r="N121" s="75"/>
      <c r="O121" s="90"/>
      <c r="P121" s="75"/>
      <c r="Q121" s="90"/>
      <c r="R121" s="90"/>
      <c r="S121" s="90"/>
      <c r="T121" s="90"/>
      <c r="U121" s="119"/>
      <c r="V121" s="119"/>
      <c r="W121" s="119"/>
      <c r="X121" s="119"/>
      <c r="Y121" s="119"/>
      <c r="Z121" s="119"/>
      <c r="AA121" s="119"/>
      <c r="AB121" s="119"/>
      <c r="AC121" s="119"/>
      <c r="AD121" s="119"/>
      <c r="AE121" s="120"/>
      <c r="AF121" s="119"/>
      <c r="AG121" s="119"/>
      <c r="AH121" s="119"/>
      <c r="AI121" s="119"/>
      <c r="AJ121" s="120"/>
      <c r="AK121" s="119"/>
      <c r="AL121" s="119"/>
      <c r="AM121" s="119"/>
      <c r="AN121" s="119"/>
      <c r="AO121" s="120"/>
      <c r="AP121" s="119"/>
      <c r="AQ121" s="121"/>
      <c r="AR121" s="121"/>
      <c r="AS121" s="121"/>
      <c r="AT121" s="120"/>
      <c r="AU121" s="120"/>
      <c r="AV121" s="120"/>
      <c r="AW121" s="120"/>
      <c r="AX121" s="120"/>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72"/>
      <c r="BU121" s="72"/>
      <c r="BV121" s="72"/>
      <c r="BW121" s="72"/>
      <c r="BX121" s="120"/>
      <c r="BY121" s="120"/>
      <c r="BZ121" s="120"/>
      <c r="CA121" s="120"/>
      <c r="CB121" s="120"/>
      <c r="CC121" s="120"/>
      <c r="CD121" s="120"/>
      <c r="CE121" s="120"/>
      <c r="CF121" s="120"/>
      <c r="CG121" s="120"/>
      <c r="CH121" s="120"/>
      <c r="CI121" s="120"/>
      <c r="CJ121" s="120"/>
      <c r="CK121" s="120"/>
      <c r="CL121" s="120"/>
      <c r="CM121" s="120"/>
      <c r="CN121" s="120"/>
      <c r="CO121" s="120"/>
      <c r="CP121" s="120"/>
      <c r="CQ121" s="120"/>
      <c r="CR121" s="120"/>
      <c r="CS121" s="36"/>
      <c r="CT121" s="36">
        <v>15</v>
      </c>
      <c r="CU121" s="36">
        <v>23</v>
      </c>
      <c r="CV121" s="36">
        <v>2</v>
      </c>
      <c r="CW121" s="72">
        <f>SUM(CS121:CV121)</f>
        <v>40</v>
      </c>
      <c r="CX121" s="36">
        <v>-6</v>
      </c>
      <c r="CY121" s="36">
        <v>1</v>
      </c>
      <c r="CZ121" s="36">
        <v>-1</v>
      </c>
      <c r="DA121" s="36">
        <v>1</v>
      </c>
      <c r="DB121" s="72">
        <f>SUM(CX121:DA121)</f>
        <v>-5</v>
      </c>
      <c r="DC121" s="72">
        <v>12</v>
      </c>
      <c r="DD121" s="72">
        <v>24</v>
      </c>
      <c r="DE121" s="72">
        <v>19</v>
      </c>
      <c r="DF121" s="72">
        <v>24</v>
      </c>
      <c r="DG121" s="36">
        <f>SUM(DC121:DF121)</f>
        <v>79</v>
      </c>
      <c r="DH121" s="36">
        <f t="shared" si="133"/>
        <v>13.799999999999999</v>
      </c>
      <c r="DI121" s="36">
        <f t="shared" si="133"/>
        <v>27.599999999999998</v>
      </c>
      <c r="DJ121" s="36">
        <f t="shared" si="133"/>
        <v>21.849999999999998</v>
      </c>
      <c r="DK121" s="36">
        <f t="shared" si="133"/>
        <v>27.599999999999998</v>
      </c>
      <c r="DL121" s="183">
        <f>SUM(DH121:DK121)</f>
        <v>90.85</v>
      </c>
      <c r="DM121" s="183">
        <f t="shared" si="134"/>
        <v>92.667000000000002</v>
      </c>
      <c r="DN121" s="183">
        <f t="shared" si="134"/>
        <v>94.520340000000004</v>
      </c>
      <c r="DO121" s="183">
        <f t="shared" si="134"/>
        <v>96.410746800000013</v>
      </c>
      <c r="DP121" s="183">
        <f t="shared" si="134"/>
        <v>98.338961736000016</v>
      </c>
    </row>
    <row r="122" spans="1:120" x14ac:dyDescent="0.2">
      <c r="A122" s="39" t="s">
        <v>116</v>
      </c>
      <c r="G122" s="67"/>
      <c r="H122" s="67"/>
      <c r="I122" s="67"/>
      <c r="J122" s="67"/>
      <c r="K122" s="67"/>
      <c r="L122" s="67"/>
      <c r="M122" s="67"/>
      <c r="N122" s="67"/>
      <c r="O122" s="92"/>
      <c r="P122" s="67"/>
      <c r="Q122" s="92"/>
      <c r="R122" s="92"/>
      <c r="S122" s="92"/>
      <c r="T122" s="92"/>
      <c r="U122" s="93"/>
      <c r="V122" s="93"/>
      <c r="W122" s="93"/>
      <c r="X122" s="93"/>
      <c r="Y122" s="93"/>
      <c r="Z122" s="93"/>
      <c r="AA122" s="93"/>
      <c r="AB122" s="93"/>
      <c r="AC122" s="93"/>
      <c r="AD122" s="93"/>
      <c r="AE122" s="94"/>
      <c r="AF122" s="93"/>
      <c r="AG122" s="93"/>
      <c r="AH122" s="93"/>
      <c r="AI122" s="93"/>
      <c r="AJ122" s="94"/>
      <c r="AK122" s="93"/>
      <c r="AL122" s="93"/>
      <c r="AM122" s="93"/>
      <c r="AN122" s="93"/>
      <c r="AO122" s="94"/>
      <c r="AP122" s="93"/>
      <c r="AQ122" s="122"/>
      <c r="AR122" s="122"/>
      <c r="AS122" s="122"/>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c r="BY122" s="94"/>
      <c r="BZ122" s="94"/>
      <c r="CA122" s="94"/>
      <c r="CB122" s="94"/>
      <c r="CC122" s="94"/>
      <c r="CD122" s="94"/>
      <c r="CE122" s="94"/>
      <c r="CF122" s="94"/>
      <c r="CG122" s="94"/>
      <c r="CH122" s="94"/>
      <c r="CI122" s="94"/>
      <c r="CJ122" s="94"/>
      <c r="CK122" s="94"/>
      <c r="CL122" s="94"/>
      <c r="CM122" s="94"/>
      <c r="CN122" s="94"/>
      <c r="CO122" s="94"/>
      <c r="CP122" s="94"/>
      <c r="CQ122" s="94"/>
      <c r="CR122" s="94"/>
      <c r="CS122" s="39"/>
      <c r="CT122" s="39">
        <f>CT121+CT120</f>
        <v>32</v>
      </c>
      <c r="CU122" s="39">
        <f>CU121+CU120</f>
        <v>43</v>
      </c>
      <c r="CV122" s="39">
        <f>CV121+CV120</f>
        <v>19</v>
      </c>
      <c r="CW122" s="74">
        <f>SUM(CS122:CV122)</f>
        <v>94</v>
      </c>
      <c r="CX122" s="39">
        <f>SUM(CX120:CX121)</f>
        <v>-8</v>
      </c>
      <c r="CY122" s="39">
        <f>SUM(CY120:CY121)</f>
        <v>-1</v>
      </c>
      <c r="CZ122" s="39">
        <f>SUM(CZ120:CZ121)</f>
        <v>-2</v>
      </c>
      <c r="DA122" s="39">
        <f>SUM(DA120:DA121)</f>
        <v>10</v>
      </c>
      <c r="DB122" s="74">
        <f>SUM(CX122:DA122)</f>
        <v>-1</v>
      </c>
      <c r="DC122" s="74">
        <f>DC121+DC120</f>
        <v>30</v>
      </c>
      <c r="DD122" s="74">
        <f>DD121+DD120</f>
        <v>46</v>
      </c>
      <c r="DE122" s="74">
        <f>DE121+DE120</f>
        <v>43</v>
      </c>
      <c r="DF122" s="74">
        <f>DF121+DF120</f>
        <v>49</v>
      </c>
      <c r="DG122" s="39">
        <f>SUM(DC122:DF122)</f>
        <v>168</v>
      </c>
      <c r="DH122" s="39">
        <f>DH121+DH120</f>
        <v>34.5</v>
      </c>
      <c r="DI122" s="39">
        <f>DI121+DI120</f>
        <v>52.899999999999991</v>
      </c>
      <c r="DJ122" s="39">
        <f>DJ121+DJ120</f>
        <v>49.449999999999996</v>
      </c>
      <c r="DK122" s="39">
        <f>DK121+DK120</f>
        <v>56.349999999999994</v>
      </c>
      <c r="DL122" s="187">
        <f>SUM(DH122:DK122)</f>
        <v>193.2</v>
      </c>
      <c r="DM122" s="187">
        <f t="shared" ref="DM122:DP122" si="135">DM121+DM120</f>
        <v>197.06399999999999</v>
      </c>
      <c r="DN122" s="187">
        <f t="shared" si="135"/>
        <v>201.00528</v>
      </c>
      <c r="DO122" s="187">
        <f t="shared" si="135"/>
        <v>205.02538559999999</v>
      </c>
      <c r="DP122" s="187">
        <f t="shared" si="135"/>
        <v>209.12589331200002</v>
      </c>
    </row>
    <row r="123" spans="1:120" x14ac:dyDescent="0.2">
      <c r="A123" s="68" t="s">
        <v>54</v>
      </c>
      <c r="B123" s="31"/>
      <c r="C123" s="31"/>
      <c r="D123" s="31"/>
      <c r="E123" s="31"/>
      <c r="F123" s="31"/>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75"/>
      <c r="AF123" s="76"/>
      <c r="AG123" s="76"/>
      <c r="AH123" s="111"/>
      <c r="AI123" s="111"/>
      <c r="AJ123" s="75"/>
      <c r="AK123" s="76"/>
      <c r="AL123" s="76"/>
      <c r="AM123" s="111"/>
      <c r="AN123" s="111"/>
      <c r="AO123" s="75"/>
      <c r="AP123" s="76"/>
      <c r="AQ123" s="76"/>
      <c r="AR123" s="111"/>
      <c r="AS123" s="111"/>
      <c r="AT123" s="75"/>
      <c r="AU123" s="76"/>
      <c r="AV123" s="76"/>
      <c r="AW123" s="111"/>
      <c r="AX123" s="111"/>
      <c r="AY123" s="75"/>
      <c r="AZ123" s="76"/>
      <c r="BA123" s="76"/>
      <c r="BB123" s="111"/>
      <c r="BC123" s="111"/>
      <c r="BD123" s="75"/>
      <c r="BE123" s="76"/>
      <c r="BF123" s="76"/>
      <c r="BG123" s="111"/>
      <c r="BH123" s="111"/>
      <c r="BI123" s="75"/>
      <c r="BJ123" s="76"/>
      <c r="BK123" s="76"/>
      <c r="BL123" s="111"/>
      <c r="BM123" s="111"/>
      <c r="BN123" s="75"/>
      <c r="BO123" s="76"/>
      <c r="BP123" s="76"/>
      <c r="BQ123" s="111"/>
      <c r="BR123" s="111"/>
      <c r="BS123" s="75"/>
      <c r="BT123" s="76"/>
      <c r="BU123" s="76"/>
      <c r="BV123" s="111"/>
      <c r="BW123" s="111"/>
      <c r="BX123" s="75"/>
      <c r="BY123" s="76"/>
      <c r="BZ123" s="76"/>
      <c r="CA123" s="111"/>
      <c r="CB123" s="111"/>
      <c r="CC123" s="75"/>
      <c r="CD123" s="76"/>
      <c r="CE123" s="76"/>
      <c r="CF123" s="111"/>
      <c r="CG123" s="111"/>
      <c r="CH123" s="75"/>
      <c r="CI123" s="76"/>
      <c r="CJ123" s="76"/>
      <c r="CK123" s="76"/>
      <c r="CL123" s="76"/>
      <c r="CM123" s="77"/>
      <c r="CN123" s="77"/>
      <c r="CO123" s="77"/>
      <c r="CP123" s="77"/>
      <c r="CQ123" s="77"/>
      <c r="CR123" s="77"/>
      <c r="CS123" s="77"/>
      <c r="CT123" s="77"/>
      <c r="CU123" s="77"/>
      <c r="CV123" s="75"/>
      <c r="CW123" s="90"/>
      <c r="CX123" s="77"/>
      <c r="CY123" s="77"/>
      <c r="CZ123" s="77">
        <v>-0.2</v>
      </c>
      <c r="DA123" s="77">
        <v>-0.2</v>
      </c>
      <c r="DB123" s="90">
        <f>DB120/CW120-1</f>
        <v>-0.92592592592592593</v>
      </c>
      <c r="DC123" s="90"/>
      <c r="DD123" s="90"/>
      <c r="DE123" s="90"/>
      <c r="DF123" s="90"/>
      <c r="DG123" s="90"/>
      <c r="DH123" s="90">
        <v>0.15</v>
      </c>
      <c r="DI123" s="90">
        <v>0.15</v>
      </c>
      <c r="DJ123" s="90">
        <v>0.15</v>
      </c>
      <c r="DK123" s="90">
        <v>0.15</v>
      </c>
      <c r="DL123" s="188"/>
      <c r="DM123" s="188">
        <v>0.02</v>
      </c>
      <c r="DN123" s="188">
        <v>0.02</v>
      </c>
      <c r="DO123" s="188">
        <v>0.02</v>
      </c>
      <c r="DP123" s="188">
        <v>0.02</v>
      </c>
    </row>
    <row r="124" spans="1:120" x14ac:dyDescent="0.2">
      <c r="A124" s="68" t="s">
        <v>55</v>
      </c>
      <c r="B124" s="31"/>
      <c r="C124" s="31"/>
      <c r="D124" s="31"/>
      <c r="E124" s="31"/>
      <c r="F124" s="31"/>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75"/>
      <c r="AF124" s="76"/>
      <c r="AG124" s="76"/>
      <c r="AH124" s="111"/>
      <c r="AI124" s="111"/>
      <c r="AJ124" s="75"/>
      <c r="AK124" s="76"/>
      <c r="AL124" s="76"/>
      <c r="AM124" s="111"/>
      <c r="AN124" s="111"/>
      <c r="AO124" s="75"/>
      <c r="AP124" s="76"/>
      <c r="AQ124" s="76"/>
      <c r="AR124" s="111"/>
      <c r="AS124" s="111"/>
      <c r="AT124" s="75"/>
      <c r="AU124" s="76"/>
      <c r="AV124" s="76"/>
      <c r="AW124" s="111"/>
      <c r="AX124" s="111"/>
      <c r="AY124" s="75"/>
      <c r="AZ124" s="76"/>
      <c r="BA124" s="76"/>
      <c r="BB124" s="111"/>
      <c r="BC124" s="111"/>
      <c r="BD124" s="75"/>
      <c r="BE124" s="76"/>
      <c r="BF124" s="76"/>
      <c r="BG124" s="111"/>
      <c r="BH124" s="111"/>
      <c r="BI124" s="75"/>
      <c r="BJ124" s="76"/>
      <c r="BK124" s="76"/>
      <c r="BL124" s="111"/>
      <c r="BM124" s="111"/>
      <c r="BN124" s="75"/>
      <c r="BO124" s="76"/>
      <c r="BP124" s="76"/>
      <c r="BQ124" s="111"/>
      <c r="BR124" s="111"/>
      <c r="BS124" s="75"/>
      <c r="BT124" s="76"/>
      <c r="BU124" s="76"/>
      <c r="BV124" s="111"/>
      <c r="BW124" s="111"/>
      <c r="BX124" s="75"/>
      <c r="BY124" s="76"/>
      <c r="BZ124" s="76"/>
      <c r="CA124" s="111"/>
      <c r="CB124" s="111"/>
      <c r="CC124" s="75"/>
      <c r="CD124" s="76"/>
      <c r="CE124" s="76"/>
      <c r="CF124" s="111"/>
      <c r="CG124" s="111"/>
      <c r="CH124" s="75"/>
      <c r="CI124" s="76"/>
      <c r="CJ124" s="76"/>
      <c r="CK124" s="76"/>
      <c r="CL124" s="76"/>
      <c r="CM124" s="77"/>
      <c r="CN124" s="77"/>
      <c r="CO124" s="77"/>
      <c r="CP124" s="77"/>
      <c r="CQ124" s="77"/>
      <c r="CR124" s="77"/>
      <c r="CS124" s="77"/>
      <c r="CT124" s="77"/>
      <c r="CU124" s="77"/>
      <c r="CV124" s="75"/>
      <c r="CW124" s="90"/>
      <c r="CX124" s="77"/>
      <c r="CY124" s="77"/>
      <c r="CZ124" s="77">
        <v>-0.2</v>
      </c>
      <c r="DA124" s="77">
        <v>-0.2</v>
      </c>
      <c r="DB124" s="90">
        <f>DB121/CW121-1</f>
        <v>-1.125</v>
      </c>
      <c r="DC124" s="90"/>
      <c r="DD124" s="90"/>
      <c r="DE124" s="90"/>
      <c r="DF124" s="90"/>
      <c r="DG124" s="90"/>
      <c r="DH124" s="90">
        <v>0.15</v>
      </c>
      <c r="DI124" s="90">
        <v>0.15</v>
      </c>
      <c r="DJ124" s="90">
        <v>0.15</v>
      </c>
      <c r="DK124" s="90">
        <v>0.15</v>
      </c>
      <c r="DL124" s="188"/>
      <c r="DM124" s="188">
        <v>0.02</v>
      </c>
      <c r="DN124" s="188">
        <v>0.02</v>
      </c>
      <c r="DO124" s="188">
        <v>0.02</v>
      </c>
      <c r="DP124" s="188">
        <v>0.02</v>
      </c>
    </row>
    <row r="125" spans="1:120" x14ac:dyDescent="0.2">
      <c r="A125" s="78" t="s">
        <v>56</v>
      </c>
      <c r="B125" s="79"/>
      <c r="C125" s="79"/>
      <c r="D125" s="79"/>
      <c r="E125" s="79"/>
      <c r="F125" s="79"/>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3"/>
      <c r="AF125" s="83"/>
      <c r="AG125" s="83"/>
      <c r="AH125" s="102"/>
      <c r="AI125" s="102"/>
      <c r="AJ125" s="83"/>
      <c r="AK125" s="83"/>
      <c r="AL125" s="83"/>
      <c r="AM125" s="102"/>
      <c r="AN125" s="102"/>
      <c r="AO125" s="83"/>
      <c r="AP125" s="83"/>
      <c r="AQ125" s="83"/>
      <c r="AR125" s="102"/>
      <c r="AS125" s="102"/>
      <c r="AT125" s="83"/>
      <c r="AU125" s="83"/>
      <c r="AV125" s="83"/>
      <c r="AW125" s="102"/>
      <c r="AX125" s="102"/>
      <c r="AY125" s="83"/>
      <c r="AZ125" s="83"/>
      <c r="BA125" s="83"/>
      <c r="BB125" s="102"/>
      <c r="BC125" s="102"/>
      <c r="BD125" s="83"/>
      <c r="BE125" s="83"/>
      <c r="BF125" s="83"/>
      <c r="BG125" s="102"/>
      <c r="BH125" s="102"/>
      <c r="BI125" s="83"/>
      <c r="BJ125" s="83"/>
      <c r="BK125" s="83"/>
      <c r="BL125" s="102"/>
      <c r="BM125" s="102"/>
      <c r="BN125" s="83"/>
      <c r="BO125" s="83"/>
      <c r="BP125" s="83"/>
      <c r="BQ125" s="102"/>
      <c r="BR125" s="102"/>
      <c r="BS125" s="83"/>
      <c r="BT125" s="83"/>
      <c r="BU125" s="83"/>
      <c r="BV125" s="102"/>
      <c r="BW125" s="102"/>
      <c r="BX125" s="83"/>
      <c r="BY125" s="83"/>
      <c r="BZ125" s="83"/>
      <c r="CA125" s="102"/>
      <c r="CB125" s="102"/>
      <c r="CC125" s="83"/>
      <c r="CD125" s="83"/>
      <c r="CE125" s="83"/>
      <c r="CF125" s="102"/>
      <c r="CG125" s="102"/>
      <c r="CH125" s="83"/>
      <c r="CI125" s="83"/>
      <c r="CJ125" s="83"/>
      <c r="CK125" s="83"/>
      <c r="CL125" s="83"/>
      <c r="CM125" s="84"/>
      <c r="CN125" s="84"/>
      <c r="CO125" s="84"/>
      <c r="CP125" s="84"/>
      <c r="CQ125" s="84"/>
      <c r="CR125" s="84"/>
      <c r="CS125" s="84"/>
      <c r="CT125" s="84"/>
      <c r="CU125" s="84"/>
      <c r="CV125" s="83"/>
      <c r="CW125" s="80"/>
      <c r="CX125" s="80"/>
      <c r="CY125" s="80">
        <f>CY122/CT122-1</f>
        <v>-1.03125</v>
      </c>
      <c r="CZ125" s="80">
        <f>CZ122/CU122-1</f>
        <v>-1.0465116279069768</v>
      </c>
      <c r="DA125" s="80">
        <f>DA122/CV122-1</f>
        <v>-0.47368421052631582</v>
      </c>
      <c r="DB125" s="80">
        <f>DB122/CW122-1</f>
        <v>-1.0106382978723405</v>
      </c>
      <c r="DC125" s="80"/>
      <c r="DD125" s="80"/>
      <c r="DE125" s="80"/>
      <c r="DF125" s="80"/>
      <c r="DG125" s="80"/>
      <c r="DH125" s="80">
        <f>DH122/DC122-1</f>
        <v>0.14999999999999991</v>
      </c>
      <c r="DI125" s="80">
        <f>DI122/DD122-1</f>
        <v>0.14999999999999991</v>
      </c>
      <c r="DJ125" s="80">
        <f>DJ122/DE122-1</f>
        <v>0.14999999999999991</v>
      </c>
      <c r="DK125" s="80">
        <f>DK122/DF122-1</f>
        <v>0.14999999999999991</v>
      </c>
      <c r="DL125" s="189"/>
      <c r="DM125" s="189">
        <f t="shared" ref="DM125:DP125" si="136">DM122/DL122-1</f>
        <v>2.0000000000000018E-2</v>
      </c>
      <c r="DN125" s="189">
        <f t="shared" si="136"/>
        <v>2.0000000000000018E-2</v>
      </c>
      <c r="DO125" s="189">
        <f t="shared" si="136"/>
        <v>2.0000000000000018E-2</v>
      </c>
      <c r="DP125" s="189">
        <f t="shared" si="136"/>
        <v>2.0000000000000018E-2</v>
      </c>
    </row>
    <row r="126" spans="1:120" x14ac:dyDescent="0.2">
      <c r="A126" s="36" t="s">
        <v>117</v>
      </c>
      <c r="G126" s="75"/>
      <c r="H126" s="75"/>
      <c r="I126" s="75"/>
      <c r="J126" s="75"/>
      <c r="K126" s="75"/>
      <c r="L126" s="75"/>
      <c r="M126" s="75"/>
      <c r="N126" s="75"/>
      <c r="O126" s="90"/>
      <c r="P126" s="75"/>
      <c r="Q126" s="90"/>
      <c r="R126" s="90"/>
      <c r="S126" s="90"/>
      <c r="T126" s="90"/>
      <c r="U126" s="119"/>
      <c r="V126" s="119"/>
      <c r="W126" s="119"/>
      <c r="X126" s="119"/>
      <c r="Y126" s="119"/>
      <c r="Z126" s="119"/>
      <c r="AA126" s="119"/>
      <c r="AB126" s="119"/>
      <c r="AC126" s="119"/>
      <c r="AD126" s="119"/>
      <c r="AE126" s="120"/>
      <c r="AF126" s="119"/>
      <c r="AG126" s="119"/>
      <c r="AH126" s="119"/>
      <c r="AI126" s="119"/>
      <c r="AJ126" s="120"/>
      <c r="AK126" s="119"/>
      <c r="AL126" s="119"/>
      <c r="AM126" s="119"/>
      <c r="AN126" s="119"/>
      <c r="AO126" s="120"/>
      <c r="AP126" s="119"/>
      <c r="AQ126" s="121"/>
      <c r="AR126" s="121"/>
      <c r="AS126" s="121"/>
      <c r="AT126" s="120"/>
      <c r="AU126" s="120"/>
      <c r="AV126" s="120"/>
      <c r="AW126" s="120"/>
      <c r="AX126" s="120"/>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72">
        <v>166</v>
      </c>
      <c r="BU126" s="72">
        <v>266</v>
      </c>
      <c r="BV126" s="72">
        <v>291</v>
      </c>
      <c r="BW126" s="72">
        <v>308</v>
      </c>
      <c r="BX126" s="120">
        <f>BT126+BU126+BV126+BW126</f>
        <v>1031</v>
      </c>
      <c r="BY126" s="120">
        <v>255</v>
      </c>
      <c r="BZ126" s="120">
        <v>304</v>
      </c>
      <c r="CA126" s="120">
        <v>264</v>
      </c>
      <c r="CB126" s="120">
        <v>82</v>
      </c>
      <c r="CC126" s="120">
        <f>BY126+BZ126+CA126+CB126</f>
        <v>905</v>
      </c>
      <c r="CD126" s="120">
        <v>54</v>
      </c>
      <c r="CE126" s="120">
        <v>53</v>
      </c>
      <c r="CF126" s="120">
        <v>41</v>
      </c>
      <c r="CG126" s="120">
        <v>40</v>
      </c>
      <c r="CH126" s="120">
        <f>CD126+CE126+CF126+CG126</f>
        <v>188</v>
      </c>
      <c r="CI126" s="120">
        <v>47</v>
      </c>
      <c r="CJ126" s="120">
        <v>48</v>
      </c>
      <c r="CK126" s="120">
        <v>55</v>
      </c>
      <c r="CL126" s="120">
        <v>41</v>
      </c>
      <c r="CM126" s="120">
        <f>CI126+CJ126+CK126+CL126</f>
        <v>191</v>
      </c>
      <c r="CN126" s="120">
        <v>42</v>
      </c>
      <c r="CO126" s="120">
        <v>22</v>
      </c>
      <c r="CP126" s="120">
        <v>14</v>
      </c>
      <c r="CQ126" s="120">
        <v>13</v>
      </c>
      <c r="CR126" s="120">
        <f>CN126+CO126+CP126+CQ126</f>
        <v>91</v>
      </c>
      <c r="CS126" s="36">
        <v>15</v>
      </c>
      <c r="CT126" s="36">
        <v>10</v>
      </c>
      <c r="CU126" s="36">
        <v>11</v>
      </c>
      <c r="CV126" s="36">
        <v>10</v>
      </c>
      <c r="CW126" s="72">
        <f>SUM(CS126:CV126)</f>
        <v>46</v>
      </c>
      <c r="CX126" s="36"/>
      <c r="CY126" s="36"/>
      <c r="CZ126" s="36"/>
      <c r="DA126" s="36"/>
      <c r="DB126" s="72"/>
      <c r="DC126" s="72"/>
      <c r="DD126" s="72"/>
      <c r="DE126" s="72"/>
      <c r="DF126" s="72"/>
      <c r="DG126" s="120"/>
      <c r="DH126" s="120"/>
      <c r="DI126" s="120"/>
      <c r="DJ126" s="120"/>
      <c r="DK126" s="120"/>
      <c r="DL126" s="196"/>
      <c r="DM126" s="196"/>
      <c r="DN126" s="196"/>
      <c r="DO126" s="196"/>
      <c r="DP126" s="196"/>
    </row>
    <row r="127" spans="1:120" x14ac:dyDescent="0.2">
      <c r="A127" s="36" t="s">
        <v>118</v>
      </c>
      <c r="G127" s="75"/>
      <c r="H127" s="75"/>
      <c r="I127" s="75"/>
      <c r="J127" s="75"/>
      <c r="K127" s="75"/>
      <c r="L127" s="75"/>
      <c r="M127" s="75"/>
      <c r="N127" s="75"/>
      <c r="O127" s="90"/>
      <c r="P127" s="75"/>
      <c r="Q127" s="90"/>
      <c r="R127" s="90"/>
      <c r="S127" s="90"/>
      <c r="T127" s="90"/>
      <c r="U127" s="119"/>
      <c r="V127" s="119"/>
      <c r="W127" s="119"/>
      <c r="X127" s="119"/>
      <c r="Y127" s="119"/>
      <c r="Z127" s="119"/>
      <c r="AA127" s="119"/>
      <c r="AB127" s="119"/>
      <c r="AC127" s="119"/>
      <c r="AD127" s="119"/>
      <c r="AE127" s="120"/>
      <c r="AF127" s="119"/>
      <c r="AG127" s="119"/>
      <c r="AH127" s="119"/>
      <c r="AI127" s="119"/>
      <c r="AJ127" s="120"/>
      <c r="AK127" s="119"/>
      <c r="AL127" s="119"/>
      <c r="AM127" s="119"/>
      <c r="AN127" s="119"/>
      <c r="AO127" s="120"/>
      <c r="AP127" s="119"/>
      <c r="AQ127" s="121"/>
      <c r="AR127" s="121"/>
      <c r="AS127" s="121"/>
      <c r="AT127" s="120"/>
      <c r="AU127" s="120"/>
      <c r="AV127" s="120"/>
      <c r="AW127" s="120"/>
      <c r="AX127" s="120"/>
      <c r="AY127" s="120"/>
      <c r="AZ127" s="120"/>
      <c r="BA127" s="120"/>
      <c r="BB127" s="120"/>
      <c r="BC127" s="120"/>
      <c r="BD127" s="120"/>
      <c r="BE127" s="120"/>
      <c r="BF127" s="120"/>
      <c r="BG127" s="120"/>
      <c r="BH127" s="120"/>
      <c r="BI127" s="120"/>
      <c r="BJ127" s="120"/>
      <c r="BK127" s="120"/>
      <c r="BL127" s="120"/>
      <c r="BM127" s="120"/>
      <c r="BN127" s="120"/>
      <c r="BO127" s="120"/>
      <c r="BP127" s="120"/>
      <c r="BQ127" s="120"/>
      <c r="BR127" s="120"/>
      <c r="BS127" s="120"/>
      <c r="BT127" s="72">
        <v>21</v>
      </c>
      <c r="BU127" s="72">
        <v>27</v>
      </c>
      <c r="BV127" s="72">
        <v>35</v>
      </c>
      <c r="BW127" s="72">
        <v>14</v>
      </c>
      <c r="BX127" s="120">
        <f>BT127+BU127+BV127+BW127</f>
        <v>97</v>
      </c>
      <c r="BY127" s="120">
        <v>37</v>
      </c>
      <c r="BZ127" s="120">
        <v>53</v>
      </c>
      <c r="CA127" s="120">
        <v>56</v>
      </c>
      <c r="CB127" s="120">
        <v>37</v>
      </c>
      <c r="CC127" s="120">
        <f>BY127+BZ127+CA127+CB127</f>
        <v>183</v>
      </c>
      <c r="CD127" s="120">
        <v>41</v>
      </c>
      <c r="CE127" s="120">
        <v>50</v>
      </c>
      <c r="CF127" s="120">
        <v>50</v>
      </c>
      <c r="CG127" s="120">
        <v>52</v>
      </c>
      <c r="CH127" s="120">
        <f>CD127+CE127+CF127+CG127</f>
        <v>193</v>
      </c>
      <c r="CI127" s="120">
        <v>51</v>
      </c>
      <c r="CJ127" s="120">
        <v>46</v>
      </c>
      <c r="CK127" s="120">
        <v>40</v>
      </c>
      <c r="CL127" s="120">
        <v>39</v>
      </c>
      <c r="CM127" s="120">
        <f>CI127+CJ127+CK127+CL127</f>
        <v>176</v>
      </c>
      <c r="CN127" s="120">
        <v>46</v>
      </c>
      <c r="CO127" s="120">
        <v>45</v>
      </c>
      <c r="CP127" s="120">
        <v>38</v>
      </c>
      <c r="CQ127" s="120">
        <v>36</v>
      </c>
      <c r="CR127" s="120">
        <f>CN127+CO127+CP127+CQ127</f>
        <v>165</v>
      </c>
      <c r="CS127" s="36">
        <v>31</v>
      </c>
      <c r="CT127" s="36">
        <v>22</v>
      </c>
      <c r="CU127" s="36">
        <v>28</v>
      </c>
      <c r="CV127" s="36">
        <v>26</v>
      </c>
      <c r="CW127" s="72">
        <f>SUM(CS127:CV127)</f>
        <v>107</v>
      </c>
      <c r="CX127" s="36"/>
      <c r="CY127" s="36"/>
      <c r="CZ127" s="36"/>
      <c r="DA127" s="36"/>
      <c r="DB127" s="72"/>
      <c r="DC127" s="72"/>
      <c r="DD127" s="72"/>
      <c r="DE127" s="72"/>
      <c r="DF127" s="72"/>
      <c r="DG127" s="120"/>
      <c r="DH127" s="120"/>
      <c r="DI127" s="120"/>
      <c r="DJ127" s="120"/>
      <c r="DK127" s="120"/>
      <c r="DL127" s="196"/>
      <c r="DM127" s="196"/>
      <c r="DN127" s="196"/>
      <c r="DO127" s="196"/>
      <c r="DP127" s="196"/>
    </row>
    <row r="128" spans="1:120" x14ac:dyDescent="0.2">
      <c r="A128" s="39" t="s">
        <v>119</v>
      </c>
      <c r="G128" s="67"/>
      <c r="H128" s="67"/>
      <c r="I128" s="67"/>
      <c r="J128" s="67"/>
      <c r="K128" s="67"/>
      <c r="L128" s="67"/>
      <c r="M128" s="67"/>
      <c r="N128" s="67"/>
      <c r="O128" s="92"/>
      <c r="P128" s="67"/>
      <c r="Q128" s="92"/>
      <c r="R128" s="92"/>
      <c r="S128" s="92"/>
      <c r="T128" s="92"/>
      <c r="U128" s="93"/>
      <c r="V128" s="93"/>
      <c r="W128" s="93"/>
      <c r="X128" s="93"/>
      <c r="Y128" s="93"/>
      <c r="Z128" s="93"/>
      <c r="AA128" s="93"/>
      <c r="AB128" s="93"/>
      <c r="AC128" s="93"/>
      <c r="AD128" s="93"/>
      <c r="AE128" s="94"/>
      <c r="AF128" s="93"/>
      <c r="AG128" s="93"/>
      <c r="AH128" s="93"/>
      <c r="AI128" s="93"/>
      <c r="AJ128" s="94"/>
      <c r="AK128" s="93"/>
      <c r="AL128" s="93"/>
      <c r="AM128" s="93"/>
      <c r="AN128" s="93"/>
      <c r="AO128" s="94"/>
      <c r="AP128" s="93"/>
      <c r="AQ128" s="122"/>
      <c r="AR128" s="122"/>
      <c r="AS128" s="122"/>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f t="shared" ref="BT128:CP128" si="137">BT127+BT126</f>
        <v>187</v>
      </c>
      <c r="BU128" s="94">
        <f t="shared" si="137"/>
        <v>293</v>
      </c>
      <c r="BV128" s="94">
        <f t="shared" si="137"/>
        <v>326</v>
      </c>
      <c r="BW128" s="94">
        <f t="shared" si="137"/>
        <v>322</v>
      </c>
      <c r="BX128" s="94">
        <f t="shared" si="137"/>
        <v>1128</v>
      </c>
      <c r="BY128" s="94">
        <f t="shared" si="137"/>
        <v>292</v>
      </c>
      <c r="BZ128" s="94">
        <f t="shared" si="137"/>
        <v>357</v>
      </c>
      <c r="CA128" s="94">
        <f t="shared" si="137"/>
        <v>320</v>
      </c>
      <c r="CB128" s="94">
        <f>CB127+CB126</f>
        <v>119</v>
      </c>
      <c r="CC128" s="94">
        <f t="shared" si="137"/>
        <v>1088</v>
      </c>
      <c r="CD128" s="94">
        <f t="shared" si="137"/>
        <v>95</v>
      </c>
      <c r="CE128" s="94">
        <f t="shared" si="137"/>
        <v>103</v>
      </c>
      <c r="CF128" s="94">
        <f t="shared" si="137"/>
        <v>91</v>
      </c>
      <c r="CG128" s="94">
        <f t="shared" si="137"/>
        <v>92</v>
      </c>
      <c r="CH128" s="94">
        <f t="shared" si="137"/>
        <v>381</v>
      </c>
      <c r="CI128" s="94">
        <f>CI127+CI126</f>
        <v>98</v>
      </c>
      <c r="CJ128" s="94">
        <f t="shared" si="137"/>
        <v>94</v>
      </c>
      <c r="CK128" s="94">
        <f t="shared" si="137"/>
        <v>95</v>
      </c>
      <c r="CL128" s="94">
        <f t="shared" si="137"/>
        <v>80</v>
      </c>
      <c r="CM128" s="94">
        <f t="shared" si="137"/>
        <v>367</v>
      </c>
      <c r="CN128" s="94">
        <f t="shared" si="137"/>
        <v>88</v>
      </c>
      <c r="CO128" s="94">
        <f t="shared" si="137"/>
        <v>67</v>
      </c>
      <c r="CP128" s="94">
        <f t="shared" si="137"/>
        <v>52</v>
      </c>
      <c r="CQ128" s="94">
        <f>CQ127+CQ126+1</f>
        <v>50</v>
      </c>
      <c r="CR128" s="94">
        <f>CR127+CR126</f>
        <v>256</v>
      </c>
      <c r="CS128" s="39">
        <f>CS127+CS126</f>
        <v>46</v>
      </c>
      <c r="CT128" s="39">
        <f>CT127+CT126</f>
        <v>32</v>
      </c>
      <c r="CU128" s="39">
        <f>CU127+CU126</f>
        <v>39</v>
      </c>
      <c r="CV128" s="39">
        <f>CV127+CV126</f>
        <v>36</v>
      </c>
      <c r="CW128" s="74">
        <f>SUM(CS128:CV128)</f>
        <v>153</v>
      </c>
      <c r="CX128" s="39"/>
      <c r="CY128" s="39"/>
      <c r="CZ128" s="39"/>
      <c r="DA128" s="39"/>
      <c r="DB128" s="74"/>
      <c r="DC128" s="74"/>
      <c r="DD128" s="74"/>
      <c r="DE128" s="74"/>
      <c r="DF128" s="74"/>
      <c r="DG128" s="94"/>
      <c r="DH128" s="94"/>
      <c r="DI128" s="94"/>
      <c r="DJ128" s="94"/>
      <c r="DK128" s="94"/>
      <c r="DL128" s="197"/>
      <c r="DM128" s="197"/>
      <c r="DN128" s="197"/>
      <c r="DO128" s="197"/>
      <c r="DP128" s="197"/>
    </row>
    <row r="129" spans="1:120" x14ac:dyDescent="0.2">
      <c r="A129" s="68" t="s">
        <v>54</v>
      </c>
      <c r="B129" s="31"/>
      <c r="C129" s="31"/>
      <c r="D129" s="31"/>
      <c r="E129" s="31"/>
      <c r="F129" s="31"/>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75"/>
      <c r="AF129" s="76"/>
      <c r="AG129" s="76"/>
      <c r="AH129" s="111"/>
      <c r="AI129" s="111"/>
      <c r="AJ129" s="75"/>
      <c r="AK129" s="76"/>
      <c r="AL129" s="76"/>
      <c r="AM129" s="111"/>
      <c r="AN129" s="111"/>
      <c r="AO129" s="75"/>
      <c r="AP129" s="76"/>
      <c r="AQ129" s="76"/>
      <c r="AR129" s="111"/>
      <c r="AS129" s="111"/>
      <c r="AT129" s="75"/>
      <c r="AU129" s="76"/>
      <c r="AV129" s="76"/>
      <c r="AW129" s="111"/>
      <c r="AX129" s="111"/>
      <c r="AY129" s="75"/>
      <c r="AZ129" s="76"/>
      <c r="BA129" s="76"/>
      <c r="BB129" s="111"/>
      <c r="BC129" s="111"/>
      <c r="BD129" s="75"/>
      <c r="BE129" s="76"/>
      <c r="BF129" s="76"/>
      <c r="BG129" s="111"/>
      <c r="BH129" s="111"/>
      <c r="BI129" s="75"/>
      <c r="BJ129" s="76"/>
      <c r="BK129" s="76"/>
      <c r="BL129" s="111"/>
      <c r="BM129" s="111"/>
      <c r="BN129" s="75"/>
      <c r="BO129" s="76"/>
      <c r="BP129" s="76"/>
      <c r="BQ129" s="111"/>
      <c r="BR129" s="111"/>
      <c r="BS129" s="75"/>
      <c r="BT129" s="76"/>
      <c r="BU129" s="76"/>
      <c r="BV129" s="111"/>
      <c r="BW129" s="111"/>
      <c r="BX129" s="75"/>
      <c r="BY129" s="76">
        <f t="shared" ref="BY129:CM131" si="138">BY126/BT126-1</f>
        <v>0.53614457831325302</v>
      </c>
      <c r="BZ129" s="76">
        <f t="shared" si="138"/>
        <v>0.14285714285714279</v>
      </c>
      <c r="CA129" s="111">
        <f t="shared" si="138"/>
        <v>-9.2783505154639179E-2</v>
      </c>
      <c r="CB129" s="111">
        <f t="shared" si="138"/>
        <v>-0.73376623376623384</v>
      </c>
      <c r="CC129" s="75">
        <f t="shared" si="138"/>
        <v>-0.12221144519883609</v>
      </c>
      <c r="CD129" s="76">
        <f t="shared" si="138"/>
        <v>-0.78823529411764703</v>
      </c>
      <c r="CE129" s="76">
        <f t="shared" si="138"/>
        <v>-0.82565789473684215</v>
      </c>
      <c r="CF129" s="111">
        <f t="shared" si="138"/>
        <v>-0.84469696969696972</v>
      </c>
      <c r="CG129" s="111">
        <f t="shared" si="138"/>
        <v>-0.51219512195121952</v>
      </c>
      <c r="CH129" s="75">
        <f t="shared" si="138"/>
        <v>-0.79226519337016577</v>
      </c>
      <c r="CI129" s="76">
        <f t="shared" si="138"/>
        <v>-0.12962962962962965</v>
      </c>
      <c r="CJ129" s="76">
        <f t="shared" si="138"/>
        <v>-9.4339622641509413E-2</v>
      </c>
      <c r="CK129" s="76">
        <f t="shared" si="138"/>
        <v>0.34146341463414642</v>
      </c>
      <c r="CL129" s="76">
        <f t="shared" si="138"/>
        <v>2.4999999999999911E-2</v>
      </c>
      <c r="CM129" s="77">
        <f t="shared" si="138"/>
        <v>1.5957446808510634E-2</v>
      </c>
      <c r="CN129" s="77">
        <f>CN126/CI126-1</f>
        <v>-0.1063829787234043</v>
      </c>
      <c r="CO129" s="77">
        <f t="shared" ref="CO129:CV131" si="139">CO126/CJ126-1</f>
        <v>-0.54166666666666674</v>
      </c>
      <c r="CP129" s="77">
        <f t="shared" si="139"/>
        <v>-0.74545454545454548</v>
      </c>
      <c r="CQ129" s="77">
        <f t="shared" si="139"/>
        <v>-0.68292682926829262</v>
      </c>
      <c r="CR129" s="77">
        <f>CR126/CM126-1</f>
        <v>-0.52356020942408377</v>
      </c>
      <c r="CS129" s="77">
        <f t="shared" si="139"/>
        <v>-0.64285714285714279</v>
      </c>
      <c r="CT129" s="77">
        <f t="shared" si="139"/>
        <v>-0.54545454545454541</v>
      </c>
      <c r="CU129" s="77">
        <f t="shared" si="139"/>
        <v>-0.2142857142857143</v>
      </c>
      <c r="CV129" s="77">
        <f t="shared" si="139"/>
        <v>-0.23076923076923073</v>
      </c>
      <c r="CW129" s="90">
        <f>CW126/CR126-1</f>
        <v>-0.49450549450549453</v>
      </c>
      <c r="CX129" s="77"/>
      <c r="CY129" s="77"/>
      <c r="CZ129" s="77"/>
      <c r="DA129" s="77"/>
      <c r="DB129" s="90"/>
      <c r="DC129" s="90"/>
      <c r="DD129" s="90"/>
      <c r="DE129" s="90"/>
      <c r="DF129" s="90"/>
      <c r="DG129" s="77"/>
      <c r="DH129" s="77"/>
      <c r="DI129" s="77"/>
      <c r="DJ129" s="77"/>
      <c r="DK129" s="77"/>
      <c r="DL129" s="185"/>
      <c r="DM129" s="185"/>
      <c r="DN129" s="185"/>
      <c r="DO129" s="185"/>
      <c r="DP129" s="185"/>
    </row>
    <row r="130" spans="1:120" x14ac:dyDescent="0.2">
      <c r="A130" s="68" t="s">
        <v>55</v>
      </c>
      <c r="B130" s="31"/>
      <c r="C130" s="31"/>
      <c r="D130" s="31"/>
      <c r="E130" s="31"/>
      <c r="F130" s="31"/>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75"/>
      <c r="AF130" s="76"/>
      <c r="AG130" s="76"/>
      <c r="AH130" s="111"/>
      <c r="AI130" s="111"/>
      <c r="AJ130" s="75"/>
      <c r="AK130" s="76"/>
      <c r="AL130" s="76"/>
      <c r="AM130" s="111"/>
      <c r="AN130" s="111"/>
      <c r="AO130" s="75"/>
      <c r="AP130" s="76"/>
      <c r="AQ130" s="76"/>
      <c r="AR130" s="111"/>
      <c r="AS130" s="111"/>
      <c r="AT130" s="75"/>
      <c r="AU130" s="76"/>
      <c r="AV130" s="76"/>
      <c r="AW130" s="111"/>
      <c r="AX130" s="111"/>
      <c r="AY130" s="75"/>
      <c r="AZ130" s="76"/>
      <c r="BA130" s="76"/>
      <c r="BB130" s="111"/>
      <c r="BC130" s="111"/>
      <c r="BD130" s="75"/>
      <c r="BE130" s="76"/>
      <c r="BF130" s="76"/>
      <c r="BG130" s="111"/>
      <c r="BH130" s="111"/>
      <c r="BI130" s="75"/>
      <c r="BJ130" s="76"/>
      <c r="BK130" s="76"/>
      <c r="BL130" s="111"/>
      <c r="BM130" s="111"/>
      <c r="BN130" s="75"/>
      <c r="BO130" s="76"/>
      <c r="BP130" s="76"/>
      <c r="BQ130" s="111"/>
      <c r="BR130" s="111"/>
      <c r="BS130" s="75"/>
      <c r="BT130" s="76"/>
      <c r="BU130" s="76"/>
      <c r="BV130" s="111"/>
      <c r="BW130" s="111"/>
      <c r="BX130" s="75"/>
      <c r="BY130" s="76">
        <f t="shared" si="138"/>
        <v>0.76190476190476186</v>
      </c>
      <c r="BZ130" s="76">
        <f t="shared" si="138"/>
        <v>0.96296296296296302</v>
      </c>
      <c r="CA130" s="111">
        <f t="shared" si="138"/>
        <v>0.60000000000000009</v>
      </c>
      <c r="CB130" s="111">
        <f t="shared" si="138"/>
        <v>1.6428571428571428</v>
      </c>
      <c r="CC130" s="75">
        <f t="shared" si="138"/>
        <v>0.88659793814432986</v>
      </c>
      <c r="CD130" s="76">
        <f t="shared" si="138"/>
        <v>0.10810810810810811</v>
      </c>
      <c r="CE130" s="76">
        <f t="shared" si="138"/>
        <v>-5.6603773584905648E-2</v>
      </c>
      <c r="CF130" s="111">
        <f t="shared" si="138"/>
        <v>-0.1071428571428571</v>
      </c>
      <c r="CG130" s="111">
        <f t="shared" si="138"/>
        <v>0.40540540540540548</v>
      </c>
      <c r="CH130" s="75">
        <f t="shared" si="138"/>
        <v>5.464480874316946E-2</v>
      </c>
      <c r="CI130" s="76">
        <f t="shared" si="138"/>
        <v>0.24390243902439024</v>
      </c>
      <c r="CJ130" s="76">
        <f t="shared" si="138"/>
        <v>-7.999999999999996E-2</v>
      </c>
      <c r="CK130" s="76">
        <f t="shared" si="138"/>
        <v>-0.19999999999999996</v>
      </c>
      <c r="CL130" s="76">
        <f t="shared" si="138"/>
        <v>-0.25</v>
      </c>
      <c r="CM130" s="77">
        <f t="shared" si="138"/>
        <v>-8.8082901554404125E-2</v>
      </c>
      <c r="CN130" s="77">
        <f>CN127/CI127-1</f>
        <v>-9.8039215686274495E-2</v>
      </c>
      <c r="CO130" s="77">
        <f t="shared" si="139"/>
        <v>-2.1739130434782594E-2</v>
      </c>
      <c r="CP130" s="77">
        <f t="shared" si="139"/>
        <v>-5.0000000000000044E-2</v>
      </c>
      <c r="CQ130" s="77">
        <f t="shared" si="139"/>
        <v>-7.6923076923076872E-2</v>
      </c>
      <c r="CR130" s="77">
        <f>CR127/CM127-1</f>
        <v>-6.25E-2</v>
      </c>
      <c r="CS130" s="77">
        <f t="shared" si="139"/>
        <v>-0.32608695652173914</v>
      </c>
      <c r="CT130" s="77">
        <f t="shared" si="139"/>
        <v>-0.51111111111111107</v>
      </c>
      <c r="CU130" s="77">
        <f t="shared" si="139"/>
        <v>-0.26315789473684215</v>
      </c>
      <c r="CV130" s="77">
        <f t="shared" si="139"/>
        <v>-0.27777777777777779</v>
      </c>
      <c r="CW130" s="90">
        <f>CW127/CR127-1</f>
        <v>-0.35151515151515156</v>
      </c>
      <c r="CX130" s="77"/>
      <c r="CY130" s="77"/>
      <c r="CZ130" s="77"/>
      <c r="DA130" s="77"/>
      <c r="DB130" s="90"/>
      <c r="DC130" s="90"/>
      <c r="DD130" s="90"/>
      <c r="DE130" s="90"/>
      <c r="DF130" s="90"/>
      <c r="DG130" s="77"/>
      <c r="DH130" s="77"/>
      <c r="DI130" s="77"/>
      <c r="DJ130" s="77"/>
      <c r="DK130" s="77"/>
      <c r="DL130" s="185"/>
      <c r="DM130" s="185"/>
      <c r="DN130" s="185"/>
      <c r="DO130" s="185"/>
      <c r="DP130" s="185"/>
    </row>
    <row r="131" spans="1:120" x14ac:dyDescent="0.2">
      <c r="A131" s="78" t="s">
        <v>56</v>
      </c>
      <c r="B131" s="79"/>
      <c r="C131" s="79"/>
      <c r="D131" s="79"/>
      <c r="E131" s="79"/>
      <c r="F131" s="79"/>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3"/>
      <c r="AF131" s="83"/>
      <c r="AG131" s="83"/>
      <c r="AH131" s="102"/>
      <c r="AI131" s="102"/>
      <c r="AJ131" s="83"/>
      <c r="AK131" s="83"/>
      <c r="AL131" s="83"/>
      <c r="AM131" s="102"/>
      <c r="AN131" s="102"/>
      <c r="AO131" s="83"/>
      <c r="AP131" s="83"/>
      <c r="AQ131" s="83"/>
      <c r="AR131" s="102"/>
      <c r="AS131" s="102"/>
      <c r="AT131" s="83"/>
      <c r="AU131" s="83"/>
      <c r="AV131" s="83"/>
      <c r="AW131" s="102"/>
      <c r="AX131" s="102"/>
      <c r="AY131" s="83"/>
      <c r="AZ131" s="83"/>
      <c r="BA131" s="83"/>
      <c r="BB131" s="102"/>
      <c r="BC131" s="102"/>
      <c r="BD131" s="83"/>
      <c r="BE131" s="83"/>
      <c r="BF131" s="83"/>
      <c r="BG131" s="102"/>
      <c r="BH131" s="102"/>
      <c r="BI131" s="83"/>
      <c r="BJ131" s="83"/>
      <c r="BK131" s="83"/>
      <c r="BL131" s="102"/>
      <c r="BM131" s="102"/>
      <c r="BN131" s="83"/>
      <c r="BO131" s="83"/>
      <c r="BP131" s="83"/>
      <c r="BQ131" s="102"/>
      <c r="BR131" s="102"/>
      <c r="BS131" s="83"/>
      <c r="BT131" s="83"/>
      <c r="BU131" s="83"/>
      <c r="BV131" s="102"/>
      <c r="BW131" s="102"/>
      <c r="BX131" s="83"/>
      <c r="BY131" s="83">
        <f t="shared" si="138"/>
        <v>0.56149732620320858</v>
      </c>
      <c r="BZ131" s="83">
        <f t="shared" si="138"/>
        <v>0.21843003412969275</v>
      </c>
      <c r="CA131" s="102">
        <f t="shared" si="138"/>
        <v>-1.8404907975460127E-2</v>
      </c>
      <c r="CB131" s="102">
        <f t="shared" si="138"/>
        <v>-0.63043478260869568</v>
      </c>
      <c r="CC131" s="83">
        <f t="shared" si="138"/>
        <v>-3.546099290780147E-2</v>
      </c>
      <c r="CD131" s="83">
        <f t="shared" si="138"/>
        <v>-0.67465753424657526</v>
      </c>
      <c r="CE131" s="83">
        <f t="shared" si="138"/>
        <v>-0.71148459383753504</v>
      </c>
      <c r="CF131" s="102">
        <f t="shared" si="138"/>
        <v>-0.71562499999999996</v>
      </c>
      <c r="CG131" s="102">
        <f t="shared" si="138"/>
        <v>-0.22689075630252098</v>
      </c>
      <c r="CH131" s="83">
        <f t="shared" si="138"/>
        <v>-0.64981617647058831</v>
      </c>
      <c r="CI131" s="83">
        <f t="shared" si="138"/>
        <v>3.1578947368421151E-2</v>
      </c>
      <c r="CJ131" s="83">
        <f t="shared" si="138"/>
        <v>-8.737864077669899E-2</v>
      </c>
      <c r="CK131" s="83">
        <f t="shared" si="138"/>
        <v>4.3956043956044022E-2</v>
      </c>
      <c r="CL131" s="83">
        <f t="shared" si="138"/>
        <v>-0.13043478260869568</v>
      </c>
      <c r="CM131" s="84">
        <f t="shared" si="138"/>
        <v>-3.6745406824146953E-2</v>
      </c>
      <c r="CN131" s="84">
        <f>CN128/CI128-1</f>
        <v>-0.10204081632653061</v>
      </c>
      <c r="CO131" s="84">
        <f t="shared" si="139"/>
        <v>-0.28723404255319152</v>
      </c>
      <c r="CP131" s="84">
        <f t="shared" si="139"/>
        <v>-0.45263157894736838</v>
      </c>
      <c r="CQ131" s="84">
        <f t="shared" si="139"/>
        <v>-0.375</v>
      </c>
      <c r="CR131" s="84">
        <f>CR128/CM128-1</f>
        <v>-0.3024523160762943</v>
      </c>
      <c r="CS131" s="84">
        <f t="shared" si="139"/>
        <v>-0.47727272727272729</v>
      </c>
      <c r="CT131" s="84">
        <f t="shared" si="139"/>
        <v>-0.52238805970149249</v>
      </c>
      <c r="CU131" s="84">
        <f t="shared" si="139"/>
        <v>-0.25</v>
      </c>
      <c r="CV131" s="84">
        <f t="shared" si="139"/>
        <v>-0.28000000000000003</v>
      </c>
      <c r="CW131" s="84">
        <f>CW128/CR128-1</f>
        <v>-0.40234375</v>
      </c>
      <c r="CX131" s="84"/>
      <c r="CY131" s="84"/>
      <c r="CZ131" s="84"/>
      <c r="DA131" s="84"/>
      <c r="DB131" s="84"/>
      <c r="DC131" s="84"/>
      <c r="DD131" s="84"/>
      <c r="DE131" s="84"/>
      <c r="DF131" s="84"/>
      <c r="DG131" s="84"/>
      <c r="DH131" s="84"/>
      <c r="DI131" s="84"/>
      <c r="DJ131" s="84"/>
      <c r="DK131" s="84"/>
      <c r="DL131" s="186"/>
      <c r="DM131" s="186"/>
      <c r="DN131" s="186"/>
      <c r="DO131" s="186"/>
      <c r="DP131" s="186"/>
    </row>
    <row r="132" spans="1:120" x14ac:dyDescent="0.2">
      <c r="A132" s="104" t="s">
        <v>120</v>
      </c>
      <c r="B132" s="31"/>
      <c r="C132" s="31"/>
      <c r="D132" s="31"/>
      <c r="E132" s="31"/>
      <c r="F132" s="31"/>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109"/>
      <c r="AV132" s="109"/>
      <c r="AW132" s="109"/>
      <c r="AX132" s="109"/>
      <c r="AY132" s="109"/>
      <c r="AZ132" s="109"/>
      <c r="BA132" s="109"/>
      <c r="BB132" s="109"/>
      <c r="BC132" s="109"/>
      <c r="BD132" s="109"/>
      <c r="BE132" s="109"/>
      <c r="BF132" s="109"/>
      <c r="BG132" s="109"/>
      <c r="BH132" s="109"/>
      <c r="BI132" s="74"/>
      <c r="BJ132" s="74"/>
      <c r="BK132" s="110"/>
      <c r="BL132" s="74"/>
      <c r="BM132" s="74"/>
      <c r="BN132" s="74"/>
      <c r="BO132" s="74"/>
      <c r="BP132" s="110"/>
      <c r="BQ132" s="74"/>
      <c r="BR132" s="74"/>
      <c r="BS132" s="74"/>
      <c r="BT132" s="74"/>
      <c r="BU132" s="110"/>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184"/>
      <c r="DM132" s="184"/>
      <c r="DN132" s="184"/>
      <c r="DO132" s="184"/>
      <c r="DP132" s="184"/>
    </row>
    <row r="133" spans="1:120" x14ac:dyDescent="0.2">
      <c r="A133" s="36" t="s">
        <v>121</v>
      </c>
      <c r="G133" s="75"/>
      <c r="H133" s="75"/>
      <c r="I133" s="75"/>
      <c r="J133" s="75"/>
      <c r="K133" s="75"/>
      <c r="L133" s="75"/>
      <c r="M133" s="75"/>
      <c r="N133" s="75"/>
      <c r="O133" s="90"/>
      <c r="P133" s="75"/>
      <c r="Q133" s="90"/>
      <c r="R133" s="90"/>
      <c r="S133" s="90"/>
      <c r="T133" s="90"/>
      <c r="U133" s="119"/>
      <c r="V133" s="119"/>
      <c r="W133" s="119"/>
      <c r="X133" s="119"/>
      <c r="Y133" s="119"/>
      <c r="Z133" s="119"/>
      <c r="AA133" s="119"/>
      <c r="AB133" s="119"/>
      <c r="AC133" s="119"/>
      <c r="AD133" s="119"/>
      <c r="AE133" s="120"/>
      <c r="AF133" s="119"/>
      <c r="AG133" s="119"/>
      <c r="AH133" s="119"/>
      <c r="AI133" s="119"/>
      <c r="AJ133" s="120"/>
      <c r="AK133" s="119"/>
      <c r="AL133" s="119"/>
      <c r="AM133" s="119"/>
      <c r="AN133" s="119"/>
      <c r="AO133" s="120"/>
      <c r="AP133" s="119"/>
      <c r="AQ133" s="119"/>
      <c r="AR133" s="119"/>
      <c r="AS133" s="119"/>
      <c r="AT133" s="120"/>
      <c r="AU133" s="120"/>
      <c r="AV133" s="120"/>
      <c r="AW133" s="120"/>
      <c r="AX133" s="120"/>
      <c r="AY133" s="120"/>
      <c r="AZ133" s="120"/>
      <c r="BA133" s="120"/>
      <c r="BB133" s="120"/>
      <c r="BC133" s="120"/>
      <c r="BD133" s="120"/>
      <c r="BE133" s="120"/>
      <c r="BF133" s="120"/>
      <c r="BG133" s="120"/>
      <c r="BH133" s="120"/>
      <c r="BI133" s="120"/>
      <c r="BJ133" s="120"/>
      <c r="BK133" s="123"/>
      <c r="BL133" s="120"/>
      <c r="BM133" s="120"/>
      <c r="BN133" s="120"/>
      <c r="BO133" s="120"/>
      <c r="BP133" s="119"/>
      <c r="BQ133" s="120"/>
      <c r="BR133" s="120"/>
      <c r="BS133" s="120"/>
      <c r="BT133" s="120"/>
      <c r="BU133" s="119"/>
      <c r="BV133" s="120"/>
      <c r="BW133" s="120"/>
      <c r="BX133" s="120"/>
      <c r="BY133" s="120"/>
      <c r="BZ133" s="120"/>
      <c r="CA133" s="120"/>
      <c r="CB133" s="120"/>
      <c r="CC133" s="120"/>
      <c r="CD133" s="120"/>
      <c r="CE133" s="120"/>
      <c r="CF133" s="120"/>
      <c r="CG133" s="120"/>
      <c r="CH133" s="120"/>
      <c r="CI133" s="120"/>
      <c r="CJ133" s="120"/>
      <c r="CK133" s="120"/>
      <c r="CL133" s="120"/>
      <c r="CM133" s="120"/>
      <c r="CN133" s="120"/>
      <c r="CO133" s="120"/>
      <c r="CP133" s="120"/>
      <c r="CQ133" s="120"/>
      <c r="CR133" s="120"/>
      <c r="CS133" s="36"/>
      <c r="CT133" s="36"/>
      <c r="CU133" s="36"/>
      <c r="CV133" s="36"/>
      <c r="CW133" s="72"/>
      <c r="CX133" s="36"/>
      <c r="CY133" s="36"/>
      <c r="CZ133" s="36"/>
      <c r="DA133" s="36"/>
      <c r="DB133" s="36"/>
      <c r="DC133" s="36"/>
      <c r="DD133" s="36"/>
      <c r="DE133" s="36"/>
      <c r="DF133" s="36"/>
      <c r="DG133" s="36"/>
      <c r="DH133" s="36"/>
      <c r="DI133" s="36"/>
      <c r="DJ133" s="36"/>
      <c r="DK133" s="36"/>
      <c r="DL133" s="183"/>
      <c r="DM133" s="183"/>
      <c r="DN133" s="183"/>
      <c r="DO133" s="183"/>
      <c r="DP133" s="183"/>
    </row>
    <row r="134" spans="1:120" x14ac:dyDescent="0.2">
      <c r="A134" s="36" t="s">
        <v>122</v>
      </c>
      <c r="G134" s="75"/>
      <c r="H134" s="75"/>
      <c r="I134" s="75"/>
      <c r="J134" s="75"/>
      <c r="K134" s="75"/>
      <c r="L134" s="75"/>
      <c r="M134" s="75"/>
      <c r="N134" s="75"/>
      <c r="O134" s="90"/>
      <c r="P134" s="75"/>
      <c r="Q134" s="90"/>
      <c r="R134" s="90"/>
      <c r="S134" s="90"/>
      <c r="T134" s="90"/>
      <c r="U134" s="119"/>
      <c r="V134" s="119"/>
      <c r="W134" s="119"/>
      <c r="X134" s="119"/>
      <c r="Y134" s="119"/>
      <c r="Z134" s="119"/>
      <c r="AA134" s="119"/>
      <c r="AB134" s="119"/>
      <c r="AC134" s="119"/>
      <c r="AD134" s="119"/>
      <c r="AE134" s="120"/>
      <c r="AF134" s="119"/>
      <c r="AG134" s="119"/>
      <c r="AH134" s="119"/>
      <c r="AI134" s="119"/>
      <c r="AJ134" s="120"/>
      <c r="AK134" s="119"/>
      <c r="AL134" s="119"/>
      <c r="AM134" s="119"/>
      <c r="AN134" s="119"/>
      <c r="AO134" s="120"/>
      <c r="AP134" s="119"/>
      <c r="AQ134" s="119"/>
      <c r="AR134" s="120">
        <v>5</v>
      </c>
      <c r="AS134" s="120"/>
      <c r="AT134" s="120"/>
      <c r="AU134" s="120"/>
      <c r="AV134" s="120"/>
      <c r="AW134" s="120"/>
      <c r="AX134" s="120"/>
      <c r="AY134" s="120"/>
      <c r="AZ134" s="120">
        <v>54</v>
      </c>
      <c r="BA134" s="120">
        <v>75</v>
      </c>
      <c r="BB134" s="120">
        <v>74</v>
      </c>
      <c r="BC134" s="120">
        <v>61</v>
      </c>
      <c r="BD134" s="120">
        <f>BC134+BB134+BA134+AZ134</f>
        <v>264</v>
      </c>
      <c r="BE134" s="120">
        <v>74</v>
      </c>
      <c r="BF134" s="120">
        <v>76</v>
      </c>
      <c r="BG134" s="120">
        <v>86</v>
      </c>
      <c r="BH134" s="120">
        <v>95</v>
      </c>
      <c r="BI134" s="120">
        <f>SUM(BE134:BH134)</f>
        <v>331</v>
      </c>
      <c r="BJ134" s="120">
        <v>108</v>
      </c>
      <c r="BK134" s="123">
        <v>112</v>
      </c>
      <c r="BL134" s="120">
        <v>126</v>
      </c>
      <c r="BM134" s="120">
        <v>146</v>
      </c>
      <c r="BN134" s="120">
        <f>SUM(BJ134:BM134)</f>
        <v>492</v>
      </c>
      <c r="BO134" s="120">
        <v>157</v>
      </c>
      <c r="BP134" s="123">
        <v>174</v>
      </c>
      <c r="BQ134" s="120">
        <v>170</v>
      </c>
      <c r="BR134" s="120">
        <v>188</v>
      </c>
      <c r="BS134" s="120">
        <f>SUM(BO134:BR134)</f>
        <v>689</v>
      </c>
      <c r="BT134" s="120">
        <v>158</v>
      </c>
      <c r="BU134" s="123">
        <v>169</v>
      </c>
      <c r="BV134" s="120">
        <v>178</v>
      </c>
      <c r="BW134" s="120">
        <v>185</v>
      </c>
      <c r="BX134" s="120">
        <f>SUM(BT134:BW134)</f>
        <v>690</v>
      </c>
      <c r="BY134" s="120">
        <v>188</v>
      </c>
      <c r="BZ134" s="120">
        <v>199</v>
      </c>
      <c r="CA134" s="120">
        <v>193</v>
      </c>
      <c r="CB134" s="120">
        <v>186</v>
      </c>
      <c r="CC134" s="120">
        <f>SUM(BY134:CB134)</f>
        <v>766</v>
      </c>
      <c r="CD134" s="120">
        <v>184</v>
      </c>
      <c r="CE134" s="120">
        <v>199</v>
      </c>
      <c r="CF134" s="120">
        <v>219</v>
      </c>
      <c r="CG134" s="120">
        <v>217</v>
      </c>
      <c r="CH134" s="120">
        <f>SUM(CD134:CG134)</f>
        <v>819</v>
      </c>
      <c r="CI134" s="120">
        <v>231</v>
      </c>
      <c r="CJ134" s="120">
        <v>233</v>
      </c>
      <c r="CK134" s="120">
        <v>210</v>
      </c>
      <c r="CL134" s="120">
        <v>220</v>
      </c>
      <c r="CM134" s="120">
        <f>SUM(CI134:CL134)</f>
        <v>894</v>
      </c>
      <c r="CN134" s="120">
        <v>208</v>
      </c>
      <c r="CO134" s="120">
        <v>214</v>
      </c>
      <c r="CP134" s="120">
        <v>203</v>
      </c>
      <c r="CQ134" s="120">
        <v>205</v>
      </c>
      <c r="CR134" s="120">
        <f>SUM(CN134:CQ134)</f>
        <v>830</v>
      </c>
      <c r="CS134" s="36">
        <v>215</v>
      </c>
      <c r="CT134" s="36">
        <v>191</v>
      </c>
      <c r="CU134" s="36">
        <v>209</v>
      </c>
      <c r="CV134" s="36">
        <v>223</v>
      </c>
      <c r="CW134" s="72">
        <f>SUM(CS134:CV134)</f>
        <v>838</v>
      </c>
      <c r="CX134" s="36">
        <v>214</v>
      </c>
      <c r="CY134" s="36">
        <v>202</v>
      </c>
      <c r="CZ134" s="36">
        <v>203</v>
      </c>
      <c r="DA134" s="36">
        <v>206</v>
      </c>
      <c r="DB134" s="72">
        <f>SUM(CX134:DA134)</f>
        <v>825</v>
      </c>
      <c r="DC134" s="72">
        <v>186</v>
      </c>
      <c r="DD134" s="72">
        <v>181</v>
      </c>
      <c r="DE134" s="72">
        <v>173</v>
      </c>
      <c r="DF134" s="72">
        <v>166</v>
      </c>
      <c r="DG134" s="36">
        <f>SUM(DC134:DF134)</f>
        <v>706</v>
      </c>
      <c r="DH134" s="36">
        <f>DC134*(1+DH137)</f>
        <v>167.4</v>
      </c>
      <c r="DI134" s="36">
        <f>DD134*(1+DI137)</f>
        <v>162.9</v>
      </c>
      <c r="DJ134" s="36">
        <f>DE134*(1+DJ137)</f>
        <v>155.70000000000002</v>
      </c>
      <c r="DK134" s="36">
        <f>DF134*(1+DK137)</f>
        <v>149.4</v>
      </c>
      <c r="DL134" s="183">
        <f>SUM(DH134:DK134)</f>
        <v>635.4</v>
      </c>
      <c r="DM134" s="183">
        <f t="shared" ref="DM134:DP134" si="140">DL134*(1+DM137)</f>
        <v>571.86</v>
      </c>
      <c r="DN134" s="183">
        <f t="shared" si="140"/>
        <v>457.48800000000006</v>
      </c>
      <c r="DO134" s="183">
        <f t="shared" si="140"/>
        <v>365.99040000000008</v>
      </c>
      <c r="DP134" s="183">
        <f t="shared" si="140"/>
        <v>292.79232000000007</v>
      </c>
    </row>
    <row r="135" spans="1:120" x14ac:dyDescent="0.2">
      <c r="A135" s="39" t="s">
        <v>123</v>
      </c>
      <c r="G135" s="67"/>
      <c r="H135" s="67"/>
      <c r="I135" s="67"/>
      <c r="J135" s="67"/>
      <c r="K135" s="67"/>
      <c r="L135" s="67"/>
      <c r="M135" s="67"/>
      <c r="N135" s="67"/>
      <c r="O135" s="92"/>
      <c r="P135" s="67"/>
      <c r="Q135" s="92"/>
      <c r="R135" s="92"/>
      <c r="S135" s="92"/>
      <c r="T135" s="92"/>
      <c r="U135" s="93"/>
      <c r="V135" s="93"/>
      <c r="W135" s="93"/>
      <c r="X135" s="93"/>
      <c r="Y135" s="93"/>
      <c r="Z135" s="93"/>
      <c r="AA135" s="93"/>
      <c r="AB135" s="93"/>
      <c r="AC135" s="93"/>
      <c r="AD135" s="93"/>
      <c r="AE135" s="94"/>
      <c r="AF135" s="93"/>
      <c r="AG135" s="93"/>
      <c r="AH135" s="93"/>
      <c r="AI135" s="93"/>
      <c r="AJ135" s="94"/>
      <c r="AK135" s="93"/>
      <c r="AL135" s="93"/>
      <c r="AM135" s="93"/>
      <c r="AN135" s="93"/>
      <c r="AO135" s="94"/>
      <c r="AP135" s="93"/>
      <c r="AQ135" s="93"/>
      <c r="AR135" s="122">
        <f>AR134</f>
        <v>5</v>
      </c>
      <c r="AS135" s="122"/>
      <c r="AT135" s="94"/>
      <c r="AU135" s="94"/>
      <c r="AV135" s="94"/>
      <c r="AW135" s="94"/>
      <c r="AX135" s="94"/>
      <c r="AY135" s="94"/>
      <c r="AZ135" s="94">
        <f>AZ134</f>
        <v>54</v>
      </c>
      <c r="BA135" s="94">
        <f>BA134</f>
        <v>75</v>
      </c>
      <c r="BB135" s="94">
        <f>BB134</f>
        <v>74</v>
      </c>
      <c r="BC135" s="94">
        <f>BC134</f>
        <v>61</v>
      </c>
      <c r="BD135" s="94">
        <f>BD134+BD133</f>
        <v>264</v>
      </c>
      <c r="BE135" s="94">
        <f>BE134</f>
        <v>74</v>
      </c>
      <c r="BF135" s="94">
        <f>BF134</f>
        <v>76</v>
      </c>
      <c r="BG135" s="94">
        <f>BG134</f>
        <v>86</v>
      </c>
      <c r="BH135" s="94">
        <f>BH134</f>
        <v>95</v>
      </c>
      <c r="BI135" s="94">
        <f t="shared" ref="BI135:CV135" si="141">BI134+BI133</f>
        <v>331</v>
      </c>
      <c r="BJ135" s="94">
        <f t="shared" si="141"/>
        <v>108</v>
      </c>
      <c r="BK135" s="124">
        <f t="shared" si="141"/>
        <v>112</v>
      </c>
      <c r="BL135" s="94">
        <f t="shared" si="141"/>
        <v>126</v>
      </c>
      <c r="BM135" s="94">
        <f t="shared" si="141"/>
        <v>146</v>
      </c>
      <c r="BN135" s="94">
        <f t="shared" si="141"/>
        <v>492</v>
      </c>
      <c r="BO135" s="94">
        <f t="shared" si="141"/>
        <v>157</v>
      </c>
      <c r="BP135" s="124">
        <f t="shared" si="141"/>
        <v>174</v>
      </c>
      <c r="BQ135" s="94">
        <f t="shared" si="141"/>
        <v>170</v>
      </c>
      <c r="BR135" s="94">
        <f t="shared" si="141"/>
        <v>188</v>
      </c>
      <c r="BS135" s="94">
        <f t="shared" si="141"/>
        <v>689</v>
      </c>
      <c r="BT135" s="94">
        <f t="shared" si="141"/>
        <v>158</v>
      </c>
      <c r="BU135" s="124">
        <f t="shared" si="141"/>
        <v>169</v>
      </c>
      <c r="BV135" s="94">
        <f t="shared" si="141"/>
        <v>178</v>
      </c>
      <c r="BW135" s="94">
        <f t="shared" si="141"/>
        <v>185</v>
      </c>
      <c r="BX135" s="94">
        <f t="shared" si="141"/>
        <v>690</v>
      </c>
      <c r="BY135" s="94">
        <f t="shared" si="141"/>
        <v>188</v>
      </c>
      <c r="BZ135" s="94">
        <f t="shared" si="141"/>
        <v>199</v>
      </c>
      <c r="CA135" s="94">
        <f t="shared" si="141"/>
        <v>193</v>
      </c>
      <c r="CB135" s="94">
        <f t="shared" si="141"/>
        <v>186</v>
      </c>
      <c r="CC135" s="94">
        <f t="shared" si="141"/>
        <v>766</v>
      </c>
      <c r="CD135" s="94">
        <f t="shared" si="141"/>
        <v>184</v>
      </c>
      <c r="CE135" s="94">
        <f t="shared" si="141"/>
        <v>199</v>
      </c>
      <c r="CF135" s="94">
        <f t="shared" si="141"/>
        <v>219</v>
      </c>
      <c r="CG135" s="94">
        <f t="shared" si="141"/>
        <v>217</v>
      </c>
      <c r="CH135" s="94">
        <f t="shared" si="141"/>
        <v>819</v>
      </c>
      <c r="CI135" s="94">
        <f t="shared" si="141"/>
        <v>231</v>
      </c>
      <c r="CJ135" s="94">
        <f t="shared" si="141"/>
        <v>233</v>
      </c>
      <c r="CK135" s="94">
        <f t="shared" si="141"/>
        <v>210</v>
      </c>
      <c r="CL135" s="94">
        <f t="shared" si="141"/>
        <v>220</v>
      </c>
      <c r="CM135" s="94">
        <f t="shared" si="141"/>
        <v>894</v>
      </c>
      <c r="CN135" s="94">
        <f t="shared" si="141"/>
        <v>208</v>
      </c>
      <c r="CO135" s="94">
        <f t="shared" si="141"/>
        <v>214</v>
      </c>
      <c r="CP135" s="94">
        <f t="shared" si="141"/>
        <v>203</v>
      </c>
      <c r="CQ135" s="94">
        <f>CQ134+CQ133</f>
        <v>205</v>
      </c>
      <c r="CR135" s="94">
        <f t="shared" si="141"/>
        <v>830</v>
      </c>
      <c r="CS135" s="39">
        <f t="shared" si="141"/>
        <v>215</v>
      </c>
      <c r="CT135" s="39">
        <f t="shared" si="141"/>
        <v>191</v>
      </c>
      <c r="CU135" s="39">
        <f t="shared" si="141"/>
        <v>209</v>
      </c>
      <c r="CV135" s="39">
        <f t="shared" si="141"/>
        <v>223</v>
      </c>
      <c r="CW135" s="74">
        <f>SUM(CS135:CV135)</f>
        <v>838</v>
      </c>
      <c r="CX135" s="39">
        <f>SUM(CX133:CX134)</f>
        <v>214</v>
      </c>
      <c r="CY135" s="39">
        <f>SUM(CY133:CY134)</f>
        <v>202</v>
      </c>
      <c r="CZ135" s="39">
        <f>SUM(CZ133:CZ134)</f>
        <v>203</v>
      </c>
      <c r="DA135" s="39">
        <f>SUM(DA133:DA134)</f>
        <v>206</v>
      </c>
      <c r="DB135" s="74">
        <f>SUM(CX135:DA135)</f>
        <v>825</v>
      </c>
      <c r="DC135" s="74">
        <f>DC134+DC133</f>
        <v>186</v>
      </c>
      <c r="DD135" s="74">
        <f>DD134+DD133</f>
        <v>181</v>
      </c>
      <c r="DE135" s="74">
        <f>DE134+DE133</f>
        <v>173</v>
      </c>
      <c r="DF135" s="74">
        <f>DF134+DF133</f>
        <v>166</v>
      </c>
      <c r="DG135" s="39">
        <f>SUM(DC135:DF135)</f>
        <v>706</v>
      </c>
      <c r="DH135" s="39">
        <f>DH134+DH133</f>
        <v>167.4</v>
      </c>
      <c r="DI135" s="39">
        <f>DI134+DI133</f>
        <v>162.9</v>
      </c>
      <c r="DJ135" s="39">
        <f>DJ134+DJ133</f>
        <v>155.70000000000002</v>
      </c>
      <c r="DK135" s="39">
        <f>DK134+DK133</f>
        <v>149.4</v>
      </c>
      <c r="DL135" s="187">
        <f>SUM(DH135:DK135)</f>
        <v>635.4</v>
      </c>
      <c r="DM135" s="187">
        <f t="shared" ref="DM135:DP135" si="142">DM134+DM133</f>
        <v>571.86</v>
      </c>
      <c r="DN135" s="187">
        <f t="shared" si="142"/>
        <v>457.48800000000006</v>
      </c>
      <c r="DO135" s="187">
        <f t="shared" si="142"/>
        <v>365.99040000000008</v>
      </c>
      <c r="DP135" s="187">
        <f t="shared" si="142"/>
        <v>292.79232000000007</v>
      </c>
    </row>
    <row r="136" spans="1:120" x14ac:dyDescent="0.2">
      <c r="A136" s="68" t="s">
        <v>54</v>
      </c>
      <c r="B136" s="31"/>
      <c r="C136" s="31"/>
      <c r="D136" s="31"/>
      <c r="E136" s="31"/>
      <c r="F136" s="31"/>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75"/>
      <c r="AF136" s="76"/>
      <c r="AG136" s="76"/>
      <c r="AH136" s="111"/>
      <c r="AI136" s="111"/>
      <c r="AJ136" s="75"/>
      <c r="AK136" s="76"/>
      <c r="AL136" s="76"/>
      <c r="AM136" s="111"/>
      <c r="AN136" s="111"/>
      <c r="AO136" s="75"/>
      <c r="AP136" s="76"/>
      <c r="AQ136" s="76"/>
      <c r="AR136" s="111"/>
      <c r="AS136" s="111"/>
      <c r="AT136" s="75"/>
      <c r="AU136" s="76"/>
      <c r="AV136" s="76"/>
      <c r="AW136" s="111"/>
      <c r="AX136" s="111"/>
      <c r="AY136" s="75"/>
      <c r="AZ136" s="76"/>
      <c r="BA136" s="76"/>
      <c r="BB136" s="111"/>
      <c r="BC136" s="111"/>
      <c r="BD136" s="75"/>
      <c r="BE136" s="76"/>
      <c r="BF136" s="76"/>
      <c r="BG136" s="111"/>
      <c r="BH136" s="111"/>
      <c r="BI136" s="75"/>
      <c r="BJ136" s="76"/>
      <c r="BK136" s="76"/>
      <c r="BL136" s="111"/>
      <c r="BM136" s="111"/>
      <c r="BN136" s="75"/>
      <c r="BO136" s="76"/>
      <c r="BP136" s="76"/>
      <c r="BQ136" s="111"/>
      <c r="BR136" s="111"/>
      <c r="BS136" s="75"/>
      <c r="BT136" s="76"/>
      <c r="BU136" s="76"/>
      <c r="BV136" s="111"/>
      <c r="BW136" s="111"/>
      <c r="BX136" s="75"/>
      <c r="BY136" s="76"/>
      <c r="BZ136" s="76"/>
      <c r="CA136" s="111"/>
      <c r="CB136" s="111"/>
      <c r="CC136" s="75"/>
      <c r="CD136" s="76"/>
      <c r="CE136" s="76"/>
      <c r="CF136" s="111"/>
      <c r="CG136" s="111"/>
      <c r="CH136" s="75"/>
      <c r="CI136" s="76"/>
      <c r="CJ136" s="76"/>
      <c r="CK136" s="111"/>
      <c r="CL136" s="111"/>
      <c r="CM136" s="77"/>
      <c r="CN136" s="77"/>
      <c r="CO136" s="77"/>
      <c r="CP136" s="77"/>
      <c r="CQ136" s="77"/>
      <c r="CR136" s="77"/>
      <c r="CS136" s="76"/>
      <c r="CT136" s="77"/>
      <c r="CU136" s="77"/>
      <c r="CV136" s="77"/>
      <c r="CW136" s="90"/>
      <c r="CX136" s="76"/>
      <c r="CY136" s="77"/>
      <c r="CZ136" s="77"/>
      <c r="DA136" s="77"/>
      <c r="DB136" s="90"/>
      <c r="DC136" s="90"/>
      <c r="DD136" s="90"/>
      <c r="DE136" s="90"/>
      <c r="DF136" s="90"/>
      <c r="DG136" s="90"/>
      <c r="DH136" s="90"/>
      <c r="DI136" s="90"/>
      <c r="DJ136" s="90"/>
      <c r="DK136" s="90"/>
      <c r="DL136" s="188"/>
      <c r="DM136" s="188"/>
      <c r="DN136" s="188"/>
      <c r="DO136" s="188"/>
      <c r="DP136" s="188"/>
    </row>
    <row r="137" spans="1:120" x14ac:dyDescent="0.2">
      <c r="A137" s="68" t="s">
        <v>55</v>
      </c>
      <c r="B137" s="31"/>
      <c r="C137" s="31"/>
      <c r="D137" s="31"/>
      <c r="E137" s="31"/>
      <c r="F137" s="31"/>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75"/>
      <c r="AF137" s="76"/>
      <c r="AG137" s="76"/>
      <c r="AH137" s="111"/>
      <c r="AI137" s="111"/>
      <c r="AJ137" s="75"/>
      <c r="AK137" s="76"/>
      <c r="AL137" s="76"/>
      <c r="AM137" s="111"/>
      <c r="AN137" s="111"/>
      <c r="AO137" s="75"/>
      <c r="AP137" s="76"/>
      <c r="AQ137" s="76"/>
      <c r="AR137" s="111"/>
      <c r="AS137" s="111"/>
      <c r="AT137" s="75"/>
      <c r="AU137" s="76"/>
      <c r="AV137" s="76"/>
      <c r="AW137" s="111"/>
      <c r="AX137" s="111"/>
      <c r="AY137" s="75"/>
      <c r="AZ137" s="76"/>
      <c r="BA137" s="76"/>
      <c r="BB137" s="111"/>
      <c r="BC137" s="111"/>
      <c r="BD137" s="75"/>
      <c r="BE137" s="76">
        <f t="shared" ref="BE137:DF138" si="143">BE134/AZ134-1</f>
        <v>0.37037037037037046</v>
      </c>
      <c r="BF137" s="76">
        <f t="shared" si="143"/>
        <v>1.3333333333333419E-2</v>
      </c>
      <c r="BG137" s="111">
        <f t="shared" si="143"/>
        <v>0.16216216216216206</v>
      </c>
      <c r="BH137" s="111">
        <f t="shared" si="143"/>
        <v>0.55737704918032782</v>
      </c>
      <c r="BI137" s="75">
        <f t="shared" si="143"/>
        <v>0.2537878787878789</v>
      </c>
      <c r="BJ137" s="76">
        <f t="shared" si="143"/>
        <v>0.45945945945945943</v>
      </c>
      <c r="BK137" s="76">
        <f t="shared" si="143"/>
        <v>0.47368421052631571</v>
      </c>
      <c r="BL137" s="111">
        <f t="shared" si="143"/>
        <v>0.46511627906976738</v>
      </c>
      <c r="BM137" s="111">
        <f t="shared" si="143"/>
        <v>0.53684210526315779</v>
      </c>
      <c r="BN137" s="75">
        <f t="shared" si="143"/>
        <v>0.48640483383685806</v>
      </c>
      <c r="BO137" s="76">
        <f t="shared" si="143"/>
        <v>0.45370370370370372</v>
      </c>
      <c r="BP137" s="76">
        <f t="shared" si="143"/>
        <v>0.5535714285714286</v>
      </c>
      <c r="BQ137" s="111">
        <f t="shared" si="143"/>
        <v>0.3492063492063493</v>
      </c>
      <c r="BR137" s="111">
        <f t="shared" si="143"/>
        <v>0.28767123287671237</v>
      </c>
      <c r="BS137" s="75">
        <f t="shared" si="143"/>
        <v>0.40040650406504064</v>
      </c>
      <c r="BT137" s="76">
        <f t="shared" si="143"/>
        <v>6.3694267515923553E-3</v>
      </c>
      <c r="BU137" s="76">
        <f t="shared" si="143"/>
        <v>-2.8735632183908066E-2</v>
      </c>
      <c r="BV137" s="111">
        <f t="shared" si="143"/>
        <v>4.705882352941182E-2</v>
      </c>
      <c r="BW137" s="111">
        <f t="shared" si="143"/>
        <v>-1.5957446808510634E-2</v>
      </c>
      <c r="BX137" s="75">
        <f t="shared" si="143"/>
        <v>1.4513788098693414E-3</v>
      </c>
      <c r="BY137" s="76">
        <f t="shared" si="143"/>
        <v>0.18987341772151889</v>
      </c>
      <c r="BZ137" s="76">
        <f t="shared" si="143"/>
        <v>0.1775147928994083</v>
      </c>
      <c r="CA137" s="111">
        <f t="shared" si="143"/>
        <v>8.4269662921348409E-2</v>
      </c>
      <c r="CB137" s="111">
        <f t="shared" si="143"/>
        <v>5.4054054054053502E-3</v>
      </c>
      <c r="CC137" s="75">
        <f t="shared" si="143"/>
        <v>0.11014492753623184</v>
      </c>
      <c r="CD137" s="76">
        <f t="shared" si="143"/>
        <v>-2.1276595744680882E-2</v>
      </c>
      <c r="CE137" s="76">
        <f t="shared" si="143"/>
        <v>0</v>
      </c>
      <c r="CF137" s="111">
        <f t="shared" si="143"/>
        <v>0.13471502590673579</v>
      </c>
      <c r="CG137" s="111">
        <f t="shared" si="143"/>
        <v>0.16666666666666674</v>
      </c>
      <c r="CH137" s="75">
        <f t="shared" si="143"/>
        <v>6.9190600522193169E-2</v>
      </c>
      <c r="CI137" s="76">
        <f t="shared" si="143"/>
        <v>0.25543478260869557</v>
      </c>
      <c r="CJ137" s="76">
        <f t="shared" si="143"/>
        <v>0.17085427135678399</v>
      </c>
      <c r="CK137" s="76">
        <f t="shared" si="143"/>
        <v>-4.1095890410958957E-2</v>
      </c>
      <c r="CL137" s="76">
        <f t="shared" si="143"/>
        <v>1.3824884792626779E-2</v>
      </c>
      <c r="CM137" s="77">
        <f t="shared" si="143"/>
        <v>9.1575091575091472E-2</v>
      </c>
      <c r="CN137" s="77">
        <f t="shared" si="143"/>
        <v>-9.9567099567099526E-2</v>
      </c>
      <c r="CO137" s="77">
        <f t="shared" si="143"/>
        <v>-8.1545064377682386E-2</v>
      </c>
      <c r="CP137" s="77">
        <f t="shared" si="143"/>
        <v>-3.3333333333333326E-2</v>
      </c>
      <c r="CQ137" s="77">
        <f t="shared" si="143"/>
        <v>-6.8181818181818232E-2</v>
      </c>
      <c r="CR137" s="77">
        <f>CR134/CM134-1</f>
        <v>-7.1588366890380284E-2</v>
      </c>
      <c r="CS137" s="77">
        <f t="shared" si="143"/>
        <v>3.3653846153846256E-2</v>
      </c>
      <c r="CT137" s="77">
        <f t="shared" si="143"/>
        <v>-0.10747663551401865</v>
      </c>
      <c r="CU137" s="77">
        <f t="shared" si="143"/>
        <v>2.9556650246305383E-2</v>
      </c>
      <c r="CV137" s="77">
        <f t="shared" si="143"/>
        <v>8.7804878048780566E-2</v>
      </c>
      <c r="CW137" s="90">
        <f>CW134/CR134-1</f>
        <v>9.6385542168675453E-3</v>
      </c>
      <c r="CX137" s="77">
        <f t="shared" si="143"/>
        <v>-4.6511627906976605E-3</v>
      </c>
      <c r="CY137" s="77">
        <f t="shared" si="143"/>
        <v>5.7591623036649109E-2</v>
      </c>
      <c r="CZ137" s="77">
        <f t="shared" si="143"/>
        <v>-2.8708133971291905E-2</v>
      </c>
      <c r="DA137" s="77">
        <f t="shared" si="143"/>
        <v>-7.623318385650224E-2</v>
      </c>
      <c r="DB137" s="90">
        <f>DB134/CW134-1</f>
        <v>-1.5513126491646823E-2</v>
      </c>
      <c r="DC137" s="77">
        <f t="shared" si="143"/>
        <v>-0.13084112149532712</v>
      </c>
      <c r="DD137" s="77">
        <f t="shared" si="143"/>
        <v>-0.10396039603960394</v>
      </c>
      <c r="DE137" s="77">
        <f t="shared" si="143"/>
        <v>-0.14778325123152714</v>
      </c>
      <c r="DF137" s="77">
        <f t="shared" si="143"/>
        <v>-0.19417475728155342</v>
      </c>
      <c r="DG137" s="90">
        <f>DG134/DB134-1</f>
        <v>-0.14424242424242428</v>
      </c>
      <c r="DH137" s="90">
        <v>-0.1</v>
      </c>
      <c r="DI137" s="90">
        <v>-0.1</v>
      </c>
      <c r="DJ137" s="90">
        <v>-0.1</v>
      </c>
      <c r="DK137" s="90">
        <v>-0.1</v>
      </c>
      <c r="DL137" s="188">
        <f>DL134/DG134-1</f>
        <v>-9.9999999999999978E-2</v>
      </c>
      <c r="DM137" s="188">
        <v>-0.1</v>
      </c>
      <c r="DN137" s="188">
        <v>-0.2</v>
      </c>
      <c r="DO137" s="188">
        <v>-0.2</v>
      </c>
      <c r="DP137" s="188">
        <v>-0.2</v>
      </c>
    </row>
    <row r="138" spans="1:120" x14ac:dyDescent="0.2">
      <c r="A138" s="78" t="s">
        <v>56</v>
      </c>
      <c r="B138" s="79"/>
      <c r="C138" s="79"/>
      <c r="D138" s="79"/>
      <c r="E138" s="79"/>
      <c r="F138" s="79"/>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3"/>
      <c r="AF138" s="83"/>
      <c r="AG138" s="83"/>
      <c r="AH138" s="102"/>
      <c r="AI138" s="102"/>
      <c r="AJ138" s="83"/>
      <c r="AK138" s="83"/>
      <c r="AL138" s="83"/>
      <c r="AM138" s="102"/>
      <c r="AN138" s="102"/>
      <c r="AO138" s="83"/>
      <c r="AP138" s="83"/>
      <c r="AQ138" s="83"/>
      <c r="AR138" s="102"/>
      <c r="AS138" s="102"/>
      <c r="AT138" s="83"/>
      <c r="AU138" s="83"/>
      <c r="AV138" s="83"/>
      <c r="AW138" s="102"/>
      <c r="AX138" s="102"/>
      <c r="AY138" s="83"/>
      <c r="AZ138" s="83"/>
      <c r="BA138" s="83"/>
      <c r="BB138" s="102"/>
      <c r="BC138" s="102"/>
      <c r="BD138" s="83"/>
      <c r="BE138" s="83">
        <f t="shared" si="143"/>
        <v>0.37037037037037046</v>
      </c>
      <c r="BF138" s="83">
        <f t="shared" si="143"/>
        <v>1.3333333333333419E-2</v>
      </c>
      <c r="BG138" s="102">
        <f t="shared" si="143"/>
        <v>0.16216216216216206</v>
      </c>
      <c r="BH138" s="102">
        <f t="shared" si="143"/>
        <v>0.55737704918032782</v>
      </c>
      <c r="BI138" s="83">
        <f t="shared" si="143"/>
        <v>0.2537878787878789</v>
      </c>
      <c r="BJ138" s="83">
        <f t="shared" si="143"/>
        <v>0.45945945945945943</v>
      </c>
      <c r="BK138" s="83">
        <f t="shared" si="143"/>
        <v>0.47368421052631571</v>
      </c>
      <c r="BL138" s="102">
        <f t="shared" si="143"/>
        <v>0.46511627906976738</v>
      </c>
      <c r="BM138" s="102">
        <f t="shared" si="143"/>
        <v>0.53684210526315779</v>
      </c>
      <c r="BN138" s="83">
        <f t="shared" si="143"/>
        <v>0.48640483383685806</v>
      </c>
      <c r="BO138" s="83">
        <f t="shared" si="143"/>
        <v>0.45370370370370372</v>
      </c>
      <c r="BP138" s="83">
        <f t="shared" si="143"/>
        <v>0.5535714285714286</v>
      </c>
      <c r="BQ138" s="102">
        <f t="shared" si="143"/>
        <v>0.3492063492063493</v>
      </c>
      <c r="BR138" s="102">
        <f t="shared" si="143"/>
        <v>0.28767123287671237</v>
      </c>
      <c r="BS138" s="83">
        <f t="shared" si="143"/>
        <v>0.40040650406504064</v>
      </c>
      <c r="BT138" s="83">
        <f t="shared" si="143"/>
        <v>6.3694267515923553E-3</v>
      </c>
      <c r="BU138" s="83">
        <f t="shared" si="143"/>
        <v>-2.8735632183908066E-2</v>
      </c>
      <c r="BV138" s="102">
        <f t="shared" si="143"/>
        <v>4.705882352941182E-2</v>
      </c>
      <c r="BW138" s="102">
        <f t="shared" si="143"/>
        <v>-1.5957446808510634E-2</v>
      </c>
      <c r="BX138" s="83">
        <f t="shared" si="143"/>
        <v>1.4513788098693414E-3</v>
      </c>
      <c r="BY138" s="83">
        <f t="shared" si="143"/>
        <v>0.18987341772151889</v>
      </c>
      <c r="BZ138" s="83">
        <f t="shared" si="143"/>
        <v>0.1775147928994083</v>
      </c>
      <c r="CA138" s="102">
        <f t="shared" si="143"/>
        <v>8.4269662921348409E-2</v>
      </c>
      <c r="CB138" s="102">
        <f t="shared" si="143"/>
        <v>5.4054054054053502E-3</v>
      </c>
      <c r="CC138" s="83">
        <f t="shared" si="143"/>
        <v>0.11014492753623184</v>
      </c>
      <c r="CD138" s="83">
        <f t="shared" si="143"/>
        <v>-2.1276595744680882E-2</v>
      </c>
      <c r="CE138" s="83">
        <f t="shared" si="143"/>
        <v>0</v>
      </c>
      <c r="CF138" s="102">
        <f t="shared" si="143"/>
        <v>0.13471502590673579</v>
      </c>
      <c r="CG138" s="102">
        <f t="shared" si="143"/>
        <v>0.16666666666666674</v>
      </c>
      <c r="CH138" s="83">
        <f t="shared" si="143"/>
        <v>6.9190600522193169E-2</v>
      </c>
      <c r="CI138" s="83">
        <f t="shared" si="143"/>
        <v>0.25543478260869557</v>
      </c>
      <c r="CJ138" s="83">
        <f t="shared" si="143"/>
        <v>0.17085427135678399</v>
      </c>
      <c r="CK138" s="83">
        <f t="shared" si="143"/>
        <v>-4.1095890410958957E-2</v>
      </c>
      <c r="CL138" s="83">
        <f t="shared" si="143"/>
        <v>1.3824884792626779E-2</v>
      </c>
      <c r="CM138" s="84">
        <f t="shared" si="143"/>
        <v>9.1575091575091472E-2</v>
      </c>
      <c r="CN138" s="84">
        <f t="shared" si="143"/>
        <v>-9.9567099567099526E-2</v>
      </c>
      <c r="CO138" s="84">
        <f t="shared" si="143"/>
        <v>-8.1545064377682386E-2</v>
      </c>
      <c r="CP138" s="84">
        <f t="shared" si="143"/>
        <v>-3.3333333333333326E-2</v>
      </c>
      <c r="CQ138" s="84">
        <f t="shared" si="143"/>
        <v>-6.8181818181818232E-2</v>
      </c>
      <c r="CR138" s="84">
        <f>CR135/CM135-1</f>
        <v>-7.1588366890380284E-2</v>
      </c>
      <c r="CS138" s="84">
        <f t="shared" si="143"/>
        <v>3.3653846153846256E-2</v>
      </c>
      <c r="CT138" s="84">
        <f t="shared" si="143"/>
        <v>-0.10747663551401865</v>
      </c>
      <c r="CU138" s="84">
        <f t="shared" si="143"/>
        <v>2.9556650246305383E-2</v>
      </c>
      <c r="CV138" s="84">
        <f t="shared" si="143"/>
        <v>8.7804878048780566E-2</v>
      </c>
      <c r="CW138" s="80">
        <f>CW135/CR135-1</f>
        <v>9.6385542168675453E-3</v>
      </c>
      <c r="CX138" s="84">
        <f>CX135/CS135-1</f>
        <v>-4.6511627906976605E-3</v>
      </c>
      <c r="CY138" s="84">
        <f>CY135/CT135-1</f>
        <v>5.7591623036649109E-2</v>
      </c>
      <c r="CZ138" s="84">
        <f>CZ135/CU135-1</f>
        <v>-2.8708133971291905E-2</v>
      </c>
      <c r="DA138" s="84">
        <f>DA135/CV135-1</f>
        <v>-7.623318385650224E-2</v>
      </c>
      <c r="DB138" s="80">
        <f>DB135/CW135-1</f>
        <v>-1.5513126491646823E-2</v>
      </c>
      <c r="DC138" s="80">
        <f>DC135/CX135-1</f>
        <v>-0.13084112149532712</v>
      </c>
      <c r="DD138" s="80">
        <f>DD135/CY135-1</f>
        <v>-0.10396039603960394</v>
      </c>
      <c r="DE138" s="80">
        <f>DE135/CZ135-1</f>
        <v>-0.14778325123152714</v>
      </c>
      <c r="DF138" s="80">
        <f>DF135/DA135-1</f>
        <v>-0.19417475728155342</v>
      </c>
      <c r="DG138" s="80">
        <f>DG135/DB135-1</f>
        <v>-0.14424242424242428</v>
      </c>
      <c r="DH138" s="80">
        <f>DH135/DC135-1</f>
        <v>-9.9999999999999978E-2</v>
      </c>
      <c r="DI138" s="80">
        <f>DI135/DD135-1</f>
        <v>-9.9999999999999978E-2</v>
      </c>
      <c r="DJ138" s="80">
        <f>DJ135/DE135-1</f>
        <v>-9.9999999999999867E-2</v>
      </c>
      <c r="DK138" s="80">
        <f>DK135/DF135-1</f>
        <v>-9.9999999999999978E-2</v>
      </c>
      <c r="DL138" s="189">
        <f>DL135/DG135-1</f>
        <v>-9.9999999999999978E-2</v>
      </c>
      <c r="DM138" s="189">
        <f t="shared" ref="DM138:DP138" si="144">DM135/DL135-1</f>
        <v>-9.9999999999999978E-2</v>
      </c>
      <c r="DN138" s="189">
        <f t="shared" si="144"/>
        <v>-0.19999999999999996</v>
      </c>
      <c r="DO138" s="189">
        <f t="shared" si="144"/>
        <v>-0.19999999999999996</v>
      </c>
      <c r="DP138" s="189">
        <f t="shared" si="144"/>
        <v>-0.19999999999999996</v>
      </c>
    </row>
    <row r="139" spans="1:120" x14ac:dyDescent="0.2">
      <c r="A139" s="115" t="s">
        <v>124</v>
      </c>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6"/>
      <c r="CP139" s="39"/>
      <c r="CQ139" s="39"/>
      <c r="CR139" s="39"/>
      <c r="CS139" s="39"/>
      <c r="CT139" s="36"/>
      <c r="CU139" s="39"/>
      <c r="CV139" s="39"/>
      <c r="CW139" s="39"/>
      <c r="CX139" s="39"/>
      <c r="CY139" s="36"/>
      <c r="CZ139" s="39"/>
      <c r="DA139" s="39"/>
      <c r="DB139" s="39"/>
      <c r="DC139" s="39"/>
      <c r="DD139" s="39"/>
      <c r="DE139" s="39"/>
      <c r="DF139" s="39"/>
      <c r="DG139" s="39"/>
      <c r="DH139" s="39"/>
      <c r="DI139" s="39"/>
      <c r="DJ139" s="39"/>
      <c r="DK139" s="39"/>
      <c r="DL139" s="187"/>
      <c r="DM139" s="187"/>
      <c r="DN139" s="187"/>
      <c r="DO139" s="187"/>
      <c r="DP139" s="187"/>
    </row>
    <row r="140" spans="1:120" x14ac:dyDescent="0.2">
      <c r="A140" s="115" t="s">
        <v>125</v>
      </c>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6">
        <v>123</v>
      </c>
      <c r="CO140" s="36">
        <v>98</v>
      </c>
      <c r="CP140" s="36">
        <v>101</v>
      </c>
      <c r="CQ140" s="36">
        <v>89</v>
      </c>
      <c r="CR140" s="36">
        <f>CQ140+CP140+CO140+CN140</f>
        <v>411</v>
      </c>
      <c r="CS140" s="36">
        <v>88</v>
      </c>
      <c r="CT140" s="36">
        <v>73</v>
      </c>
      <c r="CU140" s="36">
        <v>82</v>
      </c>
      <c r="CV140" s="36">
        <v>88</v>
      </c>
      <c r="CW140" s="72">
        <f>SUM(CS140:CV140)</f>
        <v>331</v>
      </c>
      <c r="CX140" s="36">
        <v>85</v>
      </c>
      <c r="CY140" s="36">
        <v>75</v>
      </c>
      <c r="CZ140" s="36">
        <v>73</v>
      </c>
      <c r="DA140" s="36">
        <v>67</v>
      </c>
      <c r="DB140" s="72">
        <f>SUM(CX140:DA140)</f>
        <v>300</v>
      </c>
      <c r="DC140" s="72">
        <v>61</v>
      </c>
      <c r="DD140" s="72">
        <v>53</v>
      </c>
      <c r="DE140" s="72">
        <v>49</v>
      </c>
      <c r="DF140" s="72">
        <v>44</v>
      </c>
      <c r="DG140" s="36">
        <f>SUM(DC140:DF140)</f>
        <v>207</v>
      </c>
      <c r="DH140" s="36">
        <f>DC140*(1+DH143)</f>
        <v>56.120000000000005</v>
      </c>
      <c r="DI140" s="36">
        <f>DD140*(1+DI143)</f>
        <v>48.760000000000005</v>
      </c>
      <c r="DJ140" s="36">
        <f>DE140*(1+DJ143)</f>
        <v>45.080000000000005</v>
      </c>
      <c r="DK140" s="36">
        <f>DF140*(1+DK143)</f>
        <v>40.480000000000004</v>
      </c>
      <c r="DL140" s="183">
        <f>SUM(DH140:DK140)</f>
        <v>190.44</v>
      </c>
      <c r="DM140" s="183">
        <f t="shared" ref="DM140:DP140" si="145">DL140*(1+DM143)</f>
        <v>175.20480000000001</v>
      </c>
      <c r="DN140" s="183">
        <f t="shared" si="145"/>
        <v>161.18841600000002</v>
      </c>
      <c r="DO140" s="183">
        <f t="shared" si="145"/>
        <v>148.29334272000003</v>
      </c>
      <c r="DP140" s="183">
        <f t="shared" si="145"/>
        <v>136.42987530240003</v>
      </c>
    </row>
    <row r="141" spans="1:120" x14ac:dyDescent="0.2">
      <c r="A141" s="39" t="s">
        <v>126</v>
      </c>
      <c r="G141" s="39"/>
      <c r="H141" s="39"/>
      <c r="I141" s="39"/>
      <c r="J141" s="39"/>
      <c r="K141" s="39"/>
      <c r="L141" s="39">
        <v>114</v>
      </c>
      <c r="M141" s="39">
        <v>126</v>
      </c>
      <c r="N141" s="39">
        <v>141.6</v>
      </c>
      <c r="O141" s="39">
        <v>158.6</v>
      </c>
      <c r="P141" s="39">
        <f>O141+N141+M141+L141</f>
        <v>540.20000000000005</v>
      </c>
      <c r="Q141" s="39">
        <v>164.8</v>
      </c>
      <c r="R141" s="39">
        <v>181.8</v>
      </c>
      <c r="S141" s="39">
        <v>187.8</v>
      </c>
      <c r="T141" s="39">
        <v>212</v>
      </c>
      <c r="U141" s="39">
        <f>T141+S141+R141+Q141</f>
        <v>746.40000000000009</v>
      </c>
      <c r="V141" s="39">
        <v>220</v>
      </c>
      <c r="W141" s="39">
        <v>234</v>
      </c>
      <c r="X141" s="39">
        <v>237</v>
      </c>
      <c r="Y141" s="39">
        <v>251</v>
      </c>
      <c r="Z141" s="39">
        <f>Y141+X141+W141+V141</f>
        <v>942</v>
      </c>
      <c r="AA141" s="39">
        <v>278</v>
      </c>
      <c r="AB141" s="39">
        <v>307</v>
      </c>
      <c r="AC141" s="39">
        <v>317</v>
      </c>
      <c r="AD141" s="39">
        <v>337</v>
      </c>
      <c r="AE141" s="39">
        <f>AD141+AC141+AB141+AA141</f>
        <v>1239</v>
      </c>
      <c r="AF141" s="39">
        <v>373</v>
      </c>
      <c r="AG141" s="39">
        <v>394</v>
      </c>
      <c r="AH141" s="39">
        <v>426</v>
      </c>
      <c r="AI141" s="39">
        <v>455</v>
      </c>
      <c r="AJ141" s="39">
        <f>AI141+AH141+AG141+AF141</f>
        <v>1648</v>
      </c>
      <c r="AK141" s="39">
        <v>507</v>
      </c>
      <c r="AL141" s="39">
        <v>557</v>
      </c>
      <c r="AM141" s="39">
        <v>564</v>
      </c>
      <c r="AN141" s="39">
        <v>491</v>
      </c>
      <c r="AO141" s="39">
        <f>AN141+AM141+AL141+AK141</f>
        <v>2119</v>
      </c>
      <c r="AP141" s="39">
        <v>518</v>
      </c>
      <c r="AQ141" s="39">
        <v>565</v>
      </c>
      <c r="AR141" s="39">
        <v>608</v>
      </c>
      <c r="AS141" s="39">
        <v>635</v>
      </c>
      <c r="AT141" s="39">
        <f>AS141+AR141+AQ141+AP141</f>
        <v>2326</v>
      </c>
      <c r="AU141" s="39">
        <v>674</v>
      </c>
      <c r="AV141" s="39">
        <v>669</v>
      </c>
      <c r="AW141" s="39">
        <v>661</v>
      </c>
      <c r="AX141" s="39">
        <v>710</v>
      </c>
      <c r="AY141" s="39">
        <f>AX141+AW141+AV141+AU141</f>
        <v>2714</v>
      </c>
      <c r="AZ141" s="39">
        <v>753</v>
      </c>
      <c r="BA141" s="39">
        <v>842</v>
      </c>
      <c r="BB141" s="39">
        <v>561</v>
      </c>
      <c r="BC141" s="39">
        <v>511</v>
      </c>
      <c r="BD141" s="39">
        <f>BC141+BB141+BA141+AZ141</f>
        <v>2667</v>
      </c>
      <c r="BE141" s="39">
        <v>519</v>
      </c>
      <c r="BF141" s="39">
        <v>518</v>
      </c>
      <c r="BG141" s="39">
        <v>490</v>
      </c>
      <c r="BH141" s="39">
        <v>549</v>
      </c>
      <c r="BI141" s="39">
        <f>BH141+BG141+BF141+BE141</f>
        <v>2076</v>
      </c>
      <c r="BJ141" s="39">
        <v>549</v>
      </c>
      <c r="BK141" s="39">
        <v>527</v>
      </c>
      <c r="BL141" s="39">
        <v>574</v>
      </c>
      <c r="BM141" s="39">
        <v>620</v>
      </c>
      <c r="BN141" s="39">
        <f>BM141+BL141+BK141+BJ141</f>
        <v>2270</v>
      </c>
      <c r="BO141" s="39">
        <v>604</v>
      </c>
      <c r="BP141" s="39">
        <v>607</v>
      </c>
      <c r="BQ141" s="39">
        <v>604</v>
      </c>
      <c r="BR141" s="39">
        <v>557</v>
      </c>
      <c r="BS141" s="39">
        <f>BR141+BQ141+BP141+BO141</f>
        <v>2372</v>
      </c>
      <c r="BT141" s="39">
        <v>501</v>
      </c>
      <c r="BU141" s="39">
        <v>455</v>
      </c>
      <c r="BV141" s="39">
        <v>442</v>
      </c>
      <c r="BW141" s="39">
        <v>396</v>
      </c>
      <c r="BX141" s="39">
        <f>BW141+BV141+BU141+BT141</f>
        <v>1794</v>
      </c>
      <c r="BY141" s="39">
        <v>349</v>
      </c>
      <c r="BZ141" s="39">
        <v>339</v>
      </c>
      <c r="CA141" s="39">
        <v>311</v>
      </c>
      <c r="CB141" s="39">
        <v>269</v>
      </c>
      <c r="CC141" s="39">
        <f>CB141+CA141+BZ141+BY141</f>
        <v>1268</v>
      </c>
      <c r="CD141" s="39">
        <v>229</v>
      </c>
      <c r="CE141" s="39">
        <v>208</v>
      </c>
      <c r="CF141" s="39">
        <v>214</v>
      </c>
      <c r="CG141" s="39">
        <v>186</v>
      </c>
      <c r="CH141" s="39">
        <f>CG141+CF141+CE141+CD141</f>
        <v>837</v>
      </c>
      <c r="CI141" s="39">
        <v>167</v>
      </c>
      <c r="CJ141" s="39">
        <v>157</v>
      </c>
      <c r="CK141" s="39">
        <v>135</v>
      </c>
      <c r="CL141" s="39">
        <v>123</v>
      </c>
      <c r="CM141" s="39">
        <f>CL141+CK141+CJ141+CI141</f>
        <v>582</v>
      </c>
      <c r="CN141" s="39">
        <v>123</v>
      </c>
      <c r="CO141" s="39">
        <f>SUM(CO139:CO140)</f>
        <v>98</v>
      </c>
      <c r="CP141" s="39">
        <f>SUM(CP139:CP140)</f>
        <v>101</v>
      </c>
      <c r="CQ141" s="39">
        <f>SUM(CQ139:CQ140)</f>
        <v>89</v>
      </c>
      <c r="CR141" s="39">
        <f>CQ141+CP141+CO141+CN141</f>
        <v>411</v>
      </c>
      <c r="CS141" s="39">
        <f>SUM(CS139:CS140)</f>
        <v>88</v>
      </c>
      <c r="CT141" s="39">
        <f>SUM(CT139:CT140)</f>
        <v>73</v>
      </c>
      <c r="CU141" s="39">
        <f>SUM(CU139:CU140)</f>
        <v>82</v>
      </c>
      <c r="CV141" s="39">
        <f>SUM(CV139:CV140)</f>
        <v>88</v>
      </c>
      <c r="CW141" s="74">
        <f>SUM(CS141:CV141)</f>
        <v>331</v>
      </c>
      <c r="CX141" s="39">
        <f>SUM(CX139:CX140)</f>
        <v>85</v>
      </c>
      <c r="CY141" s="39">
        <f>SUM(CY139:CY140)</f>
        <v>75</v>
      </c>
      <c r="CZ141" s="39">
        <f>SUM(CZ139:CZ140)</f>
        <v>73</v>
      </c>
      <c r="DA141" s="39">
        <f>SUM(DA139:DA140)</f>
        <v>67</v>
      </c>
      <c r="DB141" s="74">
        <f>SUM(CX141:DA141)</f>
        <v>300</v>
      </c>
      <c r="DC141" s="39">
        <f>SUM(DC139:DC140)</f>
        <v>61</v>
      </c>
      <c r="DD141" s="39">
        <f>SUM(DD139:DD140)</f>
        <v>53</v>
      </c>
      <c r="DE141" s="39">
        <f>SUM(DE139:DE140)</f>
        <v>49</v>
      </c>
      <c r="DF141" s="39">
        <f>SUM(DF139:DF140)</f>
        <v>44</v>
      </c>
      <c r="DG141" s="39">
        <f>SUM(DC141:DF141)</f>
        <v>207</v>
      </c>
      <c r="DH141" s="39">
        <f>DH140</f>
        <v>56.120000000000005</v>
      </c>
      <c r="DI141" s="39">
        <f>DI140</f>
        <v>48.760000000000005</v>
      </c>
      <c r="DJ141" s="39">
        <f>DJ140</f>
        <v>45.080000000000005</v>
      </c>
      <c r="DK141" s="39">
        <f>DK140</f>
        <v>40.480000000000004</v>
      </c>
      <c r="DL141" s="187">
        <f>SUM(DH141:DK141)</f>
        <v>190.44</v>
      </c>
      <c r="DM141" s="187">
        <f t="shared" ref="DM141:DP141" si="146">DM140</f>
        <v>175.20480000000001</v>
      </c>
      <c r="DN141" s="187">
        <f t="shared" si="146"/>
        <v>161.18841600000002</v>
      </c>
      <c r="DO141" s="187">
        <f t="shared" si="146"/>
        <v>148.29334272000003</v>
      </c>
      <c r="DP141" s="187">
        <f t="shared" si="146"/>
        <v>136.42987530240003</v>
      </c>
    </row>
    <row r="142" spans="1:120" x14ac:dyDescent="0.2">
      <c r="A142" s="68" t="s">
        <v>54</v>
      </c>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76"/>
      <c r="CT142" s="39"/>
      <c r="CU142" s="39"/>
      <c r="CV142" s="39"/>
      <c r="CW142" s="39"/>
      <c r="CX142" s="76"/>
      <c r="CY142" s="39"/>
      <c r="CZ142" s="39"/>
      <c r="DA142" s="39"/>
      <c r="DB142" s="39"/>
      <c r="DC142" s="39"/>
      <c r="DD142" s="39"/>
      <c r="DE142" s="39"/>
      <c r="DF142" s="39"/>
      <c r="DG142" s="39"/>
      <c r="DH142" s="39"/>
      <c r="DI142" s="39"/>
      <c r="DJ142" s="39"/>
      <c r="DK142" s="39"/>
      <c r="DL142" s="187"/>
      <c r="DM142" s="187"/>
      <c r="DN142" s="187"/>
      <c r="DO142" s="187"/>
      <c r="DP142" s="187"/>
    </row>
    <row r="143" spans="1:120" x14ac:dyDescent="0.2">
      <c r="A143" s="68" t="s">
        <v>55</v>
      </c>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76"/>
      <c r="CT143" s="39"/>
      <c r="CU143" s="39"/>
      <c r="CV143" s="39"/>
      <c r="CW143" s="39"/>
      <c r="CX143" s="77">
        <f t="shared" ref="CX143:DB144" si="147">CX140/CS140-1</f>
        <v>-3.4090909090909061E-2</v>
      </c>
      <c r="CY143" s="77">
        <f t="shared" si="147"/>
        <v>2.7397260273972712E-2</v>
      </c>
      <c r="CZ143" s="77">
        <f t="shared" si="147"/>
        <v>-0.1097560975609756</v>
      </c>
      <c r="DA143" s="77">
        <f t="shared" si="147"/>
        <v>-0.23863636363636365</v>
      </c>
      <c r="DB143" s="90">
        <f t="shared" si="147"/>
        <v>-9.3655589123867067E-2</v>
      </c>
      <c r="DC143" s="90"/>
      <c r="DD143" s="90"/>
      <c r="DE143" s="90"/>
      <c r="DF143" s="90"/>
      <c r="DG143" s="63">
        <f>DG140/DB140-1</f>
        <v>-0.31000000000000005</v>
      </c>
      <c r="DH143" s="63">
        <v>-0.08</v>
      </c>
      <c r="DI143" s="63">
        <v>-0.08</v>
      </c>
      <c r="DJ143" s="63">
        <v>-0.08</v>
      </c>
      <c r="DK143" s="63">
        <v>-0.08</v>
      </c>
      <c r="DL143" s="198">
        <f>DL140/DG140-1</f>
        <v>-7.999999999999996E-2</v>
      </c>
      <c r="DM143" s="198">
        <v>-0.08</v>
      </c>
      <c r="DN143" s="198">
        <v>-0.08</v>
      </c>
      <c r="DO143" s="198">
        <v>-0.08</v>
      </c>
      <c r="DP143" s="198">
        <v>-0.08</v>
      </c>
    </row>
    <row r="144" spans="1:120" x14ac:dyDescent="0.2">
      <c r="A144" s="97" t="s">
        <v>127</v>
      </c>
      <c r="F144" s="98"/>
      <c r="G144" s="83"/>
      <c r="H144" s="83"/>
      <c r="I144" s="83"/>
      <c r="J144" s="83"/>
      <c r="K144" s="83"/>
      <c r="L144" s="83" t="e">
        <f>L141/G141-1</f>
        <v>#DIV/0!</v>
      </c>
      <c r="M144" s="83" t="e">
        <f>M141/H141-1</f>
        <v>#DIV/0!</v>
      </c>
      <c r="N144" s="83" t="e">
        <f>N141/I141-1</f>
        <v>#DIV/0!</v>
      </c>
      <c r="O144" s="83" t="e">
        <f>O141/J141-1</f>
        <v>#DIV/0!</v>
      </c>
      <c r="P144" s="83"/>
      <c r="Q144" s="83">
        <f t="shared" ref="Q144:CB144" si="148">Q141/L141-1</f>
        <v>0.44561403508771935</v>
      </c>
      <c r="R144" s="83">
        <f t="shared" si="148"/>
        <v>0.44285714285714284</v>
      </c>
      <c r="S144" s="83">
        <f t="shared" si="148"/>
        <v>0.32627118644067821</v>
      </c>
      <c r="T144" s="83">
        <f t="shared" si="148"/>
        <v>0.3366960907944514</v>
      </c>
      <c r="U144" s="100">
        <f t="shared" si="148"/>
        <v>0.38171047760088861</v>
      </c>
      <c r="V144" s="83">
        <f t="shared" si="148"/>
        <v>0.33495145631067946</v>
      </c>
      <c r="W144" s="83">
        <f t="shared" si="148"/>
        <v>0.28712871287128694</v>
      </c>
      <c r="X144" s="83">
        <f t="shared" si="148"/>
        <v>0.26198083067092637</v>
      </c>
      <c r="Y144" s="83">
        <f t="shared" si="148"/>
        <v>0.1839622641509433</v>
      </c>
      <c r="Z144" s="100">
        <f t="shared" si="148"/>
        <v>0.26205787781350476</v>
      </c>
      <c r="AA144" s="83">
        <f t="shared" si="148"/>
        <v>0.26363636363636367</v>
      </c>
      <c r="AB144" s="83">
        <f t="shared" si="148"/>
        <v>0.31196581196581197</v>
      </c>
      <c r="AC144" s="83">
        <f t="shared" si="148"/>
        <v>0.33755274261603385</v>
      </c>
      <c r="AD144" s="83">
        <f t="shared" si="148"/>
        <v>0.34262948207171307</v>
      </c>
      <c r="AE144" s="100">
        <f t="shared" si="148"/>
        <v>0.3152866242038217</v>
      </c>
      <c r="AF144" s="83">
        <f t="shared" si="148"/>
        <v>0.34172661870503607</v>
      </c>
      <c r="AG144" s="83">
        <f t="shared" si="148"/>
        <v>0.28338762214983704</v>
      </c>
      <c r="AH144" s="83">
        <f t="shared" si="148"/>
        <v>0.34384858044164046</v>
      </c>
      <c r="AI144" s="83">
        <f t="shared" si="148"/>
        <v>0.35014836795252235</v>
      </c>
      <c r="AJ144" s="100">
        <f t="shared" si="148"/>
        <v>0.3301049233252622</v>
      </c>
      <c r="AK144" s="83">
        <f t="shared" si="148"/>
        <v>0.35924932975871315</v>
      </c>
      <c r="AL144" s="83">
        <f t="shared" si="148"/>
        <v>0.41370558375634525</v>
      </c>
      <c r="AM144" s="83">
        <f t="shared" si="148"/>
        <v>0.323943661971831</v>
      </c>
      <c r="AN144" s="83">
        <f t="shared" si="148"/>
        <v>7.9120879120879062E-2</v>
      </c>
      <c r="AO144" s="100">
        <f t="shared" si="148"/>
        <v>0.28580097087378631</v>
      </c>
      <c r="AP144" s="83">
        <f t="shared" si="148"/>
        <v>2.1696252465483346E-2</v>
      </c>
      <c r="AQ144" s="83">
        <f t="shared" si="148"/>
        <v>1.4362657091562037E-2</v>
      </c>
      <c r="AR144" s="83">
        <f t="shared" si="148"/>
        <v>7.8014184397163122E-2</v>
      </c>
      <c r="AS144" s="83">
        <f t="shared" si="148"/>
        <v>0.29327902240325865</v>
      </c>
      <c r="AT144" s="100">
        <f t="shared" si="148"/>
        <v>9.768758848513448E-2</v>
      </c>
      <c r="AU144" s="83">
        <f t="shared" si="148"/>
        <v>0.30115830115830122</v>
      </c>
      <c r="AV144" s="83">
        <f t="shared" si="148"/>
        <v>0.1840707964601771</v>
      </c>
      <c r="AW144" s="83">
        <f t="shared" si="148"/>
        <v>8.7171052631578982E-2</v>
      </c>
      <c r="AX144" s="83">
        <f t="shared" si="148"/>
        <v>0.11811023622047245</v>
      </c>
      <c r="AY144" s="100">
        <f t="shared" si="148"/>
        <v>0.16680997420464316</v>
      </c>
      <c r="AZ144" s="83">
        <f t="shared" si="148"/>
        <v>0.1172106824925816</v>
      </c>
      <c r="BA144" s="83">
        <f t="shared" si="148"/>
        <v>0.25859491778774291</v>
      </c>
      <c r="BB144" s="83">
        <f t="shared" si="148"/>
        <v>-0.15128593040847205</v>
      </c>
      <c r="BC144" s="83">
        <f t="shared" si="148"/>
        <v>-0.28028169014084503</v>
      </c>
      <c r="BD144" s="100">
        <f t="shared" si="148"/>
        <v>-1.7317612380250536E-2</v>
      </c>
      <c r="BE144" s="100">
        <f t="shared" si="148"/>
        <v>-0.31075697211155373</v>
      </c>
      <c r="BF144" s="100">
        <f t="shared" si="148"/>
        <v>-0.38479809976247026</v>
      </c>
      <c r="BG144" s="100">
        <f t="shared" si="148"/>
        <v>-0.12655971479500894</v>
      </c>
      <c r="BH144" s="100">
        <f t="shared" si="148"/>
        <v>7.4363992172211457E-2</v>
      </c>
      <c r="BI144" s="80">
        <f t="shared" si="148"/>
        <v>-0.22159730033745784</v>
      </c>
      <c r="BJ144" s="100">
        <f t="shared" si="148"/>
        <v>5.7803468208092568E-2</v>
      </c>
      <c r="BK144" s="100">
        <f t="shared" si="148"/>
        <v>1.7374517374517451E-2</v>
      </c>
      <c r="BL144" s="100">
        <f t="shared" si="148"/>
        <v>0.17142857142857149</v>
      </c>
      <c r="BM144" s="100">
        <f t="shared" si="148"/>
        <v>0.12932604735883424</v>
      </c>
      <c r="BN144" s="80">
        <f t="shared" si="148"/>
        <v>9.3448940269749592E-2</v>
      </c>
      <c r="BO144" s="100">
        <f t="shared" si="148"/>
        <v>0.10018214936247727</v>
      </c>
      <c r="BP144" s="100">
        <f t="shared" si="148"/>
        <v>0.15180265654648961</v>
      </c>
      <c r="BQ144" s="100">
        <f t="shared" si="148"/>
        <v>5.2264808362369353E-2</v>
      </c>
      <c r="BR144" s="100">
        <f t="shared" si="148"/>
        <v>-0.10161290322580641</v>
      </c>
      <c r="BS144" s="99">
        <f t="shared" si="148"/>
        <v>4.4933920704845809E-2</v>
      </c>
      <c r="BT144" s="100">
        <f t="shared" si="148"/>
        <v>-0.17052980132450335</v>
      </c>
      <c r="BU144" s="100">
        <f t="shared" si="148"/>
        <v>-0.25041186161449758</v>
      </c>
      <c r="BV144" s="100">
        <f t="shared" si="148"/>
        <v>-0.26821192052980136</v>
      </c>
      <c r="BW144" s="100">
        <f t="shared" si="148"/>
        <v>-0.28904847396768407</v>
      </c>
      <c r="BX144" s="99">
        <f t="shared" si="148"/>
        <v>-0.24367622259696464</v>
      </c>
      <c r="BY144" s="100">
        <f t="shared" si="148"/>
        <v>-0.30339321357285431</v>
      </c>
      <c r="BZ144" s="100">
        <f t="shared" si="148"/>
        <v>-0.25494505494505493</v>
      </c>
      <c r="CA144" s="100">
        <f t="shared" si="148"/>
        <v>-0.2963800904977375</v>
      </c>
      <c r="CB144" s="100">
        <f t="shared" si="148"/>
        <v>-0.32070707070707072</v>
      </c>
      <c r="CC144" s="99">
        <f t="shared" ref="CC144:CW144" si="149">CC141/BX141-1</f>
        <v>-0.29319955406911924</v>
      </c>
      <c r="CD144" s="100">
        <f t="shared" si="149"/>
        <v>-0.34383954154727792</v>
      </c>
      <c r="CE144" s="100">
        <f t="shared" si="149"/>
        <v>-0.3864306784660767</v>
      </c>
      <c r="CF144" s="100">
        <f t="shared" si="149"/>
        <v>-0.31189710610932475</v>
      </c>
      <c r="CG144" s="100">
        <f t="shared" si="149"/>
        <v>-0.30855018587360594</v>
      </c>
      <c r="CH144" s="99">
        <f t="shared" si="149"/>
        <v>-0.33990536277602523</v>
      </c>
      <c r="CI144" s="100">
        <f t="shared" si="149"/>
        <v>-0.27074235807860259</v>
      </c>
      <c r="CJ144" s="100">
        <f t="shared" si="149"/>
        <v>-0.24519230769230771</v>
      </c>
      <c r="CK144" s="100">
        <f t="shared" si="149"/>
        <v>-0.36915887850467288</v>
      </c>
      <c r="CL144" s="100">
        <f t="shared" si="149"/>
        <v>-0.33870967741935487</v>
      </c>
      <c r="CM144" s="99">
        <f t="shared" si="149"/>
        <v>-0.30465949820788529</v>
      </c>
      <c r="CN144" s="99">
        <f t="shared" si="149"/>
        <v>-0.26347305389221554</v>
      </c>
      <c r="CO144" s="99">
        <f t="shared" si="149"/>
        <v>-0.37579617834394907</v>
      </c>
      <c r="CP144" s="99">
        <f t="shared" si="149"/>
        <v>-0.25185185185185188</v>
      </c>
      <c r="CQ144" s="99">
        <f t="shared" si="149"/>
        <v>-0.27642276422764223</v>
      </c>
      <c r="CR144" s="99">
        <f t="shared" si="149"/>
        <v>-0.29381443298969068</v>
      </c>
      <c r="CS144" s="99">
        <f t="shared" si="149"/>
        <v>-0.28455284552845528</v>
      </c>
      <c r="CT144" s="99">
        <f t="shared" si="149"/>
        <v>-0.25510204081632648</v>
      </c>
      <c r="CU144" s="99">
        <f t="shared" si="149"/>
        <v>-0.18811881188118806</v>
      </c>
      <c r="CV144" s="99">
        <f t="shared" si="149"/>
        <v>-1.1235955056179803E-2</v>
      </c>
      <c r="CW144" s="99">
        <f t="shared" si="149"/>
        <v>-0.194647201946472</v>
      </c>
      <c r="CX144" s="99">
        <f t="shared" si="147"/>
        <v>-3.4090909090909061E-2</v>
      </c>
      <c r="CY144" s="99">
        <f t="shared" si="147"/>
        <v>2.7397260273972712E-2</v>
      </c>
      <c r="CZ144" s="99">
        <f t="shared" si="147"/>
        <v>-0.1097560975609756</v>
      </c>
      <c r="DA144" s="99">
        <f t="shared" si="147"/>
        <v>-0.23863636363636365</v>
      </c>
      <c r="DB144" s="99">
        <f t="shared" si="147"/>
        <v>-9.3655589123867067E-2</v>
      </c>
      <c r="DC144" s="99">
        <f>DC141/CX141-1</f>
        <v>-0.28235294117647058</v>
      </c>
      <c r="DD144" s="99">
        <f>DD141/CY141-1</f>
        <v>-0.29333333333333333</v>
      </c>
      <c r="DE144" s="99">
        <f>DE141/CZ141-1</f>
        <v>-0.32876712328767121</v>
      </c>
      <c r="DF144" s="99">
        <f>DF141/DA141-1</f>
        <v>-0.34328358208955223</v>
      </c>
      <c r="DG144" s="99">
        <f>DG141/DB141-1</f>
        <v>-0.31000000000000005</v>
      </c>
      <c r="DH144" s="99">
        <f>DH141/DC141-1</f>
        <v>-7.999999999999996E-2</v>
      </c>
      <c r="DI144" s="99">
        <f>DI141/DD141-1</f>
        <v>-7.9999999999999849E-2</v>
      </c>
      <c r="DJ144" s="99">
        <f>DJ141/DE141-1</f>
        <v>-7.9999999999999849E-2</v>
      </c>
      <c r="DK144" s="99">
        <f>DK141/DF141-1</f>
        <v>-7.999999999999996E-2</v>
      </c>
      <c r="DL144" s="199">
        <f>DL141/DG141-1</f>
        <v>-7.999999999999996E-2</v>
      </c>
      <c r="DM144" s="199">
        <f t="shared" ref="DM144:DP144" si="150">DM141/DL141-1</f>
        <v>-7.999999999999996E-2</v>
      </c>
      <c r="DN144" s="199">
        <f t="shared" si="150"/>
        <v>-7.999999999999996E-2</v>
      </c>
      <c r="DO144" s="199">
        <f t="shared" si="150"/>
        <v>-7.999999999999996E-2</v>
      </c>
      <c r="DP144" s="199">
        <f t="shared" si="150"/>
        <v>-7.999999999999996E-2</v>
      </c>
    </row>
    <row r="145" spans="1:120" x14ac:dyDescent="0.2">
      <c r="A145" s="66" t="s">
        <v>128</v>
      </c>
      <c r="G145" s="67"/>
      <c r="H145" s="67"/>
      <c r="I145" s="67"/>
      <c r="J145" s="67"/>
      <c r="K145" s="67"/>
      <c r="L145" s="67"/>
      <c r="M145" s="67"/>
      <c r="N145" s="67"/>
      <c r="O145" s="67"/>
      <c r="P145" s="67"/>
      <c r="Q145" s="67"/>
      <c r="R145" s="67"/>
      <c r="S145" s="67"/>
      <c r="T145" s="67"/>
      <c r="U145" s="67"/>
      <c r="V145" s="75"/>
      <c r="W145" s="75"/>
      <c r="X145" s="75"/>
      <c r="Y145" s="75"/>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67"/>
      <c r="BY145" s="67"/>
      <c r="BZ145" s="67"/>
      <c r="CA145" s="67"/>
      <c r="CB145" s="67"/>
      <c r="CC145" s="67"/>
      <c r="CD145" s="67"/>
      <c r="CE145" s="67"/>
      <c r="CF145" s="67"/>
      <c r="CG145" s="67"/>
      <c r="CH145" s="67"/>
      <c r="CI145" s="67"/>
      <c r="CJ145" s="67"/>
      <c r="CK145" s="67"/>
      <c r="CL145" s="67"/>
      <c r="CM145" s="67"/>
      <c r="CN145" s="67"/>
      <c r="CO145" s="67"/>
      <c r="CP145" s="67"/>
      <c r="CQ145" s="67"/>
      <c r="CR145" s="67"/>
      <c r="CS145" s="67"/>
      <c r="CT145" s="67"/>
      <c r="CU145" s="67"/>
      <c r="CV145" s="67"/>
      <c r="CW145" s="67"/>
      <c r="CX145" s="67"/>
      <c r="CY145" s="67"/>
      <c r="CZ145" s="67"/>
      <c r="DA145" s="67"/>
      <c r="DB145" s="67"/>
      <c r="DC145" s="67"/>
      <c r="DD145" s="67"/>
      <c r="DE145" s="67"/>
      <c r="DF145" s="67"/>
      <c r="DG145" s="67"/>
      <c r="DH145" s="67"/>
      <c r="DI145" s="67"/>
      <c r="DJ145" s="67"/>
      <c r="DK145" s="67"/>
      <c r="DL145" s="194"/>
      <c r="DM145" s="194"/>
      <c r="DN145" s="194"/>
      <c r="DO145" s="194"/>
      <c r="DP145" s="194"/>
    </row>
    <row r="146" spans="1:120" x14ac:dyDescent="0.2">
      <c r="A146" s="68" t="s">
        <v>129</v>
      </c>
      <c r="B146" s="31"/>
      <c r="C146" s="31"/>
      <c r="D146" s="31"/>
      <c r="E146" s="31"/>
      <c r="F146" s="31"/>
      <c r="G146" s="69"/>
      <c r="H146" s="69"/>
      <c r="I146" s="69"/>
      <c r="J146" s="69"/>
      <c r="K146" s="69"/>
      <c r="L146" s="69"/>
      <c r="M146" s="69"/>
      <c r="N146" s="69"/>
      <c r="O146" s="69"/>
      <c r="P146" s="69"/>
      <c r="Q146" s="69"/>
      <c r="R146" s="69"/>
      <c r="S146" s="69"/>
      <c r="T146" s="69"/>
      <c r="U146" s="69"/>
      <c r="V146" s="70"/>
      <c r="W146" s="69"/>
      <c r="X146" s="69"/>
      <c r="Y146" s="69"/>
      <c r="Z146" s="69"/>
      <c r="AA146" s="69"/>
      <c r="AB146" s="69"/>
      <c r="AC146" s="69"/>
      <c r="AD146" s="69"/>
      <c r="AE146" s="71"/>
      <c r="AF146" s="69"/>
      <c r="AG146" s="69"/>
      <c r="AH146" s="69"/>
      <c r="AI146" s="69"/>
      <c r="AJ146" s="71"/>
      <c r="AK146" s="71"/>
      <c r="AL146" s="71"/>
      <c r="AM146" s="71"/>
      <c r="AN146" s="71"/>
      <c r="AO146" s="71"/>
      <c r="AP146" s="71"/>
      <c r="AQ146" s="71"/>
      <c r="AR146" s="71"/>
      <c r="AS146" s="71"/>
      <c r="AT146" s="71"/>
      <c r="AU146" s="71"/>
      <c r="AV146" s="71"/>
      <c r="AW146" s="71"/>
      <c r="AX146" s="71"/>
      <c r="AY146" s="36"/>
      <c r="AZ146" s="71"/>
      <c r="BA146" s="71"/>
      <c r="BB146" s="71"/>
      <c r="BC146" s="71"/>
      <c r="BD146" s="36"/>
      <c r="BE146" s="36"/>
      <c r="BF146" s="36"/>
      <c r="BG146" s="36"/>
      <c r="BH146" s="36"/>
      <c r="BI146" s="36"/>
      <c r="BJ146" s="36"/>
      <c r="BK146" s="36"/>
      <c r="BL146" s="36"/>
      <c r="BM146" s="36"/>
      <c r="BN146" s="36"/>
      <c r="BO146" s="36"/>
      <c r="BP146" s="36"/>
      <c r="BQ146" s="36"/>
      <c r="BR146" s="36"/>
      <c r="BS146" s="36"/>
      <c r="BT146" s="36"/>
      <c r="BU146" s="36"/>
      <c r="BV146" s="36"/>
      <c r="BW146" s="36"/>
      <c r="BX146" s="36"/>
      <c r="BY146" s="36"/>
      <c r="BZ146" s="36"/>
      <c r="CA146" s="36"/>
      <c r="CB146" s="36"/>
      <c r="CC146" s="36"/>
      <c r="CD146" s="36">
        <v>20</v>
      </c>
      <c r="CE146" s="36">
        <v>24.5</v>
      </c>
      <c r="CF146" s="36">
        <v>27</v>
      </c>
      <c r="CG146" s="36">
        <v>26</v>
      </c>
      <c r="CH146" s="36">
        <f>SUM(CD146:CG146)</f>
        <v>97.5</v>
      </c>
      <c r="CI146" s="36">
        <v>23</v>
      </c>
      <c r="CJ146" s="36">
        <v>29</v>
      </c>
      <c r="CK146" s="36">
        <v>23</v>
      </c>
      <c r="CL146" s="36">
        <v>20</v>
      </c>
      <c r="CM146" s="36">
        <f>SUM(CI146:CL146)</f>
        <v>95</v>
      </c>
      <c r="CN146" s="36">
        <v>24</v>
      </c>
      <c r="CO146" s="36">
        <v>21</v>
      </c>
      <c r="CP146" s="36">
        <v>23</v>
      </c>
      <c r="CQ146" s="36">
        <v>24</v>
      </c>
      <c r="CR146" s="36">
        <f>SUM(CN146:CQ146)</f>
        <v>92</v>
      </c>
      <c r="CS146" s="36">
        <v>27</v>
      </c>
      <c r="CT146" s="36">
        <v>22</v>
      </c>
      <c r="CU146" s="36">
        <v>18</v>
      </c>
      <c r="CV146" s="36">
        <v>14</v>
      </c>
      <c r="CW146" s="72">
        <f>SUM(CS146:CV146)</f>
        <v>81</v>
      </c>
      <c r="CX146" s="36">
        <v>18</v>
      </c>
      <c r="CY146" s="36">
        <v>14</v>
      </c>
      <c r="CZ146" s="36">
        <v>23</v>
      </c>
      <c r="DA146" s="36">
        <v>22</v>
      </c>
      <c r="DB146" s="72">
        <f>SUM(CX146:DA146)</f>
        <v>77</v>
      </c>
      <c r="DC146" s="72">
        <v>20</v>
      </c>
      <c r="DD146" s="72">
        <v>19</v>
      </c>
      <c r="DE146" s="72">
        <v>20</v>
      </c>
      <c r="DF146" s="72">
        <v>19</v>
      </c>
      <c r="DG146" s="36">
        <f>SUM(DC146:DF146)</f>
        <v>78</v>
      </c>
      <c r="DH146" s="36">
        <f t="shared" ref="DH146:DK147" si="151">DC146*(1+DH149)</f>
        <v>21</v>
      </c>
      <c r="DI146" s="36">
        <f t="shared" si="151"/>
        <v>19.95</v>
      </c>
      <c r="DJ146" s="36">
        <f t="shared" si="151"/>
        <v>21</v>
      </c>
      <c r="DK146" s="36">
        <f t="shared" si="151"/>
        <v>19.95</v>
      </c>
      <c r="DL146" s="183">
        <f>SUM(DH146:DK146)</f>
        <v>81.900000000000006</v>
      </c>
      <c r="DM146" s="183">
        <f t="shared" ref="DM146:DP147" si="152">DL146*(1+DM149)</f>
        <v>85.995000000000005</v>
      </c>
      <c r="DN146" s="183">
        <f t="shared" si="152"/>
        <v>90.294750000000008</v>
      </c>
      <c r="DO146" s="183">
        <f t="shared" si="152"/>
        <v>94.809487500000017</v>
      </c>
      <c r="DP146" s="183">
        <f t="shared" si="152"/>
        <v>99.549961875000022</v>
      </c>
    </row>
    <row r="147" spans="1:120" ht="17" x14ac:dyDescent="0.2">
      <c r="A147" s="125" t="s">
        <v>130</v>
      </c>
      <c r="B147" s="31"/>
      <c r="C147" s="31"/>
      <c r="D147" s="31"/>
      <c r="E147" s="31"/>
      <c r="F147" s="31"/>
      <c r="G147" s="69"/>
      <c r="H147" s="69"/>
      <c r="I147" s="69"/>
      <c r="J147" s="69"/>
      <c r="K147" s="69"/>
      <c r="L147" s="69"/>
      <c r="M147" s="69"/>
      <c r="N147" s="69"/>
      <c r="O147" s="69"/>
      <c r="P147" s="69"/>
      <c r="Q147" s="69"/>
      <c r="R147" s="69"/>
      <c r="S147" s="69"/>
      <c r="T147" s="69"/>
      <c r="U147" s="69"/>
      <c r="V147" s="69"/>
      <c r="W147" s="69"/>
      <c r="X147" s="69"/>
      <c r="Y147" s="69"/>
      <c r="Z147" s="70"/>
      <c r="AA147" s="70"/>
      <c r="AB147" s="70"/>
      <c r="AC147" s="70"/>
      <c r="AD147" s="70"/>
      <c r="AE147" s="71"/>
      <c r="AF147" s="70"/>
      <c r="AG147" s="70"/>
      <c r="AH147" s="70"/>
      <c r="AI147" s="70"/>
      <c r="AJ147" s="71"/>
      <c r="AK147" s="71"/>
      <c r="AL147" s="71"/>
      <c r="AM147" s="71"/>
      <c r="AN147" s="71"/>
      <c r="AO147" s="71"/>
      <c r="AP147" s="71"/>
      <c r="AQ147" s="71"/>
      <c r="AR147" s="71"/>
      <c r="AS147" s="71"/>
      <c r="AT147" s="71"/>
      <c r="AU147" s="71"/>
      <c r="AV147" s="71"/>
      <c r="AW147" s="71"/>
      <c r="AX147" s="71"/>
      <c r="AY147" s="36"/>
      <c r="AZ147" s="71"/>
      <c r="BA147" s="71"/>
      <c r="BB147" s="71"/>
      <c r="BC147" s="71"/>
      <c r="BD147" s="36"/>
      <c r="BE147" s="36"/>
      <c r="BF147" s="36"/>
      <c r="BG147" s="36"/>
      <c r="BH147" s="36"/>
      <c r="BI147" s="36"/>
      <c r="BJ147" s="36"/>
      <c r="BK147" s="36"/>
      <c r="BL147" s="36"/>
      <c r="BM147" s="36"/>
      <c r="BN147" s="36"/>
      <c r="BO147" s="36"/>
      <c r="BP147" s="36"/>
      <c r="BQ147" s="36"/>
      <c r="BR147" s="36"/>
      <c r="BS147" s="36"/>
      <c r="BT147" s="36"/>
      <c r="BU147" s="36"/>
      <c r="BV147" s="36"/>
      <c r="BW147" s="36"/>
      <c r="BX147" s="36"/>
      <c r="BY147" s="36"/>
      <c r="BZ147" s="36"/>
      <c r="CA147" s="36"/>
      <c r="CB147" s="36"/>
      <c r="CC147" s="36"/>
      <c r="CD147" s="36">
        <v>21</v>
      </c>
      <c r="CE147" s="36">
        <v>27.5</v>
      </c>
      <c r="CF147" s="36">
        <v>30</v>
      </c>
      <c r="CG147" s="36">
        <v>33</v>
      </c>
      <c r="CH147" s="36">
        <f>SUM(CD147:CG147)</f>
        <v>111.5</v>
      </c>
      <c r="CI147" s="36">
        <v>31</v>
      </c>
      <c r="CJ147" s="36">
        <v>42</v>
      </c>
      <c r="CK147" s="36">
        <v>43</v>
      </c>
      <c r="CL147" s="36">
        <v>49</v>
      </c>
      <c r="CM147" s="36">
        <f>SUM(CI147:CL147)</f>
        <v>165</v>
      </c>
      <c r="CN147" s="36">
        <v>44</v>
      </c>
      <c r="CO147" s="36">
        <v>55</v>
      </c>
      <c r="CP147" s="36">
        <v>57</v>
      </c>
      <c r="CQ147" s="36">
        <v>59</v>
      </c>
      <c r="CR147" s="36">
        <f>SUM(CN147:CQ147)</f>
        <v>215</v>
      </c>
      <c r="CS147" s="36">
        <v>53</v>
      </c>
      <c r="CT147" s="36">
        <v>62</v>
      </c>
      <c r="CU147" s="36">
        <v>63</v>
      </c>
      <c r="CV147" s="36">
        <v>69</v>
      </c>
      <c r="CW147" s="72">
        <f>SUM(CS147:CV147)</f>
        <v>247</v>
      </c>
      <c r="CX147" s="36">
        <v>61</v>
      </c>
      <c r="CY147" s="36">
        <v>63</v>
      </c>
      <c r="CZ147" s="36">
        <v>58</v>
      </c>
      <c r="DA147" s="36">
        <v>58</v>
      </c>
      <c r="DB147" s="72">
        <f>SUM(CX147:DA147)</f>
        <v>240</v>
      </c>
      <c r="DC147" s="72">
        <v>48</v>
      </c>
      <c r="DD147" s="72">
        <v>50</v>
      </c>
      <c r="DE147" s="72">
        <v>42</v>
      </c>
      <c r="DF147" s="72">
        <v>39</v>
      </c>
      <c r="DG147" s="36">
        <f>SUM(DC147:DF147)</f>
        <v>179</v>
      </c>
      <c r="DH147" s="36">
        <f t="shared" si="151"/>
        <v>42.24</v>
      </c>
      <c r="DI147" s="36">
        <f t="shared" si="151"/>
        <v>44</v>
      </c>
      <c r="DJ147" s="36">
        <f t="shared" si="151"/>
        <v>36.96</v>
      </c>
      <c r="DK147" s="36">
        <f t="shared" si="151"/>
        <v>34.32</v>
      </c>
      <c r="DL147" s="183">
        <f>SUM(DH147:DK147)</f>
        <v>157.52000000000001</v>
      </c>
      <c r="DM147" s="183">
        <f t="shared" si="152"/>
        <v>141.768</v>
      </c>
      <c r="DN147" s="183">
        <f t="shared" si="152"/>
        <v>141.768</v>
      </c>
      <c r="DO147" s="183">
        <f t="shared" si="152"/>
        <v>141.768</v>
      </c>
      <c r="DP147" s="183">
        <f t="shared" si="152"/>
        <v>141.768</v>
      </c>
    </row>
    <row r="148" spans="1:120" ht="17" x14ac:dyDescent="0.2">
      <c r="A148" s="126" t="s">
        <v>131</v>
      </c>
      <c r="B148" s="31"/>
      <c r="C148" s="31"/>
      <c r="D148" s="31"/>
      <c r="E148" s="31"/>
      <c r="F148" s="31"/>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73"/>
      <c r="AF148" s="69"/>
      <c r="AG148" s="69"/>
      <c r="AH148" s="69"/>
      <c r="AI148" s="69"/>
      <c r="AJ148" s="73"/>
      <c r="AK148" s="73"/>
      <c r="AL148" s="73"/>
      <c r="AM148" s="73"/>
      <c r="AN148" s="73"/>
      <c r="AO148" s="73"/>
      <c r="AP148" s="73"/>
      <c r="AQ148" s="73"/>
      <c r="AR148" s="73"/>
      <c r="AS148" s="73"/>
      <c r="AT148" s="73"/>
      <c r="AU148" s="73"/>
      <c r="AV148" s="73"/>
      <c r="AW148" s="73"/>
      <c r="AX148" s="73"/>
      <c r="AY148" s="74"/>
      <c r="AZ148" s="73"/>
      <c r="BA148" s="73"/>
      <c r="BB148" s="73"/>
      <c r="BC148" s="73"/>
      <c r="BD148" s="74"/>
      <c r="BE148" s="39"/>
      <c r="BF148" s="39"/>
      <c r="BG148" s="39"/>
      <c r="BH148" s="39"/>
      <c r="BI148" s="39"/>
      <c r="BJ148" s="39"/>
      <c r="BK148" s="39"/>
      <c r="BL148" s="39"/>
      <c r="BM148" s="39"/>
      <c r="BN148" s="39"/>
      <c r="BO148" s="39"/>
      <c r="BP148" s="39"/>
      <c r="BQ148" s="39"/>
      <c r="BR148" s="39"/>
      <c r="BS148" s="74"/>
      <c r="BT148" s="39"/>
      <c r="BU148" s="39"/>
      <c r="BV148" s="39"/>
      <c r="BW148" s="39"/>
      <c r="BX148" s="74"/>
      <c r="BY148" s="74"/>
      <c r="BZ148" s="74"/>
      <c r="CA148" s="74"/>
      <c r="CB148" s="74"/>
      <c r="CC148" s="74"/>
      <c r="CD148" s="74">
        <f t="shared" ref="CD148:CM148" si="153">CD147+CD146</f>
        <v>41</v>
      </c>
      <c r="CE148" s="74">
        <f t="shared" si="153"/>
        <v>52</v>
      </c>
      <c r="CF148" s="74">
        <f t="shared" si="153"/>
        <v>57</v>
      </c>
      <c r="CG148" s="74">
        <f t="shared" si="153"/>
        <v>59</v>
      </c>
      <c r="CH148" s="74">
        <f t="shared" si="153"/>
        <v>209</v>
      </c>
      <c r="CI148" s="74">
        <f t="shared" si="153"/>
        <v>54</v>
      </c>
      <c r="CJ148" s="74">
        <f t="shared" si="153"/>
        <v>71</v>
      </c>
      <c r="CK148" s="74">
        <f t="shared" si="153"/>
        <v>66</v>
      </c>
      <c r="CL148" s="74">
        <f t="shared" si="153"/>
        <v>69</v>
      </c>
      <c r="CM148" s="74">
        <f t="shared" si="153"/>
        <v>260</v>
      </c>
      <c r="CN148" s="74">
        <f>CN147+CN146-1</f>
        <v>67</v>
      </c>
      <c r="CO148" s="74">
        <f t="shared" ref="CO148:CV148" si="154">CO147+CO146</f>
        <v>76</v>
      </c>
      <c r="CP148" s="74">
        <f t="shared" si="154"/>
        <v>80</v>
      </c>
      <c r="CQ148" s="74">
        <f t="shared" si="154"/>
        <v>83</v>
      </c>
      <c r="CR148" s="74">
        <f t="shared" si="154"/>
        <v>307</v>
      </c>
      <c r="CS148" s="39">
        <f>CS147+CS146-1</f>
        <v>79</v>
      </c>
      <c r="CT148" s="39">
        <f t="shared" si="154"/>
        <v>84</v>
      </c>
      <c r="CU148" s="39">
        <f t="shared" si="154"/>
        <v>81</v>
      </c>
      <c r="CV148" s="39">
        <f t="shared" si="154"/>
        <v>83</v>
      </c>
      <c r="CW148" s="74">
        <f>SUM(CS148:CV148)</f>
        <v>327</v>
      </c>
      <c r="CX148" s="39">
        <f>SUM(CX146:CX147)</f>
        <v>79</v>
      </c>
      <c r="CY148" s="39">
        <f>SUM(CY146:CY147)</f>
        <v>77</v>
      </c>
      <c r="CZ148" s="39">
        <f>SUM(CZ146:CZ147)</f>
        <v>81</v>
      </c>
      <c r="DA148" s="39">
        <f>SUM(DA146:DA147)</f>
        <v>80</v>
      </c>
      <c r="DB148" s="74">
        <f>SUM(CX148:DA148)</f>
        <v>317</v>
      </c>
      <c r="DC148" s="74">
        <f>DC147+DC146</f>
        <v>68</v>
      </c>
      <c r="DD148" s="74">
        <f>DD147+DD146</f>
        <v>69</v>
      </c>
      <c r="DE148" s="74">
        <f>DE147+DE146</f>
        <v>62</v>
      </c>
      <c r="DF148" s="74">
        <f>DF147+DF146</f>
        <v>58</v>
      </c>
      <c r="DG148" s="74">
        <f>SUM(DC148:DF148)</f>
        <v>257</v>
      </c>
      <c r="DH148" s="74">
        <f>DH147+DH146</f>
        <v>63.24</v>
      </c>
      <c r="DI148" s="74">
        <f>DI147+DI146</f>
        <v>63.95</v>
      </c>
      <c r="DJ148" s="74">
        <f>DJ147+DJ146</f>
        <v>57.96</v>
      </c>
      <c r="DK148" s="74">
        <f>DK147+DK146</f>
        <v>54.269999999999996</v>
      </c>
      <c r="DL148" s="184">
        <f>SUM(DH148:DK148)</f>
        <v>239.42000000000002</v>
      </c>
      <c r="DM148" s="184">
        <f t="shared" ref="DM148:DP148" si="155">DM147+DM146</f>
        <v>227.76300000000001</v>
      </c>
      <c r="DN148" s="184">
        <f t="shared" si="155"/>
        <v>232.06274999999999</v>
      </c>
      <c r="DO148" s="184">
        <f t="shared" si="155"/>
        <v>236.57748750000002</v>
      </c>
      <c r="DP148" s="184">
        <f t="shared" si="155"/>
        <v>241.31796187500004</v>
      </c>
    </row>
    <row r="149" spans="1:120" x14ac:dyDescent="0.2">
      <c r="A149" s="68" t="s">
        <v>54</v>
      </c>
      <c r="B149" s="31"/>
      <c r="C149" s="31"/>
      <c r="D149" s="31"/>
      <c r="E149" s="31"/>
      <c r="F149" s="31"/>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73"/>
      <c r="AF149" s="69"/>
      <c r="AG149" s="69"/>
      <c r="AH149" s="69"/>
      <c r="AI149" s="69"/>
      <c r="AJ149" s="73"/>
      <c r="AK149" s="73"/>
      <c r="AL149" s="73"/>
      <c r="AM149" s="73"/>
      <c r="AN149" s="73"/>
      <c r="AO149" s="73"/>
      <c r="AP149" s="73"/>
      <c r="AQ149" s="73"/>
      <c r="AR149" s="73"/>
      <c r="AS149" s="73"/>
      <c r="AT149" s="73"/>
      <c r="AU149" s="73"/>
      <c r="AV149" s="73"/>
      <c r="AW149" s="73"/>
      <c r="AX149" s="73"/>
      <c r="AY149" s="76"/>
      <c r="AZ149" s="73"/>
      <c r="BA149" s="73"/>
      <c r="BB149" s="73"/>
      <c r="BC149" s="73"/>
      <c r="BD149" s="76"/>
      <c r="BE149" s="76"/>
      <c r="BF149" s="76"/>
      <c r="BG149" s="76"/>
      <c r="BH149" s="76"/>
      <c r="BI149" s="90"/>
      <c r="BJ149" s="76"/>
      <c r="BK149" s="76"/>
      <c r="BL149" s="76"/>
      <c r="BM149" s="76"/>
      <c r="BN149" s="90"/>
      <c r="BO149" s="76"/>
      <c r="BP149" s="76"/>
      <c r="BQ149" s="76"/>
      <c r="BR149" s="76"/>
      <c r="BS149" s="76"/>
      <c r="BT149" s="76"/>
      <c r="BU149" s="76"/>
      <c r="BV149" s="76"/>
      <c r="BW149" s="76"/>
      <c r="BX149" s="76"/>
      <c r="BY149" s="76"/>
      <c r="BZ149" s="76"/>
      <c r="CA149" s="76"/>
      <c r="CB149" s="76"/>
      <c r="CC149" s="76"/>
      <c r="CD149" s="67"/>
      <c r="CE149" s="67"/>
      <c r="CF149" s="67"/>
      <c r="CG149" s="67"/>
      <c r="CH149" s="75"/>
      <c r="CI149" s="76">
        <f t="shared" ref="CI149:DF151" si="156">CI146/CD146-1</f>
        <v>0.14999999999999991</v>
      </c>
      <c r="CJ149" s="76">
        <f t="shared" si="156"/>
        <v>0.18367346938775508</v>
      </c>
      <c r="CK149" s="76">
        <f t="shared" si="156"/>
        <v>-0.14814814814814814</v>
      </c>
      <c r="CL149" s="76">
        <f t="shared" si="156"/>
        <v>-0.23076923076923073</v>
      </c>
      <c r="CM149" s="76">
        <f t="shared" si="156"/>
        <v>-2.5641025641025661E-2</v>
      </c>
      <c r="CN149" s="76">
        <f t="shared" si="156"/>
        <v>4.3478260869565188E-2</v>
      </c>
      <c r="CO149" s="76">
        <f t="shared" si="156"/>
        <v>-0.27586206896551724</v>
      </c>
      <c r="CP149" s="76">
        <f t="shared" si="156"/>
        <v>0</v>
      </c>
      <c r="CQ149" s="76">
        <f t="shared" si="156"/>
        <v>0.19999999999999996</v>
      </c>
      <c r="CR149" s="76">
        <f>CR146/CM146-1</f>
        <v>-3.157894736842104E-2</v>
      </c>
      <c r="CS149" s="76">
        <f t="shared" si="156"/>
        <v>0.125</v>
      </c>
      <c r="CT149" s="76">
        <f t="shared" si="156"/>
        <v>4.7619047619047672E-2</v>
      </c>
      <c r="CU149" s="76">
        <f t="shared" si="156"/>
        <v>-0.21739130434782605</v>
      </c>
      <c r="CV149" s="76">
        <f t="shared" si="156"/>
        <v>-0.41666666666666663</v>
      </c>
      <c r="CW149" s="90">
        <f>CW146/CR146-1</f>
        <v>-0.11956521739130432</v>
      </c>
      <c r="CX149" s="76">
        <f t="shared" si="156"/>
        <v>-0.33333333333333337</v>
      </c>
      <c r="CY149" s="76">
        <f t="shared" si="156"/>
        <v>-0.36363636363636365</v>
      </c>
      <c r="CZ149" s="76">
        <f t="shared" si="156"/>
        <v>0.27777777777777768</v>
      </c>
      <c r="DA149" s="76">
        <f t="shared" si="156"/>
        <v>0.5714285714285714</v>
      </c>
      <c r="DB149" s="90">
        <f>DB146/CW146-1</f>
        <v>-4.9382716049382713E-2</v>
      </c>
      <c r="DC149" s="76">
        <f t="shared" si="156"/>
        <v>0.11111111111111116</v>
      </c>
      <c r="DD149" s="76">
        <f t="shared" si="156"/>
        <v>0.35714285714285721</v>
      </c>
      <c r="DE149" s="76">
        <f t="shared" si="156"/>
        <v>-0.13043478260869568</v>
      </c>
      <c r="DF149" s="76">
        <f t="shared" si="156"/>
        <v>-0.13636363636363635</v>
      </c>
      <c r="DG149" s="76">
        <f>DG146/DB146-1</f>
        <v>1.298701298701288E-2</v>
      </c>
      <c r="DH149" s="76">
        <v>0.05</v>
      </c>
      <c r="DI149" s="76">
        <v>0.05</v>
      </c>
      <c r="DJ149" s="76">
        <v>0.05</v>
      </c>
      <c r="DK149" s="76">
        <v>0.05</v>
      </c>
      <c r="DL149" s="195">
        <f>DL146/DG146-1</f>
        <v>5.0000000000000044E-2</v>
      </c>
      <c r="DM149" s="195">
        <v>0.05</v>
      </c>
      <c r="DN149" s="195">
        <v>0.05</v>
      </c>
      <c r="DO149" s="195">
        <v>0.05</v>
      </c>
      <c r="DP149" s="195">
        <v>0.05</v>
      </c>
    </row>
    <row r="150" spans="1:120" x14ac:dyDescent="0.2">
      <c r="A150" s="68" t="s">
        <v>55</v>
      </c>
      <c r="B150" s="31"/>
      <c r="C150" s="31"/>
      <c r="D150" s="31"/>
      <c r="E150" s="31"/>
      <c r="F150" s="31"/>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73"/>
      <c r="AF150" s="69"/>
      <c r="AG150" s="69"/>
      <c r="AH150" s="69"/>
      <c r="AI150" s="69"/>
      <c r="AJ150" s="73"/>
      <c r="AK150" s="73"/>
      <c r="AL150" s="73"/>
      <c r="AM150" s="73"/>
      <c r="AN150" s="73"/>
      <c r="AO150" s="73"/>
      <c r="AP150" s="73"/>
      <c r="AQ150" s="73"/>
      <c r="AR150" s="73"/>
      <c r="AS150" s="73"/>
      <c r="AT150" s="73"/>
      <c r="AU150" s="73"/>
      <c r="AV150" s="73"/>
      <c r="AW150" s="73"/>
      <c r="AX150" s="73"/>
      <c r="AY150" s="76"/>
      <c r="AZ150" s="73"/>
      <c r="BA150" s="73"/>
      <c r="BB150" s="73"/>
      <c r="BC150" s="73"/>
      <c r="BD150" s="76"/>
      <c r="BE150" s="76"/>
      <c r="BF150" s="76"/>
      <c r="BG150" s="76"/>
      <c r="BH150" s="76"/>
      <c r="BI150" s="90"/>
      <c r="BJ150" s="76"/>
      <c r="BK150" s="76"/>
      <c r="BL150" s="76"/>
      <c r="BM150" s="76"/>
      <c r="BN150" s="90"/>
      <c r="BO150" s="76"/>
      <c r="BP150" s="76"/>
      <c r="BQ150" s="76"/>
      <c r="BR150" s="76"/>
      <c r="BS150" s="76"/>
      <c r="BT150" s="76"/>
      <c r="BU150" s="76"/>
      <c r="BV150" s="76"/>
      <c r="BW150" s="76"/>
      <c r="BX150" s="76"/>
      <c r="BY150" s="76"/>
      <c r="BZ150" s="76"/>
      <c r="CA150" s="76"/>
      <c r="CB150" s="76"/>
      <c r="CC150" s="76"/>
      <c r="CD150" s="67"/>
      <c r="CE150" s="67"/>
      <c r="CF150" s="67"/>
      <c r="CG150" s="67"/>
      <c r="CH150" s="75"/>
      <c r="CI150" s="76">
        <f t="shared" si="156"/>
        <v>0.47619047619047628</v>
      </c>
      <c r="CJ150" s="76">
        <f t="shared" si="156"/>
        <v>0.52727272727272734</v>
      </c>
      <c r="CK150" s="76">
        <f t="shared" si="156"/>
        <v>0.43333333333333335</v>
      </c>
      <c r="CL150" s="76">
        <f t="shared" si="156"/>
        <v>0.48484848484848486</v>
      </c>
      <c r="CM150" s="76">
        <f t="shared" si="156"/>
        <v>0.47982062780269064</v>
      </c>
      <c r="CN150" s="76">
        <f t="shared" si="156"/>
        <v>0.41935483870967749</v>
      </c>
      <c r="CO150" s="76">
        <f t="shared" si="156"/>
        <v>0.30952380952380953</v>
      </c>
      <c r="CP150" s="76">
        <f t="shared" si="156"/>
        <v>0.32558139534883712</v>
      </c>
      <c r="CQ150" s="76">
        <f t="shared" si="156"/>
        <v>0.20408163265306123</v>
      </c>
      <c r="CR150" s="76">
        <f>CR147/CM147-1</f>
        <v>0.30303030303030298</v>
      </c>
      <c r="CS150" s="76">
        <f t="shared" si="156"/>
        <v>0.20454545454545459</v>
      </c>
      <c r="CT150" s="76">
        <f t="shared" si="156"/>
        <v>0.1272727272727272</v>
      </c>
      <c r="CU150" s="76">
        <f t="shared" si="156"/>
        <v>0.10526315789473695</v>
      </c>
      <c r="CV150" s="76">
        <f t="shared" si="156"/>
        <v>0.16949152542372881</v>
      </c>
      <c r="CW150" s="90">
        <f>CW147/CR147-1</f>
        <v>0.14883720930232558</v>
      </c>
      <c r="CX150" s="76">
        <f t="shared" si="156"/>
        <v>0.15094339622641506</v>
      </c>
      <c r="CY150" s="76">
        <f t="shared" si="156"/>
        <v>1.6129032258064502E-2</v>
      </c>
      <c r="CZ150" s="76">
        <f t="shared" si="156"/>
        <v>-7.9365079365079416E-2</v>
      </c>
      <c r="DA150" s="76">
        <f t="shared" si="156"/>
        <v>-0.15942028985507251</v>
      </c>
      <c r="DB150" s="90">
        <f>DB147/CW147-1</f>
        <v>-2.8340080971659964E-2</v>
      </c>
      <c r="DC150" s="76">
        <f t="shared" si="156"/>
        <v>-0.21311475409836067</v>
      </c>
      <c r="DD150" s="76">
        <f t="shared" si="156"/>
        <v>-0.20634920634920639</v>
      </c>
      <c r="DE150" s="76">
        <f t="shared" si="156"/>
        <v>-0.27586206896551724</v>
      </c>
      <c r="DF150" s="76">
        <f t="shared" si="156"/>
        <v>-0.32758620689655171</v>
      </c>
      <c r="DG150" s="76">
        <f>DG147/DB147-1</f>
        <v>-0.25416666666666665</v>
      </c>
      <c r="DH150" s="76">
        <v>-0.12</v>
      </c>
      <c r="DI150" s="76">
        <v>-0.12</v>
      </c>
      <c r="DJ150" s="76">
        <v>-0.12</v>
      </c>
      <c r="DK150" s="76">
        <v>-0.12</v>
      </c>
      <c r="DL150" s="195">
        <f>DL147/DG147-1</f>
        <v>-0.12</v>
      </c>
      <c r="DM150" s="195">
        <v>-0.1</v>
      </c>
      <c r="DN150" s="195">
        <v>0</v>
      </c>
      <c r="DO150" s="195">
        <v>0</v>
      </c>
      <c r="DP150" s="195">
        <v>0</v>
      </c>
    </row>
    <row r="151" spans="1:120" x14ac:dyDescent="0.2">
      <c r="A151" s="78" t="s">
        <v>56</v>
      </c>
      <c r="B151" s="79"/>
      <c r="C151" s="79"/>
      <c r="D151" s="79"/>
      <c r="E151" s="79"/>
      <c r="F151" s="79"/>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1"/>
      <c r="AF151" s="80"/>
      <c r="AG151" s="80"/>
      <c r="AH151" s="80"/>
      <c r="AI151" s="80"/>
      <c r="AJ151" s="81"/>
      <c r="AK151" s="81"/>
      <c r="AL151" s="81"/>
      <c r="AM151" s="81"/>
      <c r="AN151" s="81"/>
      <c r="AO151" s="81"/>
      <c r="AP151" s="81"/>
      <c r="AQ151" s="81"/>
      <c r="AR151" s="81"/>
      <c r="AS151" s="81"/>
      <c r="AT151" s="81"/>
      <c r="AU151" s="81"/>
      <c r="AV151" s="81"/>
      <c r="AW151" s="81"/>
      <c r="AX151" s="81"/>
      <c r="AY151" s="80"/>
      <c r="AZ151" s="81"/>
      <c r="BA151" s="81"/>
      <c r="BB151" s="81"/>
      <c r="BC151" s="81"/>
      <c r="BD151" s="80"/>
      <c r="BE151" s="80"/>
      <c r="BF151" s="80"/>
      <c r="BG151" s="80"/>
      <c r="BH151" s="80"/>
      <c r="BI151" s="80"/>
      <c r="BJ151" s="80"/>
      <c r="BK151" s="91"/>
      <c r="BL151" s="91"/>
      <c r="BM151" s="91"/>
      <c r="BN151" s="80"/>
      <c r="BO151" s="91"/>
      <c r="BP151" s="91"/>
      <c r="BQ151" s="91"/>
      <c r="BR151" s="91"/>
      <c r="BS151" s="80"/>
      <c r="BT151" s="91"/>
      <c r="BU151" s="91"/>
      <c r="BV151" s="91"/>
      <c r="BW151" s="91"/>
      <c r="BX151" s="80"/>
      <c r="BY151" s="80"/>
      <c r="BZ151" s="80"/>
      <c r="CA151" s="80"/>
      <c r="CB151" s="80"/>
      <c r="CC151" s="80"/>
      <c r="CD151" s="83"/>
      <c r="CE151" s="83"/>
      <c r="CF151" s="83"/>
      <c r="CG151" s="83"/>
      <c r="CH151" s="83"/>
      <c r="CI151" s="83">
        <f t="shared" si="156"/>
        <v>0.31707317073170738</v>
      </c>
      <c r="CJ151" s="83">
        <f t="shared" si="156"/>
        <v>0.36538461538461542</v>
      </c>
      <c r="CK151" s="83">
        <f t="shared" si="156"/>
        <v>0.15789473684210531</v>
      </c>
      <c r="CL151" s="83">
        <f t="shared" si="156"/>
        <v>0.16949152542372881</v>
      </c>
      <c r="CM151" s="80">
        <f t="shared" si="156"/>
        <v>0.24401913875598091</v>
      </c>
      <c r="CN151" s="80">
        <f t="shared" si="156"/>
        <v>0.2407407407407407</v>
      </c>
      <c r="CO151" s="80">
        <f t="shared" si="156"/>
        <v>7.0422535211267512E-2</v>
      </c>
      <c r="CP151" s="80">
        <f t="shared" si="156"/>
        <v>0.21212121212121215</v>
      </c>
      <c r="CQ151" s="80">
        <f t="shared" si="156"/>
        <v>0.20289855072463769</v>
      </c>
      <c r="CR151" s="80">
        <f>CR148/CM148-1</f>
        <v>0.18076923076923079</v>
      </c>
      <c r="CS151" s="80">
        <f t="shared" si="156"/>
        <v>0.17910447761194037</v>
      </c>
      <c r="CT151" s="80">
        <f t="shared" si="156"/>
        <v>0.10526315789473695</v>
      </c>
      <c r="CU151" s="80">
        <f t="shared" si="156"/>
        <v>1.2499999999999956E-2</v>
      </c>
      <c r="CV151" s="80">
        <f t="shared" si="156"/>
        <v>0</v>
      </c>
      <c r="CW151" s="80">
        <f>CW148/CR148-1</f>
        <v>6.514657980456029E-2</v>
      </c>
      <c r="CX151" s="80">
        <f>CX148/CS148-1</f>
        <v>0</v>
      </c>
      <c r="CY151" s="80">
        <f>CY148/CT148-1</f>
        <v>-8.333333333333337E-2</v>
      </c>
      <c r="CZ151" s="80">
        <f>CZ148/CU148-1</f>
        <v>0</v>
      </c>
      <c r="DA151" s="80">
        <f>DA148/CV148-1</f>
        <v>-3.6144578313253017E-2</v>
      </c>
      <c r="DB151" s="80">
        <f>DB148/CW148-1</f>
        <v>-3.0581039755351647E-2</v>
      </c>
      <c r="DC151" s="80">
        <f>DC148/CX148-1</f>
        <v>-0.13924050632911389</v>
      </c>
      <c r="DD151" s="80">
        <f>DD148/CY148-1</f>
        <v>-0.10389610389610393</v>
      </c>
      <c r="DE151" s="80">
        <f>DE148/CZ148-1</f>
        <v>-0.23456790123456794</v>
      </c>
      <c r="DF151" s="80">
        <f>DF148/DA148-1</f>
        <v>-0.27500000000000002</v>
      </c>
      <c r="DG151" s="80">
        <f>DG148/DB148-1</f>
        <v>-0.18927444794952686</v>
      </c>
      <c r="DH151" s="80">
        <f>DH148/DC148-1</f>
        <v>-6.9999999999999951E-2</v>
      </c>
      <c r="DI151" s="80">
        <f>DI148/DD148-1</f>
        <v>-7.3188405797101397E-2</v>
      </c>
      <c r="DJ151" s="80">
        <f>DJ148/DE148-1</f>
        <v>-6.5161290322580667E-2</v>
      </c>
      <c r="DK151" s="80">
        <f>DK148/DF148-1</f>
        <v>-6.4310344827586241E-2</v>
      </c>
      <c r="DL151" s="189">
        <f>DL148/DG148-1</f>
        <v>-6.8404669260700324E-2</v>
      </c>
      <c r="DM151" s="189">
        <f t="shared" ref="DM151:DP151" si="157">DM148/DL148-1</f>
        <v>-4.8688497201570535E-2</v>
      </c>
      <c r="DN151" s="189">
        <f t="shared" si="157"/>
        <v>1.8878175998735536E-2</v>
      </c>
      <c r="DO151" s="189">
        <f t="shared" si="157"/>
        <v>1.9454813407149718E-2</v>
      </c>
      <c r="DP151" s="189">
        <f t="shared" si="157"/>
        <v>2.0037723897968096E-2</v>
      </c>
    </row>
    <row r="152" spans="1:120" x14ac:dyDescent="0.2">
      <c r="A152" s="66" t="s">
        <v>132</v>
      </c>
      <c r="G152" s="67"/>
      <c r="H152" s="67"/>
      <c r="I152" s="67"/>
      <c r="J152" s="67"/>
      <c r="K152" s="67"/>
      <c r="L152" s="67"/>
      <c r="M152" s="67"/>
      <c r="N152" s="67"/>
      <c r="O152" s="67"/>
      <c r="P152" s="67"/>
      <c r="Q152" s="67"/>
      <c r="R152" s="67"/>
      <c r="S152" s="67"/>
      <c r="T152" s="67"/>
      <c r="U152" s="67"/>
      <c r="V152" s="75"/>
      <c r="W152" s="75"/>
      <c r="X152" s="75"/>
      <c r="Y152" s="75"/>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67"/>
      <c r="BU152" s="67"/>
      <c r="BV152" s="67"/>
      <c r="BW152" s="67"/>
      <c r="BX152" s="67"/>
      <c r="BY152" s="67"/>
      <c r="BZ152" s="67"/>
      <c r="CA152" s="67"/>
      <c r="CB152" s="67"/>
      <c r="CC152" s="67"/>
      <c r="CD152" s="67"/>
      <c r="CE152" s="67"/>
      <c r="CF152" s="67"/>
      <c r="CG152" s="67"/>
      <c r="CH152" s="67"/>
      <c r="CI152" s="67"/>
      <c r="CJ152" s="67"/>
      <c r="CK152" s="67"/>
      <c r="CL152" s="67"/>
      <c r="CM152" s="67"/>
      <c r="CN152" s="67"/>
      <c r="CO152" s="67"/>
      <c r="CP152" s="67"/>
      <c r="CQ152" s="67"/>
      <c r="CR152" s="67"/>
      <c r="CS152" s="67"/>
      <c r="CT152" s="67"/>
      <c r="CU152" s="67"/>
      <c r="CV152" s="67"/>
      <c r="CW152" s="67"/>
      <c r="CX152" s="67"/>
      <c r="CY152" s="67"/>
      <c r="CZ152" s="67"/>
      <c r="DA152" s="67"/>
      <c r="DB152" s="67"/>
      <c r="DC152" s="67"/>
      <c r="DD152" s="67"/>
      <c r="DE152" s="67"/>
      <c r="DF152" s="67"/>
      <c r="DG152" s="67"/>
      <c r="DH152" s="67"/>
      <c r="DI152" s="67"/>
      <c r="DJ152" s="67"/>
      <c r="DK152" s="67"/>
      <c r="DL152" s="194"/>
      <c r="DM152" s="194"/>
      <c r="DN152" s="194"/>
      <c r="DO152" s="194"/>
      <c r="DP152" s="194"/>
    </row>
    <row r="153" spans="1:120" x14ac:dyDescent="0.2">
      <c r="A153" s="68" t="s">
        <v>133</v>
      </c>
      <c r="B153" s="31"/>
      <c r="C153" s="31"/>
      <c r="D153" s="31"/>
      <c r="E153" s="31"/>
      <c r="F153" s="31"/>
      <c r="G153" s="69"/>
      <c r="H153" s="69"/>
      <c r="I153" s="69"/>
      <c r="J153" s="69"/>
      <c r="K153" s="69"/>
      <c r="L153" s="69"/>
      <c r="M153" s="69"/>
      <c r="N153" s="69"/>
      <c r="O153" s="69"/>
      <c r="P153" s="69"/>
      <c r="Q153" s="69"/>
      <c r="R153" s="69"/>
      <c r="S153" s="69"/>
      <c r="T153" s="69"/>
      <c r="U153" s="69"/>
      <c r="V153" s="70"/>
      <c r="W153" s="69"/>
      <c r="X153" s="69"/>
      <c r="Y153" s="69"/>
      <c r="Z153" s="69"/>
      <c r="AA153" s="69"/>
      <c r="AB153" s="69"/>
      <c r="AC153" s="69"/>
      <c r="AD153" s="69"/>
      <c r="AE153" s="71"/>
      <c r="AF153" s="69"/>
      <c r="AG153" s="69"/>
      <c r="AH153" s="69"/>
      <c r="AI153" s="69"/>
      <c r="AJ153" s="71"/>
      <c r="AK153" s="71"/>
      <c r="AL153" s="71"/>
      <c r="AM153" s="71"/>
      <c r="AN153" s="71"/>
      <c r="AO153" s="71"/>
      <c r="AP153" s="71"/>
      <c r="AQ153" s="71"/>
      <c r="AR153" s="71"/>
      <c r="AS153" s="71"/>
      <c r="AT153" s="71"/>
      <c r="AU153" s="71"/>
      <c r="AV153" s="71"/>
      <c r="AW153" s="71"/>
      <c r="AX153" s="71"/>
      <c r="AY153" s="36"/>
      <c r="AZ153" s="71"/>
      <c r="BA153" s="71"/>
      <c r="BB153" s="71"/>
      <c r="BC153" s="71"/>
      <c r="BD153" s="36"/>
      <c r="BE153" s="36"/>
      <c r="BF153" s="36"/>
      <c r="BG153" s="36"/>
      <c r="BH153" s="36"/>
      <c r="BI153" s="36"/>
      <c r="BJ153" s="36"/>
      <c r="BK153" s="36"/>
      <c r="BL153" s="36"/>
      <c r="BM153" s="36"/>
      <c r="BN153" s="36"/>
      <c r="BO153" s="36"/>
      <c r="BP153" s="36"/>
      <c r="BQ153" s="36"/>
      <c r="BR153" s="36"/>
      <c r="BS153" s="36"/>
      <c r="BT153" s="36"/>
      <c r="BU153" s="36"/>
      <c r="BV153" s="36"/>
      <c r="BW153" s="36"/>
      <c r="BX153" s="36"/>
      <c r="BY153" s="36"/>
      <c r="BZ153" s="36"/>
      <c r="CA153" s="36"/>
      <c r="CB153" s="36"/>
      <c r="CC153" s="36"/>
      <c r="CD153" s="36"/>
      <c r="CE153" s="36"/>
      <c r="CF153" s="36"/>
      <c r="CG153" s="36"/>
      <c r="CH153" s="36"/>
      <c r="CI153" s="36"/>
      <c r="CJ153" s="36"/>
      <c r="CK153" s="36"/>
      <c r="CL153" s="36"/>
      <c r="CM153" s="36"/>
      <c r="CN153" s="36"/>
      <c r="CO153" s="36"/>
      <c r="CP153" s="36"/>
      <c r="CQ153" s="36"/>
      <c r="CR153" s="36"/>
      <c r="CS153" s="36"/>
      <c r="CT153" s="36"/>
      <c r="CU153" s="36"/>
      <c r="CV153" s="36"/>
      <c r="CW153" s="72"/>
      <c r="CX153" s="36"/>
      <c r="CY153" s="36"/>
      <c r="CZ153" s="36"/>
      <c r="DA153" s="36">
        <v>632</v>
      </c>
      <c r="DB153" s="72">
        <f>SUM(CX153:DA153)</f>
        <v>632</v>
      </c>
      <c r="DC153" s="72">
        <v>1523</v>
      </c>
      <c r="DD153" s="72">
        <v>0</v>
      </c>
      <c r="DE153" s="72">
        <v>0</v>
      </c>
      <c r="DF153" s="72">
        <v>0</v>
      </c>
      <c r="DG153" s="36">
        <f>SUM(DC153:DF153)</f>
        <v>1523</v>
      </c>
      <c r="DH153" s="36">
        <v>75</v>
      </c>
      <c r="DI153" s="36">
        <v>75</v>
      </c>
      <c r="DJ153" s="36">
        <v>75</v>
      </c>
      <c r="DK153" s="36">
        <v>75</v>
      </c>
      <c r="DL153" s="183">
        <f>SUM(DH153:DK153)</f>
        <v>300</v>
      </c>
      <c r="DM153" s="183">
        <f t="shared" ref="DM153:DP154" si="158">DL153*(1+DM156)</f>
        <v>285</v>
      </c>
      <c r="DN153" s="183">
        <f t="shared" si="158"/>
        <v>270.75</v>
      </c>
      <c r="DO153" s="183">
        <f t="shared" si="158"/>
        <v>257.21249999999998</v>
      </c>
      <c r="DP153" s="183">
        <f t="shared" si="158"/>
        <v>244.35187499999998</v>
      </c>
    </row>
    <row r="154" spans="1:120" ht="17" x14ac:dyDescent="0.2">
      <c r="A154" s="125" t="s">
        <v>134</v>
      </c>
      <c r="B154" s="31"/>
      <c r="C154" s="31"/>
      <c r="D154" s="31"/>
      <c r="E154" s="31"/>
      <c r="F154" s="31"/>
      <c r="G154" s="69"/>
      <c r="H154" s="69"/>
      <c r="I154" s="69"/>
      <c r="J154" s="69"/>
      <c r="K154" s="69"/>
      <c r="L154" s="69"/>
      <c r="M154" s="69"/>
      <c r="N154" s="69"/>
      <c r="O154" s="69"/>
      <c r="P154" s="69"/>
      <c r="Q154" s="69"/>
      <c r="R154" s="69"/>
      <c r="S154" s="69"/>
      <c r="T154" s="69"/>
      <c r="U154" s="69"/>
      <c r="V154" s="69"/>
      <c r="W154" s="69"/>
      <c r="X154" s="69"/>
      <c r="Y154" s="69"/>
      <c r="Z154" s="70"/>
      <c r="AA154" s="70"/>
      <c r="AB154" s="70"/>
      <c r="AC154" s="70"/>
      <c r="AD154" s="70"/>
      <c r="AE154" s="71"/>
      <c r="AF154" s="70"/>
      <c r="AG154" s="70"/>
      <c r="AH154" s="70"/>
      <c r="AI154" s="70"/>
      <c r="AJ154" s="71"/>
      <c r="AK154" s="71"/>
      <c r="AL154" s="71"/>
      <c r="AM154" s="71"/>
      <c r="AN154" s="71"/>
      <c r="AO154" s="71"/>
      <c r="AP154" s="71"/>
      <c r="AQ154" s="71"/>
      <c r="AR154" s="71"/>
      <c r="AS154" s="71"/>
      <c r="AT154" s="71"/>
      <c r="AU154" s="71"/>
      <c r="AV154" s="71"/>
      <c r="AW154" s="71"/>
      <c r="AX154" s="71"/>
      <c r="AY154" s="36"/>
      <c r="AZ154" s="71"/>
      <c r="BA154" s="71"/>
      <c r="BB154" s="71"/>
      <c r="BC154" s="71"/>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c r="CP154" s="36"/>
      <c r="CQ154" s="36"/>
      <c r="CR154" s="36"/>
      <c r="CS154" s="36"/>
      <c r="CT154" s="36"/>
      <c r="CU154" s="36"/>
      <c r="CV154" s="36"/>
      <c r="CW154" s="72"/>
      <c r="CX154" s="36"/>
      <c r="CY154" s="36"/>
      <c r="CZ154" s="36"/>
      <c r="DA154" s="36">
        <v>320</v>
      </c>
      <c r="DB154" s="72">
        <f>SUM(CX154:DA154)</f>
        <v>320</v>
      </c>
      <c r="DC154" s="72">
        <v>1723</v>
      </c>
      <c r="DD154" s="72">
        <v>1177</v>
      </c>
      <c r="DE154" s="72">
        <v>436</v>
      </c>
      <c r="DF154" s="72">
        <v>825</v>
      </c>
      <c r="DG154" s="36">
        <f>SUM(DC154:DF154)</f>
        <v>4161</v>
      </c>
      <c r="DH154" s="36">
        <v>175</v>
      </c>
      <c r="DI154" s="36">
        <v>175</v>
      </c>
      <c r="DJ154" s="36">
        <v>175</v>
      </c>
      <c r="DK154" s="36">
        <v>175</v>
      </c>
      <c r="DL154" s="183">
        <f>SUM(DH154:DK154)</f>
        <v>700</v>
      </c>
      <c r="DM154" s="183">
        <f t="shared" si="158"/>
        <v>350</v>
      </c>
      <c r="DN154" s="183">
        <f t="shared" si="158"/>
        <v>332.5</v>
      </c>
      <c r="DO154" s="183">
        <f t="shared" si="158"/>
        <v>315.875</v>
      </c>
      <c r="DP154" s="183">
        <f t="shared" si="158"/>
        <v>300.08125000000001</v>
      </c>
    </row>
    <row r="155" spans="1:120" ht="17" x14ac:dyDescent="0.2">
      <c r="A155" s="126" t="s">
        <v>135</v>
      </c>
      <c r="B155" s="31"/>
      <c r="C155" s="31"/>
      <c r="D155" s="31"/>
      <c r="E155" s="31"/>
      <c r="F155" s="31"/>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73"/>
      <c r="AF155" s="69"/>
      <c r="AG155" s="69"/>
      <c r="AH155" s="69"/>
      <c r="AI155" s="69"/>
      <c r="AJ155" s="73"/>
      <c r="AK155" s="73"/>
      <c r="AL155" s="73"/>
      <c r="AM155" s="73"/>
      <c r="AN155" s="73"/>
      <c r="AO155" s="73"/>
      <c r="AP155" s="73"/>
      <c r="AQ155" s="73"/>
      <c r="AR155" s="73"/>
      <c r="AS155" s="73"/>
      <c r="AT155" s="73"/>
      <c r="AU155" s="73"/>
      <c r="AV155" s="73"/>
      <c r="AW155" s="73"/>
      <c r="AX155" s="73"/>
      <c r="AY155" s="74"/>
      <c r="AZ155" s="73"/>
      <c r="BA155" s="73"/>
      <c r="BB155" s="73"/>
      <c r="BC155" s="73"/>
      <c r="BD155" s="74"/>
      <c r="BE155" s="39"/>
      <c r="BF155" s="39"/>
      <c r="BG155" s="39"/>
      <c r="BH155" s="39"/>
      <c r="BI155" s="39"/>
      <c r="BJ155" s="39"/>
      <c r="BK155" s="39"/>
      <c r="BL155" s="39"/>
      <c r="BM155" s="39"/>
      <c r="BN155" s="39"/>
      <c r="BO155" s="39"/>
      <c r="BP155" s="39"/>
      <c r="BQ155" s="39"/>
      <c r="BR155" s="39"/>
      <c r="BS155" s="74"/>
      <c r="BT155" s="39"/>
      <c r="BU155" s="39"/>
      <c r="BV155" s="39"/>
      <c r="BW155" s="39"/>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39"/>
      <c r="CT155" s="39"/>
      <c r="CU155" s="39"/>
      <c r="CV155" s="39"/>
      <c r="CW155" s="74"/>
      <c r="CX155" s="39"/>
      <c r="CY155" s="39"/>
      <c r="CZ155" s="39"/>
      <c r="DA155" s="39">
        <f>SUM(DA153:DA154)</f>
        <v>952</v>
      </c>
      <c r="DB155" s="74">
        <f>SUM(CX155:DA155)</f>
        <v>952</v>
      </c>
      <c r="DC155" s="39">
        <f>SUM(DC153:DC154)</f>
        <v>3246</v>
      </c>
      <c r="DD155" s="39">
        <f>SUM(DD153:DD154)</f>
        <v>1177</v>
      </c>
      <c r="DE155" s="39">
        <f>SUM(DE153:DE154)</f>
        <v>436</v>
      </c>
      <c r="DF155" s="39">
        <f>SUM(DF153:DF154)</f>
        <v>825</v>
      </c>
      <c r="DG155" s="74">
        <f>SUM(DC155:DF155)</f>
        <v>5684</v>
      </c>
      <c r="DH155" s="74">
        <f>DH154+DH153</f>
        <v>250</v>
      </c>
      <c r="DI155" s="74">
        <f>DI154+DI153</f>
        <v>250</v>
      </c>
      <c r="DJ155" s="74">
        <f>DJ154+DJ153</f>
        <v>250</v>
      </c>
      <c r="DK155" s="74">
        <f>DK154+DK153</f>
        <v>250</v>
      </c>
      <c r="DL155" s="184">
        <f>SUM(DH155:DK155)</f>
        <v>1000</v>
      </c>
      <c r="DM155" s="184">
        <f t="shared" ref="DM155:DP155" si="159">DM154+DM153</f>
        <v>635</v>
      </c>
      <c r="DN155" s="184">
        <f t="shared" si="159"/>
        <v>603.25</v>
      </c>
      <c r="DO155" s="184">
        <f t="shared" si="159"/>
        <v>573.08749999999998</v>
      </c>
      <c r="DP155" s="184">
        <f t="shared" si="159"/>
        <v>544.43312500000002</v>
      </c>
    </row>
    <row r="156" spans="1:120" x14ac:dyDescent="0.2">
      <c r="A156" s="68" t="s">
        <v>54</v>
      </c>
      <c r="B156" s="31"/>
      <c r="C156" s="31"/>
      <c r="D156" s="31"/>
      <c r="E156" s="31"/>
      <c r="F156" s="31"/>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73"/>
      <c r="AF156" s="69"/>
      <c r="AG156" s="69"/>
      <c r="AH156" s="69"/>
      <c r="AI156" s="69"/>
      <c r="AJ156" s="73"/>
      <c r="AK156" s="73"/>
      <c r="AL156" s="73"/>
      <c r="AM156" s="73"/>
      <c r="AN156" s="73"/>
      <c r="AO156" s="73"/>
      <c r="AP156" s="73"/>
      <c r="AQ156" s="73"/>
      <c r="AR156" s="73"/>
      <c r="AS156" s="73"/>
      <c r="AT156" s="73"/>
      <c r="AU156" s="73"/>
      <c r="AV156" s="73"/>
      <c r="AW156" s="73"/>
      <c r="AX156" s="73"/>
      <c r="AY156" s="76"/>
      <c r="AZ156" s="73"/>
      <c r="BA156" s="73"/>
      <c r="BB156" s="73"/>
      <c r="BC156" s="73"/>
      <c r="BD156" s="76"/>
      <c r="BE156" s="76"/>
      <c r="BF156" s="76"/>
      <c r="BG156" s="76"/>
      <c r="BH156" s="76"/>
      <c r="BI156" s="90"/>
      <c r="BJ156" s="76"/>
      <c r="BK156" s="76"/>
      <c r="BL156" s="76"/>
      <c r="BM156" s="76"/>
      <c r="BN156" s="90"/>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c r="CU156" s="76"/>
      <c r="CV156" s="76"/>
      <c r="CW156" s="90"/>
      <c r="CX156" s="76"/>
      <c r="CY156" s="76"/>
      <c r="CZ156" s="76"/>
      <c r="DA156" s="76"/>
      <c r="DB156" s="90"/>
      <c r="DC156" s="90"/>
      <c r="DD156" s="90"/>
      <c r="DE156" s="90"/>
      <c r="DF156" s="90"/>
      <c r="DG156" s="76"/>
      <c r="DH156" s="76"/>
      <c r="DI156" s="76"/>
      <c r="DJ156" s="76"/>
      <c r="DK156" s="76"/>
      <c r="DL156" s="195"/>
      <c r="DM156" s="195">
        <v>-0.05</v>
      </c>
      <c r="DN156" s="195">
        <v>-0.05</v>
      </c>
      <c r="DO156" s="195">
        <v>-0.05</v>
      </c>
      <c r="DP156" s="195">
        <v>-0.05</v>
      </c>
    </row>
    <row r="157" spans="1:120" x14ac:dyDescent="0.2">
      <c r="A157" s="68" t="s">
        <v>55</v>
      </c>
      <c r="B157" s="31"/>
      <c r="C157" s="31"/>
      <c r="D157" s="31"/>
      <c r="E157" s="31"/>
      <c r="F157" s="31"/>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73"/>
      <c r="AF157" s="69"/>
      <c r="AG157" s="69"/>
      <c r="AH157" s="69"/>
      <c r="AI157" s="69"/>
      <c r="AJ157" s="73"/>
      <c r="AK157" s="73"/>
      <c r="AL157" s="73"/>
      <c r="AM157" s="73"/>
      <c r="AN157" s="73"/>
      <c r="AO157" s="73"/>
      <c r="AP157" s="73"/>
      <c r="AQ157" s="73"/>
      <c r="AR157" s="73"/>
      <c r="AS157" s="73"/>
      <c r="AT157" s="73"/>
      <c r="AU157" s="73"/>
      <c r="AV157" s="73"/>
      <c r="AW157" s="73"/>
      <c r="AX157" s="73"/>
      <c r="AY157" s="76"/>
      <c r="AZ157" s="73"/>
      <c r="BA157" s="73"/>
      <c r="BB157" s="73"/>
      <c r="BC157" s="73"/>
      <c r="BD157" s="76"/>
      <c r="BE157" s="76"/>
      <c r="BF157" s="76"/>
      <c r="BG157" s="76"/>
      <c r="BH157" s="76"/>
      <c r="BI157" s="90"/>
      <c r="BJ157" s="76"/>
      <c r="BK157" s="76"/>
      <c r="BL157" s="76"/>
      <c r="BM157" s="76"/>
      <c r="BN157" s="90"/>
      <c r="BO157" s="76"/>
      <c r="BP157" s="76"/>
      <c r="BQ157" s="76"/>
      <c r="BR157" s="76"/>
      <c r="BS157" s="76"/>
      <c r="BT157" s="76"/>
      <c r="BU157" s="76"/>
      <c r="BV157" s="76"/>
      <c r="BW157" s="76"/>
      <c r="BX157" s="76"/>
      <c r="BY157" s="76"/>
      <c r="BZ157" s="76"/>
      <c r="CA157" s="76"/>
      <c r="CB157" s="76"/>
      <c r="CC157" s="76"/>
      <c r="CD157" s="76"/>
      <c r="CE157" s="76"/>
      <c r="CF157" s="76"/>
      <c r="CG157" s="76"/>
      <c r="CH157" s="76"/>
      <c r="CI157" s="76"/>
      <c r="CJ157" s="76"/>
      <c r="CK157" s="76"/>
      <c r="CL157" s="76"/>
      <c r="CM157" s="76"/>
      <c r="CN157" s="76"/>
      <c r="CO157" s="76"/>
      <c r="CP157" s="76"/>
      <c r="CQ157" s="76"/>
      <c r="CR157" s="76"/>
      <c r="CS157" s="76"/>
      <c r="CT157" s="76"/>
      <c r="CU157" s="76"/>
      <c r="CV157" s="76"/>
      <c r="CW157" s="90"/>
      <c r="CX157" s="76"/>
      <c r="CY157" s="76"/>
      <c r="CZ157" s="76"/>
      <c r="DA157" s="76"/>
      <c r="DB157" s="90"/>
      <c r="DC157" s="90"/>
      <c r="DD157" s="90"/>
      <c r="DE157" s="90"/>
      <c r="DF157" s="76">
        <f>DF154/DA154-1</f>
        <v>1.578125</v>
      </c>
      <c r="DG157" s="76"/>
      <c r="DH157" s="76"/>
      <c r="DI157" s="76"/>
      <c r="DJ157" s="76"/>
      <c r="DK157" s="76"/>
      <c r="DL157" s="195"/>
      <c r="DM157" s="195">
        <v>-0.5</v>
      </c>
      <c r="DN157" s="195">
        <v>-0.05</v>
      </c>
      <c r="DO157" s="195">
        <v>-0.05</v>
      </c>
      <c r="DP157" s="195">
        <v>-0.05</v>
      </c>
    </row>
    <row r="158" spans="1:120" x14ac:dyDescent="0.2">
      <c r="A158" s="78" t="s">
        <v>56</v>
      </c>
      <c r="B158" s="79"/>
      <c r="C158" s="79"/>
      <c r="D158" s="79"/>
      <c r="E158" s="79"/>
      <c r="F158" s="79"/>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1"/>
      <c r="AF158" s="80"/>
      <c r="AG158" s="80"/>
      <c r="AH158" s="80"/>
      <c r="AI158" s="80"/>
      <c r="AJ158" s="81"/>
      <c r="AK158" s="81"/>
      <c r="AL158" s="81"/>
      <c r="AM158" s="81"/>
      <c r="AN158" s="81"/>
      <c r="AO158" s="81"/>
      <c r="AP158" s="81"/>
      <c r="AQ158" s="81"/>
      <c r="AR158" s="81"/>
      <c r="AS158" s="81"/>
      <c r="AT158" s="81"/>
      <c r="AU158" s="81"/>
      <c r="AV158" s="81"/>
      <c r="AW158" s="81"/>
      <c r="AX158" s="81"/>
      <c r="AY158" s="80"/>
      <c r="AZ158" s="81"/>
      <c r="BA158" s="81"/>
      <c r="BB158" s="81"/>
      <c r="BC158" s="81"/>
      <c r="BD158" s="80"/>
      <c r="BE158" s="80"/>
      <c r="BF158" s="80"/>
      <c r="BG158" s="80"/>
      <c r="BH158" s="80"/>
      <c r="BI158" s="80"/>
      <c r="BJ158" s="80"/>
      <c r="BK158" s="91"/>
      <c r="BL158" s="91"/>
      <c r="BM158" s="91"/>
      <c r="BN158" s="80"/>
      <c r="BO158" s="91"/>
      <c r="BP158" s="91"/>
      <c r="BQ158" s="91"/>
      <c r="BR158" s="91"/>
      <c r="BS158" s="80"/>
      <c r="BT158" s="91"/>
      <c r="BU158" s="91"/>
      <c r="BV158" s="91"/>
      <c r="BW158" s="91"/>
      <c r="BX158" s="80"/>
      <c r="BY158" s="80"/>
      <c r="BZ158" s="80"/>
      <c r="CA158" s="80"/>
      <c r="CB158" s="80"/>
      <c r="CC158" s="80"/>
      <c r="CD158" s="80"/>
      <c r="CE158" s="80"/>
      <c r="CF158" s="80"/>
      <c r="CG158" s="80"/>
      <c r="CH158" s="80"/>
      <c r="CI158" s="80"/>
      <c r="CJ158" s="80"/>
      <c r="CK158" s="80"/>
      <c r="CL158" s="80"/>
      <c r="CM158" s="80"/>
      <c r="CN158" s="80"/>
      <c r="CO158" s="80"/>
      <c r="CP158" s="80"/>
      <c r="CQ158" s="80"/>
      <c r="CR158" s="80"/>
      <c r="CS158" s="80"/>
      <c r="CT158" s="80"/>
      <c r="CU158" s="80"/>
      <c r="CV158" s="80"/>
      <c r="CW158" s="80"/>
      <c r="CX158" s="80"/>
      <c r="CY158" s="80"/>
      <c r="CZ158" s="80"/>
      <c r="DA158" s="80"/>
      <c r="DB158" s="80"/>
      <c r="DC158" s="80"/>
      <c r="DD158" s="80"/>
      <c r="DE158" s="80"/>
      <c r="DF158" s="80">
        <f>DF155/DA155-1</f>
        <v>-0.13340336134453779</v>
      </c>
      <c r="DG158" s="80"/>
      <c r="DH158" s="80"/>
      <c r="DI158" s="80"/>
      <c r="DJ158" s="80"/>
      <c r="DK158" s="80"/>
      <c r="DL158" s="189"/>
      <c r="DM158" s="189">
        <f t="shared" ref="DM158:DP158" si="160">DM155/DL155-1</f>
        <v>-0.36499999999999999</v>
      </c>
      <c r="DN158" s="189">
        <f t="shared" si="160"/>
        <v>-5.0000000000000044E-2</v>
      </c>
      <c r="DO158" s="189">
        <f t="shared" si="160"/>
        <v>-5.0000000000000044E-2</v>
      </c>
      <c r="DP158" s="189">
        <f t="shared" si="160"/>
        <v>-4.9999999999999933E-2</v>
      </c>
    </row>
    <row r="159" spans="1:120" x14ac:dyDescent="0.2">
      <c r="A159" s="68" t="s">
        <v>136</v>
      </c>
      <c r="B159" s="31"/>
      <c r="C159" s="31"/>
      <c r="D159" s="31"/>
      <c r="E159" s="31"/>
      <c r="F159" s="31"/>
      <c r="G159" s="69"/>
      <c r="H159" s="69"/>
      <c r="I159" s="69"/>
      <c r="J159" s="69"/>
      <c r="K159" s="69"/>
      <c r="L159" s="69"/>
      <c r="M159" s="69"/>
      <c r="N159" s="69"/>
      <c r="O159" s="69"/>
      <c r="P159" s="69"/>
      <c r="Q159" s="69"/>
      <c r="R159" s="69"/>
      <c r="S159" s="69"/>
      <c r="T159" s="69"/>
      <c r="U159" s="69"/>
      <c r="V159" s="70"/>
      <c r="W159" s="69"/>
      <c r="X159" s="69"/>
      <c r="Y159" s="69"/>
      <c r="Z159" s="69"/>
      <c r="AA159" s="69"/>
      <c r="AB159" s="69"/>
      <c r="AC159" s="69"/>
      <c r="AD159" s="69"/>
      <c r="AE159" s="71"/>
      <c r="AF159" s="69"/>
      <c r="AG159" s="69"/>
      <c r="AH159" s="69"/>
      <c r="AI159" s="69"/>
      <c r="AJ159" s="71"/>
      <c r="AK159" s="71">
        <v>30</v>
      </c>
      <c r="AL159" s="71">
        <v>45</v>
      </c>
      <c r="AM159" s="71">
        <v>57</v>
      </c>
      <c r="AN159" s="71">
        <v>71</v>
      </c>
      <c r="AO159" s="71">
        <f>AN159+AM159+AL159+AK159</f>
        <v>203</v>
      </c>
      <c r="AP159" s="71">
        <v>75</v>
      </c>
      <c r="AQ159" s="71">
        <v>88</v>
      </c>
      <c r="AR159" s="71">
        <v>95</v>
      </c>
      <c r="AS159" s="71">
        <v>113</v>
      </c>
      <c r="AT159" s="71">
        <f>AS159+AR159+AQ159+AP159</f>
        <v>371</v>
      </c>
      <c r="AU159" s="71">
        <v>111</v>
      </c>
      <c r="AV159" s="71">
        <v>130</v>
      </c>
      <c r="AW159" s="71">
        <v>149</v>
      </c>
      <c r="AX159" s="71">
        <v>164</v>
      </c>
      <c r="AY159" s="36">
        <f>AX159+AW159+AV159+AU159</f>
        <v>554</v>
      </c>
      <c r="AZ159" s="71">
        <v>150</v>
      </c>
      <c r="BA159" s="71">
        <v>171</v>
      </c>
      <c r="BB159" s="71">
        <v>168</v>
      </c>
      <c r="BC159" s="71">
        <v>193</v>
      </c>
      <c r="BD159" s="36">
        <f>BC159+BB159+BA159+AZ159</f>
        <v>682</v>
      </c>
      <c r="BE159" s="36">
        <v>186</v>
      </c>
      <c r="BF159" s="36">
        <v>203</v>
      </c>
      <c r="BG159" s="36">
        <v>219</v>
      </c>
      <c r="BH159" s="36">
        <v>214</v>
      </c>
      <c r="BI159" s="36">
        <f>SUM(BE159:BH159)</f>
        <v>822</v>
      </c>
      <c r="BJ159" s="36">
        <v>187</v>
      </c>
      <c r="BK159" s="36">
        <v>218</v>
      </c>
      <c r="BL159" s="36">
        <v>227</v>
      </c>
      <c r="BM159" s="36">
        <v>249</v>
      </c>
      <c r="BN159" s="36">
        <f>SUM(BJ159:BM159)</f>
        <v>881</v>
      </c>
      <c r="BO159" s="36">
        <v>190</v>
      </c>
      <c r="BP159" s="36">
        <v>228</v>
      </c>
      <c r="BQ159" s="36">
        <v>207</v>
      </c>
      <c r="BR159" s="36">
        <v>218</v>
      </c>
      <c r="BS159" s="36">
        <f>SUM(BO159:BR159)</f>
        <v>843</v>
      </c>
      <c r="BT159" s="36">
        <v>187</v>
      </c>
      <c r="BU159" s="36">
        <v>212</v>
      </c>
      <c r="BV159" s="36">
        <v>204</v>
      </c>
      <c r="BW159" s="36">
        <v>194</v>
      </c>
      <c r="BX159" s="36">
        <f>SUM(BT159:BW159)</f>
        <v>797</v>
      </c>
      <c r="BY159" s="36">
        <v>162</v>
      </c>
      <c r="BZ159" s="36">
        <v>169</v>
      </c>
      <c r="CA159" s="36">
        <v>215</v>
      </c>
      <c r="CB159" s="36">
        <v>175</v>
      </c>
      <c r="CC159" s="36">
        <f>SUM(BY159:CB159)</f>
        <v>721</v>
      </c>
      <c r="CD159" s="36">
        <v>143</v>
      </c>
      <c r="CE159" s="36">
        <v>136</v>
      </c>
      <c r="CF159" s="36">
        <v>143</v>
      </c>
      <c r="CG159" s="36">
        <v>143</v>
      </c>
      <c r="CH159" s="36">
        <f>SUM(CD159:CG159)</f>
        <v>565</v>
      </c>
      <c r="CI159" s="36">
        <v>128.30000000000001</v>
      </c>
      <c r="CJ159" s="36">
        <v>131.5</v>
      </c>
      <c r="CK159" s="36">
        <v>123</v>
      </c>
      <c r="CL159" s="36">
        <v>130</v>
      </c>
      <c r="CM159" s="36">
        <f>SUM(CI159:CL159)</f>
        <v>512.79999999999995</v>
      </c>
      <c r="CN159" s="36">
        <v>108</v>
      </c>
      <c r="CO159" s="36">
        <v>94</v>
      </c>
      <c r="CP159" s="36">
        <v>102</v>
      </c>
      <c r="CQ159" s="36">
        <v>95</v>
      </c>
      <c r="CR159" s="36">
        <f>SUM(CN159:CQ159)</f>
        <v>399</v>
      </c>
      <c r="CS159" s="36">
        <v>75</v>
      </c>
      <c r="CT159" s="36">
        <v>76</v>
      </c>
      <c r="CU159" s="36">
        <v>92</v>
      </c>
      <c r="CV159" s="36">
        <v>83</v>
      </c>
      <c r="CW159" s="72">
        <f>SUM(CS159:CV159)</f>
        <v>326</v>
      </c>
      <c r="CX159" s="36">
        <v>71</v>
      </c>
      <c r="CY159" s="36">
        <v>74</v>
      </c>
      <c r="CZ159" s="36">
        <v>77</v>
      </c>
      <c r="DA159" s="36">
        <v>72</v>
      </c>
      <c r="DB159" s="72">
        <f>SUM(CX159:DA159)</f>
        <v>294</v>
      </c>
      <c r="DC159" s="72">
        <v>61</v>
      </c>
      <c r="DD159" s="72">
        <v>67</v>
      </c>
      <c r="DE159" s="72">
        <v>68</v>
      </c>
      <c r="DF159" s="72">
        <v>78</v>
      </c>
      <c r="DG159" s="36">
        <f>SUM(DC159:DF159)</f>
        <v>274</v>
      </c>
      <c r="DH159" s="36">
        <f t="shared" ref="DH159:DK160" si="161">DC159*(1+DH162)</f>
        <v>18.300000000000004</v>
      </c>
      <c r="DI159" s="36">
        <f t="shared" si="161"/>
        <v>20.100000000000001</v>
      </c>
      <c r="DJ159" s="36">
        <f t="shared" si="161"/>
        <v>20.400000000000002</v>
      </c>
      <c r="DK159" s="36">
        <f t="shared" si="161"/>
        <v>23.400000000000002</v>
      </c>
      <c r="DL159" s="183">
        <f>SUM(DH159:DK159)</f>
        <v>82.200000000000017</v>
      </c>
      <c r="DM159" s="183">
        <f t="shared" ref="DM159:DP160" si="162">DL159*(1+DM162)</f>
        <v>24.660000000000007</v>
      </c>
      <c r="DN159" s="183">
        <f t="shared" si="162"/>
        <v>7.3980000000000032</v>
      </c>
      <c r="DO159" s="183">
        <f t="shared" si="162"/>
        <v>2.2194000000000011</v>
      </c>
      <c r="DP159" s="183">
        <f t="shared" si="162"/>
        <v>0.66582000000000041</v>
      </c>
    </row>
    <row r="160" spans="1:120" ht="17" x14ac:dyDescent="0.2">
      <c r="A160" s="125" t="s">
        <v>137</v>
      </c>
      <c r="B160" s="31"/>
      <c r="C160" s="31"/>
      <c r="D160" s="31"/>
      <c r="E160" s="31"/>
      <c r="F160" s="31"/>
      <c r="G160" s="69"/>
      <c r="H160" s="69"/>
      <c r="I160" s="69"/>
      <c r="J160" s="69"/>
      <c r="K160" s="69"/>
      <c r="L160" s="69"/>
      <c r="M160" s="69"/>
      <c r="N160" s="69"/>
      <c r="O160" s="69"/>
      <c r="P160" s="69"/>
      <c r="Q160" s="69"/>
      <c r="R160" s="69"/>
      <c r="S160" s="69"/>
      <c r="T160" s="69"/>
      <c r="U160" s="69"/>
      <c r="V160" s="69"/>
      <c r="W160" s="69"/>
      <c r="X160" s="69"/>
      <c r="Y160" s="69"/>
      <c r="Z160" s="70"/>
      <c r="AA160" s="70"/>
      <c r="AB160" s="70"/>
      <c r="AC160" s="70"/>
      <c r="AD160" s="70"/>
      <c r="AE160" s="71"/>
      <c r="AF160" s="70"/>
      <c r="AG160" s="70"/>
      <c r="AH160" s="70"/>
      <c r="AI160" s="70"/>
      <c r="AJ160" s="71"/>
      <c r="AK160" s="71">
        <v>17</v>
      </c>
      <c r="AL160" s="71">
        <v>32</v>
      </c>
      <c r="AM160" s="71">
        <v>51</v>
      </c>
      <c r="AN160" s="71">
        <v>59</v>
      </c>
      <c r="AO160" s="71">
        <f>AN160+AM160+AL160+AK160</f>
        <v>159</v>
      </c>
      <c r="AP160" s="71">
        <v>73</v>
      </c>
      <c r="AQ160" s="71">
        <v>85</v>
      </c>
      <c r="AR160" s="71">
        <v>102</v>
      </c>
      <c r="AS160" s="71">
        <v>121</v>
      </c>
      <c r="AT160" s="71">
        <f>AS160+AR160+AQ160+AP160</f>
        <v>381</v>
      </c>
      <c r="AU160" s="71">
        <v>121</v>
      </c>
      <c r="AV160" s="71">
        <v>137</v>
      </c>
      <c r="AW160" s="71">
        <v>129</v>
      </c>
      <c r="AX160" s="71">
        <v>149</v>
      </c>
      <c r="AY160" s="36">
        <f>AX160+AW160+AV160+AU160</f>
        <v>536</v>
      </c>
      <c r="AZ160" s="71">
        <v>143</v>
      </c>
      <c r="BA160" s="71">
        <v>166</v>
      </c>
      <c r="BB160" s="71">
        <v>175</v>
      </c>
      <c r="BC160" s="71">
        <v>194</v>
      </c>
      <c r="BD160" s="36">
        <f>BC160+BB160+BA160+AZ160</f>
        <v>678</v>
      </c>
      <c r="BE160" s="36">
        <v>150</v>
      </c>
      <c r="BF160" s="36">
        <v>195</v>
      </c>
      <c r="BG160" s="36">
        <v>180</v>
      </c>
      <c r="BH160" s="36">
        <v>167</v>
      </c>
      <c r="BI160" s="36">
        <f>SUM(BE160:BH160)</f>
        <v>692</v>
      </c>
      <c r="BJ160" s="36">
        <v>175</v>
      </c>
      <c r="BK160" s="36">
        <v>195</v>
      </c>
      <c r="BL160" s="36">
        <v>199</v>
      </c>
      <c r="BM160" s="36">
        <v>192</v>
      </c>
      <c r="BN160" s="36">
        <f>SUM(BJ160:BM160)</f>
        <v>761</v>
      </c>
      <c r="BO160" s="36">
        <v>199</v>
      </c>
      <c r="BP160" s="36">
        <v>225</v>
      </c>
      <c r="BQ160" s="36">
        <v>205</v>
      </c>
      <c r="BR160" s="36">
        <v>201</v>
      </c>
      <c r="BS160" s="36">
        <f>SUM(BO160:BR160)</f>
        <v>830</v>
      </c>
      <c r="BT160" s="36">
        <v>198</v>
      </c>
      <c r="BU160" s="36">
        <v>163</v>
      </c>
      <c r="BV160" s="36">
        <v>173</v>
      </c>
      <c r="BW160" s="36">
        <v>180</v>
      </c>
      <c r="BX160" s="36">
        <f>SUM(BT160:BW160)</f>
        <v>714</v>
      </c>
      <c r="BY160" s="36">
        <v>178</v>
      </c>
      <c r="BZ160" s="36">
        <v>169</v>
      </c>
      <c r="CA160" s="36">
        <v>157</v>
      </c>
      <c r="CB160" s="36">
        <v>162</v>
      </c>
      <c r="CC160" s="36">
        <f>SUM(BY160:CB160)</f>
        <v>666</v>
      </c>
      <c r="CD160" s="36">
        <v>162</v>
      </c>
      <c r="CE160" s="36">
        <v>146</v>
      </c>
      <c r="CF160" s="36">
        <v>167</v>
      </c>
      <c r="CG160" s="36">
        <v>165</v>
      </c>
      <c r="CH160" s="36">
        <f>SUM(CD160:CG160)</f>
        <v>640</v>
      </c>
      <c r="CI160" s="36">
        <v>152.30000000000001</v>
      </c>
      <c r="CJ160" s="36">
        <v>173.5</v>
      </c>
      <c r="CK160" s="36">
        <v>151</v>
      </c>
      <c r="CL160" s="36">
        <v>150</v>
      </c>
      <c r="CM160" s="36">
        <f>SUM(CI160:CL160)</f>
        <v>626.79999999999995</v>
      </c>
      <c r="CN160" s="36">
        <v>147</v>
      </c>
      <c r="CO160" s="36">
        <v>153</v>
      </c>
      <c r="CP160" s="36">
        <v>149</v>
      </c>
      <c r="CQ160" s="36">
        <v>128</v>
      </c>
      <c r="CR160" s="36">
        <f>SUM(CN160:CQ160)</f>
        <v>577</v>
      </c>
      <c r="CS160" s="36">
        <v>170</v>
      </c>
      <c r="CT160" s="36">
        <v>120</v>
      </c>
      <c r="CU160" s="36">
        <v>113</v>
      </c>
      <c r="CV160" s="36">
        <v>128</v>
      </c>
      <c r="CW160" s="72">
        <f>SUM(CS160:CV160)</f>
        <v>531</v>
      </c>
      <c r="CX160" s="36">
        <v>138</v>
      </c>
      <c r="CY160" s="36">
        <v>118</v>
      </c>
      <c r="CZ160" s="36">
        <v>112</v>
      </c>
      <c r="DA160" s="36">
        <v>106</v>
      </c>
      <c r="DB160" s="72">
        <f>SUM(CX160:DA160)</f>
        <v>474</v>
      </c>
      <c r="DC160" s="72">
        <v>97</v>
      </c>
      <c r="DD160" s="72">
        <v>80</v>
      </c>
      <c r="DE160" s="72">
        <v>93</v>
      </c>
      <c r="DF160" s="72">
        <v>89</v>
      </c>
      <c r="DG160" s="36">
        <f>SUM(DC160:DF160)</f>
        <v>359</v>
      </c>
      <c r="DH160" s="36">
        <f t="shared" si="161"/>
        <v>77.600000000000009</v>
      </c>
      <c r="DI160" s="36">
        <f t="shared" si="161"/>
        <v>64</v>
      </c>
      <c r="DJ160" s="36">
        <f t="shared" si="161"/>
        <v>74.400000000000006</v>
      </c>
      <c r="DK160" s="36">
        <f t="shared" si="161"/>
        <v>71.2</v>
      </c>
      <c r="DL160" s="183">
        <f>SUM(DH160:DK160)</f>
        <v>287.20000000000005</v>
      </c>
      <c r="DM160" s="183">
        <f t="shared" si="162"/>
        <v>229.76000000000005</v>
      </c>
      <c r="DN160" s="183">
        <f t="shared" si="162"/>
        <v>183.80800000000005</v>
      </c>
      <c r="DO160" s="183">
        <f t="shared" si="162"/>
        <v>147.04640000000003</v>
      </c>
      <c r="DP160" s="183">
        <f t="shared" si="162"/>
        <v>117.63712000000004</v>
      </c>
    </row>
    <row r="161" spans="1:120" ht="17" x14ac:dyDescent="0.2">
      <c r="A161" s="126" t="s">
        <v>138</v>
      </c>
      <c r="B161" s="31"/>
      <c r="C161" s="31"/>
      <c r="D161" s="31"/>
      <c r="E161" s="31"/>
      <c r="F161" s="31"/>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73"/>
      <c r="AF161" s="69"/>
      <c r="AG161" s="69"/>
      <c r="AH161" s="69"/>
      <c r="AI161" s="69"/>
      <c r="AJ161" s="73"/>
      <c r="AK161" s="73">
        <f t="shared" ref="AK161:BD161" si="163">AK160+AK159</f>
        <v>47</v>
      </c>
      <c r="AL161" s="73">
        <f t="shared" si="163"/>
        <v>77</v>
      </c>
      <c r="AM161" s="73">
        <f t="shared" si="163"/>
        <v>108</v>
      </c>
      <c r="AN161" s="73">
        <f t="shared" si="163"/>
        <v>130</v>
      </c>
      <c r="AO161" s="73">
        <f t="shared" si="163"/>
        <v>362</v>
      </c>
      <c r="AP161" s="73">
        <f t="shared" si="163"/>
        <v>148</v>
      </c>
      <c r="AQ161" s="73">
        <f t="shared" si="163"/>
        <v>173</v>
      </c>
      <c r="AR161" s="73">
        <f t="shared" si="163"/>
        <v>197</v>
      </c>
      <c r="AS161" s="73">
        <f t="shared" si="163"/>
        <v>234</v>
      </c>
      <c r="AT161" s="73">
        <f t="shared" si="163"/>
        <v>752</v>
      </c>
      <c r="AU161" s="73">
        <f t="shared" si="163"/>
        <v>232</v>
      </c>
      <c r="AV161" s="73">
        <f t="shared" si="163"/>
        <v>267</v>
      </c>
      <c r="AW161" s="73">
        <f t="shared" si="163"/>
        <v>278</v>
      </c>
      <c r="AX161" s="73">
        <f t="shared" si="163"/>
        <v>313</v>
      </c>
      <c r="AY161" s="74">
        <f t="shared" si="163"/>
        <v>1090</v>
      </c>
      <c r="AZ161" s="73">
        <f t="shared" si="163"/>
        <v>293</v>
      </c>
      <c r="BA161" s="73">
        <f t="shared" si="163"/>
        <v>337</v>
      </c>
      <c r="BB161" s="73">
        <f t="shared" si="163"/>
        <v>343</v>
      </c>
      <c r="BC161" s="73">
        <f t="shared" si="163"/>
        <v>387</v>
      </c>
      <c r="BD161" s="74">
        <f t="shared" si="163"/>
        <v>1360</v>
      </c>
      <c r="BE161" s="39">
        <f>BE159+BE160</f>
        <v>336</v>
      </c>
      <c r="BF161" s="39">
        <f>BF159+BF160</f>
        <v>398</v>
      </c>
      <c r="BG161" s="39">
        <f>BG159+BG160</f>
        <v>399</v>
      </c>
      <c r="BH161" s="39">
        <f>BH159+BH160</f>
        <v>381</v>
      </c>
      <c r="BI161" s="39">
        <f t="shared" ref="BI161:CQ161" si="164">BI160+BI159</f>
        <v>1514</v>
      </c>
      <c r="BJ161" s="39">
        <f t="shared" si="164"/>
        <v>362</v>
      </c>
      <c r="BK161" s="39">
        <f t="shared" si="164"/>
        <v>413</v>
      </c>
      <c r="BL161" s="39">
        <f t="shared" si="164"/>
        <v>426</v>
      </c>
      <c r="BM161" s="39">
        <f t="shared" si="164"/>
        <v>441</v>
      </c>
      <c r="BN161" s="39">
        <f t="shared" si="164"/>
        <v>1642</v>
      </c>
      <c r="BO161" s="39">
        <f t="shared" si="164"/>
        <v>389</v>
      </c>
      <c r="BP161" s="39">
        <f t="shared" si="164"/>
        <v>453</v>
      </c>
      <c r="BQ161" s="39">
        <f t="shared" si="164"/>
        <v>412</v>
      </c>
      <c r="BR161" s="39">
        <f t="shared" si="164"/>
        <v>419</v>
      </c>
      <c r="BS161" s="74">
        <f t="shared" si="164"/>
        <v>1673</v>
      </c>
      <c r="BT161" s="39">
        <f t="shared" si="164"/>
        <v>385</v>
      </c>
      <c r="BU161" s="39">
        <f t="shared" si="164"/>
        <v>375</v>
      </c>
      <c r="BV161" s="39">
        <f t="shared" si="164"/>
        <v>377</v>
      </c>
      <c r="BW161" s="39">
        <f t="shared" si="164"/>
        <v>374</v>
      </c>
      <c r="BX161" s="74">
        <f t="shared" si="164"/>
        <v>1511</v>
      </c>
      <c r="BY161" s="74">
        <f t="shared" si="164"/>
        <v>340</v>
      </c>
      <c r="BZ161" s="74">
        <f t="shared" si="164"/>
        <v>338</v>
      </c>
      <c r="CA161" s="74">
        <f t="shared" si="164"/>
        <v>372</v>
      </c>
      <c r="CB161" s="74">
        <f t="shared" si="164"/>
        <v>337</v>
      </c>
      <c r="CC161" s="74">
        <f t="shared" si="164"/>
        <v>1387</v>
      </c>
      <c r="CD161" s="74">
        <f t="shared" si="164"/>
        <v>305</v>
      </c>
      <c r="CE161" s="74">
        <f t="shared" si="164"/>
        <v>282</v>
      </c>
      <c r="CF161" s="74">
        <f t="shared" si="164"/>
        <v>310</v>
      </c>
      <c r="CG161" s="74">
        <f t="shared" si="164"/>
        <v>308</v>
      </c>
      <c r="CH161" s="74">
        <f t="shared" si="164"/>
        <v>1205</v>
      </c>
      <c r="CI161" s="74">
        <f t="shared" si="164"/>
        <v>280.60000000000002</v>
      </c>
      <c r="CJ161" s="74">
        <f t="shared" si="164"/>
        <v>305</v>
      </c>
      <c r="CK161" s="74">
        <f t="shared" si="164"/>
        <v>274</v>
      </c>
      <c r="CL161" s="74">
        <f t="shared" si="164"/>
        <v>280</v>
      </c>
      <c r="CM161" s="74">
        <f t="shared" si="164"/>
        <v>1139.5999999999999</v>
      </c>
      <c r="CN161" s="74">
        <f t="shared" si="164"/>
        <v>255</v>
      </c>
      <c r="CO161" s="74">
        <f t="shared" si="164"/>
        <v>247</v>
      </c>
      <c r="CP161" s="74">
        <f t="shared" si="164"/>
        <v>251</v>
      </c>
      <c r="CQ161" s="74">
        <f t="shared" si="164"/>
        <v>223</v>
      </c>
      <c r="CR161" s="74">
        <f>CR160+CR159</f>
        <v>976</v>
      </c>
      <c r="CS161" s="39">
        <f>CS160+CS159</f>
        <v>245</v>
      </c>
      <c r="CT161" s="39">
        <f>CT160+CT159</f>
        <v>196</v>
      </c>
      <c r="CU161" s="39">
        <f>CU160+CU159</f>
        <v>205</v>
      </c>
      <c r="CV161" s="39">
        <f>CV160+CV159</f>
        <v>211</v>
      </c>
      <c r="CW161" s="74">
        <f>SUM(CS161:CV161)</f>
        <v>857</v>
      </c>
      <c r="CX161" s="39">
        <f>SUM(CX159:CX160)</f>
        <v>209</v>
      </c>
      <c r="CY161" s="39">
        <f>SUM(CY159:CY160)</f>
        <v>192</v>
      </c>
      <c r="CZ161" s="39">
        <f>SUM(CZ159:CZ160)</f>
        <v>189</v>
      </c>
      <c r="DA161" s="39">
        <f>SUM(DA159:DA160)</f>
        <v>178</v>
      </c>
      <c r="DB161" s="74">
        <f>SUM(CX161:DA161)</f>
        <v>768</v>
      </c>
      <c r="DC161" s="74">
        <f>DC160+DC159</f>
        <v>158</v>
      </c>
      <c r="DD161" s="74">
        <f>DD160+DD159</f>
        <v>147</v>
      </c>
      <c r="DE161" s="74">
        <f>DE160+DE159</f>
        <v>161</v>
      </c>
      <c r="DF161" s="74">
        <f>DF160+DF159</f>
        <v>167</v>
      </c>
      <c r="DG161" s="74">
        <f>SUM(DC161:DF161)</f>
        <v>633</v>
      </c>
      <c r="DH161" s="74">
        <f>DH160+DH159</f>
        <v>95.9</v>
      </c>
      <c r="DI161" s="74">
        <f>DI160+DI159</f>
        <v>84.1</v>
      </c>
      <c r="DJ161" s="74">
        <f>DJ160+DJ159</f>
        <v>94.800000000000011</v>
      </c>
      <c r="DK161" s="74">
        <f>DK160+DK159</f>
        <v>94.600000000000009</v>
      </c>
      <c r="DL161" s="184">
        <f>SUM(DH161:DK161)</f>
        <v>369.40000000000003</v>
      </c>
      <c r="DM161" s="184">
        <f t="shared" ref="DM161:DP161" si="165">DM160+DM159</f>
        <v>254.42000000000004</v>
      </c>
      <c r="DN161" s="184">
        <f t="shared" si="165"/>
        <v>191.20600000000005</v>
      </c>
      <c r="DO161" s="184">
        <f t="shared" si="165"/>
        <v>149.26580000000004</v>
      </c>
      <c r="DP161" s="184">
        <f t="shared" si="165"/>
        <v>118.30294000000004</v>
      </c>
    </row>
    <row r="162" spans="1:120" x14ac:dyDescent="0.2">
      <c r="A162" s="68" t="s">
        <v>54</v>
      </c>
      <c r="B162" s="31"/>
      <c r="C162" s="31"/>
      <c r="D162" s="31"/>
      <c r="E162" s="31"/>
      <c r="F162" s="31"/>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73"/>
      <c r="AF162" s="69"/>
      <c r="AG162" s="69"/>
      <c r="AH162" s="69"/>
      <c r="AI162" s="69"/>
      <c r="AJ162" s="73"/>
      <c r="AK162" s="73"/>
      <c r="AL162" s="73"/>
      <c r="AM162" s="73"/>
      <c r="AN162" s="73"/>
      <c r="AO162" s="73"/>
      <c r="AP162" s="73"/>
      <c r="AQ162" s="73"/>
      <c r="AR162" s="73"/>
      <c r="AS162" s="73"/>
      <c r="AT162" s="73"/>
      <c r="AU162" s="73"/>
      <c r="AV162" s="73"/>
      <c r="AW162" s="73"/>
      <c r="AX162" s="73"/>
      <c r="AY162" s="76">
        <f>AY159/AT159-1</f>
        <v>0.49326145552560652</v>
      </c>
      <c r="AZ162" s="73"/>
      <c r="BA162" s="73"/>
      <c r="BB162" s="73"/>
      <c r="BC162" s="73"/>
      <c r="BD162" s="76">
        <f t="shared" ref="BD162:DF164" si="166">BD159/AY159-1</f>
        <v>0.23104693140794219</v>
      </c>
      <c r="BE162" s="76">
        <f t="shared" si="166"/>
        <v>0.24</v>
      </c>
      <c r="BF162" s="76">
        <f t="shared" si="166"/>
        <v>0.1871345029239766</v>
      </c>
      <c r="BG162" s="76">
        <f t="shared" si="166"/>
        <v>0.3035714285714286</v>
      </c>
      <c r="BH162" s="76">
        <f t="shared" si="166"/>
        <v>0.10880829015544036</v>
      </c>
      <c r="BI162" s="90">
        <f t="shared" si="166"/>
        <v>0.20527859237536661</v>
      </c>
      <c r="BJ162" s="76">
        <f t="shared" si="166"/>
        <v>5.3763440860215006E-3</v>
      </c>
      <c r="BK162" s="76">
        <f t="shared" si="166"/>
        <v>7.3891625615763568E-2</v>
      </c>
      <c r="BL162" s="76">
        <f t="shared" si="166"/>
        <v>3.6529680365296802E-2</v>
      </c>
      <c r="BM162" s="76">
        <f t="shared" si="166"/>
        <v>0.16355140186915884</v>
      </c>
      <c r="BN162" s="90">
        <f>BN159/BI159-1</f>
        <v>7.1776155717761636E-2</v>
      </c>
      <c r="BO162" s="76">
        <f t="shared" si="166"/>
        <v>1.6042780748663166E-2</v>
      </c>
      <c r="BP162" s="76">
        <f t="shared" si="166"/>
        <v>4.587155963302747E-2</v>
      </c>
      <c r="BQ162" s="76">
        <f t="shared" si="166"/>
        <v>-8.8105726872246715E-2</v>
      </c>
      <c r="BR162" s="76">
        <f t="shared" si="166"/>
        <v>-0.12449799196787148</v>
      </c>
      <c r="BS162" s="76">
        <f>BS159/BN159-1</f>
        <v>-4.313280363223615E-2</v>
      </c>
      <c r="BT162" s="76">
        <f t="shared" si="166"/>
        <v>-1.5789473684210575E-2</v>
      </c>
      <c r="BU162" s="76">
        <f t="shared" si="166"/>
        <v>-7.0175438596491224E-2</v>
      </c>
      <c r="BV162" s="76">
        <f t="shared" si="166"/>
        <v>-1.4492753623188359E-2</v>
      </c>
      <c r="BW162" s="76">
        <f t="shared" si="166"/>
        <v>-0.11009174311926606</v>
      </c>
      <c r="BX162" s="76">
        <f>BX159/BS159-1</f>
        <v>-5.4567022538552834E-2</v>
      </c>
      <c r="BY162" s="76">
        <f t="shared" si="166"/>
        <v>-0.13368983957219249</v>
      </c>
      <c r="BZ162" s="76">
        <f t="shared" si="166"/>
        <v>-0.20283018867924529</v>
      </c>
      <c r="CA162" s="76">
        <f t="shared" si="166"/>
        <v>5.3921568627451011E-2</v>
      </c>
      <c r="CB162" s="76">
        <f t="shared" si="166"/>
        <v>-9.7938144329896892E-2</v>
      </c>
      <c r="CC162" s="76">
        <f>CC159/BX159-1</f>
        <v>-9.5357590966122951E-2</v>
      </c>
      <c r="CD162" s="76">
        <f t="shared" si="166"/>
        <v>-0.11728395061728392</v>
      </c>
      <c r="CE162" s="76">
        <f t="shared" si="166"/>
        <v>-0.19526627218934911</v>
      </c>
      <c r="CF162" s="76">
        <f t="shared" si="166"/>
        <v>-0.33488372093023255</v>
      </c>
      <c r="CG162" s="76">
        <f t="shared" si="166"/>
        <v>-0.18285714285714283</v>
      </c>
      <c r="CH162" s="76">
        <f>CH159/CC159-1</f>
        <v>-0.21636615811373094</v>
      </c>
      <c r="CI162" s="76">
        <f t="shared" si="166"/>
        <v>-0.10279720279720272</v>
      </c>
      <c r="CJ162" s="76">
        <f t="shared" si="166"/>
        <v>-3.3088235294117641E-2</v>
      </c>
      <c r="CK162" s="76">
        <f t="shared" si="166"/>
        <v>-0.1398601398601399</v>
      </c>
      <c r="CL162" s="76">
        <f t="shared" si="166"/>
        <v>-9.0909090909090939E-2</v>
      </c>
      <c r="CM162" s="76">
        <f t="shared" si="166"/>
        <v>-9.2389380530973564E-2</v>
      </c>
      <c r="CN162" s="76">
        <f t="shared" si="166"/>
        <v>-0.15822291504286834</v>
      </c>
      <c r="CO162" s="76">
        <f t="shared" si="166"/>
        <v>-0.28517110266159695</v>
      </c>
      <c r="CP162" s="76">
        <f t="shared" si="166"/>
        <v>-0.17073170731707321</v>
      </c>
      <c r="CQ162" s="76">
        <f t="shared" si="166"/>
        <v>-0.26923076923076927</v>
      </c>
      <c r="CR162" s="76">
        <f>CR159/CM159-1</f>
        <v>-0.22191887675507016</v>
      </c>
      <c r="CS162" s="76">
        <f t="shared" si="166"/>
        <v>-0.30555555555555558</v>
      </c>
      <c r="CT162" s="76">
        <f t="shared" si="166"/>
        <v>-0.19148936170212771</v>
      </c>
      <c r="CU162" s="76">
        <f t="shared" si="166"/>
        <v>-9.8039215686274495E-2</v>
      </c>
      <c r="CV162" s="76">
        <f t="shared" si="166"/>
        <v>-0.12631578947368416</v>
      </c>
      <c r="CW162" s="90">
        <f>CW159/CR159-1</f>
        <v>-0.18295739348370932</v>
      </c>
      <c r="CX162" s="76">
        <f t="shared" si="166"/>
        <v>-5.3333333333333344E-2</v>
      </c>
      <c r="CY162" s="76">
        <f t="shared" si="166"/>
        <v>-2.6315789473684181E-2</v>
      </c>
      <c r="CZ162" s="76">
        <f t="shared" si="166"/>
        <v>-0.16304347826086951</v>
      </c>
      <c r="DA162" s="76">
        <f t="shared" si="166"/>
        <v>-0.13253012048192769</v>
      </c>
      <c r="DB162" s="90">
        <f>DB159/CW159-1</f>
        <v>-9.8159509202453976E-2</v>
      </c>
      <c r="DC162" s="76">
        <f t="shared" si="166"/>
        <v>-0.14084507042253525</v>
      </c>
      <c r="DD162" s="76">
        <f t="shared" si="166"/>
        <v>-9.4594594594594628E-2</v>
      </c>
      <c r="DE162" s="76">
        <f t="shared" si="166"/>
        <v>-0.11688311688311692</v>
      </c>
      <c r="DF162" s="76">
        <f t="shared" si="166"/>
        <v>8.3333333333333259E-2</v>
      </c>
      <c r="DG162" s="76">
        <f>DG159/DB159-1</f>
        <v>-6.8027210884353706E-2</v>
      </c>
      <c r="DH162" s="76">
        <v>-0.7</v>
      </c>
      <c r="DI162" s="76">
        <v>-0.7</v>
      </c>
      <c r="DJ162" s="76">
        <v>-0.7</v>
      </c>
      <c r="DK162" s="76">
        <v>-0.7</v>
      </c>
      <c r="DL162" s="195">
        <f>DL159/DG159-1</f>
        <v>-0.7</v>
      </c>
      <c r="DM162" s="195">
        <v>-0.7</v>
      </c>
      <c r="DN162" s="195">
        <v>-0.7</v>
      </c>
      <c r="DO162" s="195">
        <v>-0.7</v>
      </c>
      <c r="DP162" s="195">
        <v>-0.7</v>
      </c>
    </row>
    <row r="163" spans="1:120" x14ac:dyDescent="0.2">
      <c r="A163" s="68" t="s">
        <v>55</v>
      </c>
      <c r="B163" s="31"/>
      <c r="C163" s="31"/>
      <c r="D163" s="31"/>
      <c r="E163" s="31"/>
      <c r="F163" s="31"/>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73"/>
      <c r="AF163" s="69"/>
      <c r="AG163" s="69"/>
      <c r="AH163" s="69"/>
      <c r="AI163" s="69"/>
      <c r="AJ163" s="73"/>
      <c r="AK163" s="73"/>
      <c r="AL163" s="73"/>
      <c r="AM163" s="73"/>
      <c r="AN163" s="73"/>
      <c r="AO163" s="73"/>
      <c r="AP163" s="73"/>
      <c r="AQ163" s="73"/>
      <c r="AR163" s="73"/>
      <c r="AS163" s="73"/>
      <c r="AT163" s="73"/>
      <c r="AU163" s="73"/>
      <c r="AV163" s="73"/>
      <c r="AW163" s="73"/>
      <c r="AX163" s="73"/>
      <c r="AY163" s="76">
        <f>AY160/AT160-1</f>
        <v>0.40682414698162739</v>
      </c>
      <c r="AZ163" s="73"/>
      <c r="BA163" s="73"/>
      <c r="BB163" s="73"/>
      <c r="BC163" s="73"/>
      <c r="BD163" s="76">
        <f t="shared" si="166"/>
        <v>0.2649253731343284</v>
      </c>
      <c r="BE163" s="76">
        <f t="shared" si="166"/>
        <v>4.8951048951048959E-2</v>
      </c>
      <c r="BF163" s="76">
        <f t="shared" si="166"/>
        <v>0.17469879518072284</v>
      </c>
      <c r="BG163" s="76">
        <f t="shared" si="166"/>
        <v>2.857142857142847E-2</v>
      </c>
      <c r="BH163" s="76">
        <f t="shared" si="166"/>
        <v>-0.13917525773195871</v>
      </c>
      <c r="BI163" s="90">
        <f t="shared" si="166"/>
        <v>2.0648967551622377E-2</v>
      </c>
      <c r="BJ163" s="76">
        <f t="shared" si="166"/>
        <v>0.16666666666666674</v>
      </c>
      <c r="BK163" s="76">
        <f t="shared" si="166"/>
        <v>0</v>
      </c>
      <c r="BL163" s="76">
        <f t="shared" si="166"/>
        <v>0.10555555555555562</v>
      </c>
      <c r="BM163" s="76">
        <f t="shared" si="166"/>
        <v>0.14970059880239517</v>
      </c>
      <c r="BN163" s="90">
        <f>BN160/BI160-1</f>
        <v>9.9710982658959502E-2</v>
      </c>
      <c r="BO163" s="76">
        <f t="shared" si="166"/>
        <v>0.13714285714285723</v>
      </c>
      <c r="BP163" s="76">
        <f t="shared" si="166"/>
        <v>0.15384615384615374</v>
      </c>
      <c r="BQ163" s="76">
        <f t="shared" si="166"/>
        <v>3.015075376884413E-2</v>
      </c>
      <c r="BR163" s="76">
        <f t="shared" si="166"/>
        <v>4.6875E-2</v>
      </c>
      <c r="BS163" s="76">
        <f>BS160/BN160-1</f>
        <v>9.067017082785811E-2</v>
      </c>
      <c r="BT163" s="76">
        <f t="shared" si="166"/>
        <v>-5.0251256281407253E-3</v>
      </c>
      <c r="BU163" s="76">
        <f t="shared" si="166"/>
        <v>-0.27555555555555555</v>
      </c>
      <c r="BV163" s="76">
        <f t="shared" si="166"/>
        <v>-0.15609756097560978</v>
      </c>
      <c r="BW163" s="76">
        <f t="shared" si="166"/>
        <v>-0.10447761194029848</v>
      </c>
      <c r="BX163" s="76">
        <f>BX160/BS160-1</f>
        <v>-0.1397590361445783</v>
      </c>
      <c r="BY163" s="76">
        <f t="shared" si="166"/>
        <v>-0.10101010101010099</v>
      </c>
      <c r="BZ163" s="76">
        <f t="shared" si="166"/>
        <v>3.6809815950920255E-2</v>
      </c>
      <c r="CA163" s="76">
        <f t="shared" si="166"/>
        <v>-9.2485549132947931E-2</v>
      </c>
      <c r="CB163" s="76">
        <f t="shared" si="166"/>
        <v>-9.9999999999999978E-2</v>
      </c>
      <c r="CC163" s="76">
        <f>CC160/BX160-1</f>
        <v>-6.7226890756302504E-2</v>
      </c>
      <c r="CD163" s="76">
        <f t="shared" si="166"/>
        <v>-8.98876404494382E-2</v>
      </c>
      <c r="CE163" s="76">
        <f t="shared" si="166"/>
        <v>-0.13609467455621305</v>
      </c>
      <c r="CF163" s="76">
        <f t="shared" si="166"/>
        <v>6.3694267515923553E-2</v>
      </c>
      <c r="CG163" s="76">
        <f t="shared" si="166"/>
        <v>1.8518518518518601E-2</v>
      </c>
      <c r="CH163" s="76">
        <f>CH160/CC160-1</f>
        <v>-3.9039039039039047E-2</v>
      </c>
      <c r="CI163" s="76">
        <f t="shared" si="166"/>
        <v>-5.9876543209876454E-2</v>
      </c>
      <c r="CJ163" s="76">
        <f t="shared" si="166"/>
        <v>0.18835616438356162</v>
      </c>
      <c r="CK163" s="76">
        <f t="shared" si="166"/>
        <v>-9.5808383233532912E-2</v>
      </c>
      <c r="CL163" s="76">
        <f t="shared" si="166"/>
        <v>-9.0909090909090939E-2</v>
      </c>
      <c r="CM163" s="76">
        <f t="shared" si="166"/>
        <v>-2.0625000000000115E-2</v>
      </c>
      <c r="CN163" s="76">
        <f t="shared" si="166"/>
        <v>-3.4799737360472816E-2</v>
      </c>
      <c r="CO163" s="76">
        <f t="shared" si="166"/>
        <v>-0.11815561959654175</v>
      </c>
      <c r="CP163" s="76">
        <f t="shared" si="166"/>
        <v>-1.3245033112582738E-2</v>
      </c>
      <c r="CQ163" s="76">
        <f t="shared" si="166"/>
        <v>-0.14666666666666661</v>
      </c>
      <c r="CR163" s="76">
        <f>CR160/CM160-1</f>
        <v>-7.9451180599872329E-2</v>
      </c>
      <c r="CS163" s="76">
        <f t="shared" si="166"/>
        <v>0.15646258503401356</v>
      </c>
      <c r="CT163" s="76">
        <f t="shared" si="166"/>
        <v>-0.21568627450980393</v>
      </c>
      <c r="CU163" s="76">
        <f t="shared" si="166"/>
        <v>-0.24161073825503354</v>
      </c>
      <c r="CV163" s="76">
        <f t="shared" si="166"/>
        <v>0</v>
      </c>
      <c r="CW163" s="90">
        <f>CW160/CR160-1</f>
        <v>-7.9722703639514725E-2</v>
      </c>
      <c r="CX163" s="76">
        <f t="shared" si="166"/>
        <v>-0.18823529411764706</v>
      </c>
      <c r="CY163" s="76">
        <f t="shared" si="166"/>
        <v>-1.6666666666666718E-2</v>
      </c>
      <c r="CZ163" s="76">
        <f t="shared" si="166"/>
        <v>-8.8495575221239076E-3</v>
      </c>
      <c r="DA163" s="76">
        <f t="shared" si="166"/>
        <v>-0.171875</v>
      </c>
      <c r="DB163" s="90">
        <f>DB160/CW160-1</f>
        <v>-0.10734463276836159</v>
      </c>
      <c r="DC163" s="76">
        <f t="shared" si="166"/>
        <v>-0.29710144927536231</v>
      </c>
      <c r="DD163" s="76">
        <f t="shared" si="166"/>
        <v>-0.32203389830508478</v>
      </c>
      <c r="DE163" s="76">
        <f t="shared" si="166"/>
        <v>-0.1696428571428571</v>
      </c>
      <c r="DF163" s="76">
        <f t="shared" si="166"/>
        <v>-0.160377358490566</v>
      </c>
      <c r="DG163" s="76">
        <f>DG160/DB160-1</f>
        <v>-0.2426160337552743</v>
      </c>
      <c r="DH163" s="76">
        <v>-0.2</v>
      </c>
      <c r="DI163" s="76">
        <v>-0.2</v>
      </c>
      <c r="DJ163" s="76">
        <v>-0.2</v>
      </c>
      <c r="DK163" s="76">
        <v>-0.2</v>
      </c>
      <c r="DL163" s="195">
        <f>DL160/DG160-1</f>
        <v>-0.19999999999999984</v>
      </c>
      <c r="DM163" s="195">
        <v>-0.2</v>
      </c>
      <c r="DN163" s="195">
        <v>-0.2</v>
      </c>
      <c r="DO163" s="195">
        <v>-0.2</v>
      </c>
      <c r="DP163" s="195">
        <v>-0.2</v>
      </c>
    </row>
    <row r="164" spans="1:120" x14ac:dyDescent="0.2">
      <c r="A164" s="78" t="s">
        <v>56</v>
      </c>
      <c r="B164" s="79"/>
      <c r="C164" s="79"/>
      <c r="D164" s="79"/>
      <c r="E164" s="79"/>
      <c r="F164" s="79"/>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1"/>
      <c r="AF164" s="80"/>
      <c r="AG164" s="80"/>
      <c r="AH164" s="80"/>
      <c r="AI164" s="80"/>
      <c r="AJ164" s="81"/>
      <c r="AK164" s="81"/>
      <c r="AL164" s="81"/>
      <c r="AM164" s="81"/>
      <c r="AN164" s="81"/>
      <c r="AO164" s="81"/>
      <c r="AP164" s="81"/>
      <c r="AQ164" s="81"/>
      <c r="AR164" s="81"/>
      <c r="AS164" s="81"/>
      <c r="AT164" s="81"/>
      <c r="AU164" s="81"/>
      <c r="AV164" s="81"/>
      <c r="AW164" s="81"/>
      <c r="AX164" s="81"/>
      <c r="AY164" s="80">
        <f>AY161/AT161-1</f>
        <v>0.44946808510638303</v>
      </c>
      <c r="AZ164" s="81"/>
      <c r="BA164" s="81"/>
      <c r="BB164" s="81"/>
      <c r="BC164" s="81"/>
      <c r="BD164" s="80">
        <f t="shared" si="166"/>
        <v>0.24770642201834869</v>
      </c>
      <c r="BE164" s="80">
        <f t="shared" si="166"/>
        <v>0.14675767918088733</v>
      </c>
      <c r="BF164" s="80">
        <f t="shared" si="166"/>
        <v>0.18100890207715126</v>
      </c>
      <c r="BG164" s="80">
        <f>BG161/BB161-1</f>
        <v>0.16326530612244894</v>
      </c>
      <c r="BH164" s="80">
        <f>BH161/BC161-1</f>
        <v>-1.5503875968992276E-2</v>
      </c>
      <c r="BI164" s="80">
        <f t="shared" si="166"/>
        <v>0.1132352941176471</v>
      </c>
      <c r="BJ164" s="80">
        <f t="shared" si="166"/>
        <v>7.7380952380952328E-2</v>
      </c>
      <c r="BK164" s="91">
        <f>BK161/BF161-1</f>
        <v>3.7688442211055273E-2</v>
      </c>
      <c r="BL164" s="91">
        <f>BL161/BG161-1</f>
        <v>6.7669172932330879E-2</v>
      </c>
      <c r="BM164" s="91">
        <f>BM161/BH161-1</f>
        <v>0.15748031496062986</v>
      </c>
      <c r="BN164" s="80">
        <f>BN161/BI161-1</f>
        <v>8.4544253632760968E-2</v>
      </c>
      <c r="BO164" s="91">
        <f>BO161/BJ161-1</f>
        <v>7.4585635359116109E-2</v>
      </c>
      <c r="BP164" s="91">
        <f>BP161/BK161-1</f>
        <v>9.6852300242130651E-2</v>
      </c>
      <c r="BQ164" s="91">
        <f>BQ161/BL161-1</f>
        <v>-3.2863849765258246E-2</v>
      </c>
      <c r="BR164" s="91">
        <f>BR161/BM161-1</f>
        <v>-4.9886621315192725E-2</v>
      </c>
      <c r="BS164" s="80">
        <f>BS161/BN161-1</f>
        <v>1.8879415347137662E-2</v>
      </c>
      <c r="BT164" s="91">
        <f>BT161/BO161-1</f>
        <v>-1.0282776349614386E-2</v>
      </c>
      <c r="BU164" s="91">
        <f>BU161/BP161-1</f>
        <v>-0.17218543046357615</v>
      </c>
      <c r="BV164" s="91">
        <f>BV161/BQ161-1</f>
        <v>-8.4951456310679574E-2</v>
      </c>
      <c r="BW164" s="91">
        <f>BW161/BR161-1</f>
        <v>-0.10739856801909309</v>
      </c>
      <c r="BX164" s="80">
        <f>BX161/BS161-1</f>
        <v>-9.683203825463238E-2</v>
      </c>
      <c r="BY164" s="80">
        <f>BY161/BT161-1</f>
        <v>-0.11688311688311692</v>
      </c>
      <c r="BZ164" s="80">
        <f>BZ161/BU161-1</f>
        <v>-9.866666666666668E-2</v>
      </c>
      <c r="CA164" s="80">
        <f>CA161/BV161-1</f>
        <v>-1.3262599469496039E-2</v>
      </c>
      <c r="CB164" s="80">
        <f>CB161/BW161-1</f>
        <v>-9.8930481283422411E-2</v>
      </c>
      <c r="CC164" s="80">
        <f>CC161/BX161-1</f>
        <v>-8.2064857710125727E-2</v>
      </c>
      <c r="CD164" s="80">
        <f>CD161/BY161-1</f>
        <v>-0.1029411764705882</v>
      </c>
      <c r="CE164" s="80">
        <f>CE161/BZ161-1</f>
        <v>-0.16568047337278102</v>
      </c>
      <c r="CF164" s="80">
        <f>CF161/CA161-1</f>
        <v>-0.16666666666666663</v>
      </c>
      <c r="CG164" s="80">
        <f>CG161/CB161-1</f>
        <v>-8.6053412462907986E-2</v>
      </c>
      <c r="CH164" s="80">
        <f>CH161/CC161-1</f>
        <v>-0.13121845710165825</v>
      </c>
      <c r="CI164" s="80">
        <f>CI161/CD161-1</f>
        <v>-7.999999999999996E-2</v>
      </c>
      <c r="CJ164" s="80">
        <f>CJ161/CE161-1</f>
        <v>8.1560283687943214E-2</v>
      </c>
      <c r="CK164" s="80">
        <f>CK161/CF161-1</f>
        <v>-0.11612903225806448</v>
      </c>
      <c r="CL164" s="80">
        <f>CL161/CG161-1</f>
        <v>-9.0909090909090939E-2</v>
      </c>
      <c r="CM164" s="80">
        <f t="shared" si="166"/>
        <v>-5.4273858921161877E-2</v>
      </c>
      <c r="CN164" s="80">
        <f t="shared" si="166"/>
        <v>-9.1233071988595982E-2</v>
      </c>
      <c r="CO164" s="80">
        <f t="shared" si="166"/>
        <v>-0.19016393442622948</v>
      </c>
      <c r="CP164" s="80">
        <f t="shared" si="166"/>
        <v>-8.3941605839416011E-2</v>
      </c>
      <c r="CQ164" s="80">
        <f t="shared" si="166"/>
        <v>-0.20357142857142863</v>
      </c>
      <c r="CR164" s="80">
        <f>CR161/CM161-1</f>
        <v>-0.14355914355914345</v>
      </c>
      <c r="CS164" s="80">
        <f t="shared" si="166"/>
        <v>-3.9215686274509776E-2</v>
      </c>
      <c r="CT164" s="80">
        <f t="shared" si="166"/>
        <v>-0.20647773279352222</v>
      </c>
      <c r="CU164" s="80">
        <f t="shared" si="166"/>
        <v>-0.18326693227091628</v>
      </c>
      <c r="CV164" s="80">
        <f>CV161/CQ161-1</f>
        <v>-5.3811659192825156E-2</v>
      </c>
      <c r="CW164" s="80">
        <f>CW161/CR161-1</f>
        <v>-0.12192622950819676</v>
      </c>
      <c r="CX164" s="80">
        <f>CX161/CS161-1</f>
        <v>-0.14693877551020407</v>
      </c>
      <c r="CY164" s="80">
        <f>CY161/CT161-1</f>
        <v>-2.0408163265306145E-2</v>
      </c>
      <c r="CZ164" s="80">
        <f>CZ161/CU161-1</f>
        <v>-7.8048780487804836E-2</v>
      </c>
      <c r="DA164" s="80">
        <f>DA161/CV161-1</f>
        <v>-0.15639810426540279</v>
      </c>
      <c r="DB164" s="80">
        <f>DB161/CW161-1</f>
        <v>-0.1038506417736289</v>
      </c>
      <c r="DC164" s="80">
        <f>DC161/CX161-1</f>
        <v>-0.24401913875598091</v>
      </c>
      <c r="DD164" s="80">
        <f>DD161/CY161-1</f>
        <v>-0.234375</v>
      </c>
      <c r="DE164" s="80">
        <f>DE161/CZ161-1</f>
        <v>-0.14814814814814814</v>
      </c>
      <c r="DF164" s="80">
        <f>DF161/DA161-1</f>
        <v>-6.1797752808988804E-2</v>
      </c>
      <c r="DG164" s="80">
        <f>DG161/DB161-1</f>
        <v>-0.17578125</v>
      </c>
      <c r="DH164" s="80">
        <f>DH161/DC161-1</f>
        <v>-0.39303797468354429</v>
      </c>
      <c r="DI164" s="80">
        <f>DI161/DD161-1</f>
        <v>-0.42789115646258502</v>
      </c>
      <c r="DJ164" s="80">
        <f>DJ161/DE161-1</f>
        <v>-0.41118012422360239</v>
      </c>
      <c r="DK164" s="80">
        <f>DK161/DF161-1</f>
        <v>-0.43353293413173644</v>
      </c>
      <c r="DL164" s="189">
        <f>DL161/DG161-1</f>
        <v>-0.41642969984202205</v>
      </c>
      <c r="DM164" s="189">
        <f t="shared" ref="DM164:DP164" si="167">DM161/DL161-1</f>
        <v>-0.31126150514347584</v>
      </c>
      <c r="DN164" s="189">
        <f t="shared" si="167"/>
        <v>-0.24846317113434468</v>
      </c>
      <c r="DO164" s="189">
        <f t="shared" si="167"/>
        <v>-0.21934562722927098</v>
      </c>
      <c r="DP164" s="189">
        <f t="shared" si="167"/>
        <v>-0.20743438885531718</v>
      </c>
    </row>
    <row r="165" spans="1:120" x14ac:dyDescent="0.2">
      <c r="A165" s="65" t="s">
        <v>139</v>
      </c>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2"/>
      <c r="BJ165" s="72"/>
      <c r="BK165" s="72"/>
      <c r="BL165" s="72"/>
      <c r="BM165" s="72"/>
      <c r="BN165" s="72"/>
      <c r="BO165" s="72"/>
      <c r="BP165" s="72"/>
      <c r="BQ165" s="72"/>
      <c r="BR165" s="72"/>
      <c r="BS165" s="72"/>
      <c r="BT165" s="72"/>
      <c r="BU165" s="72"/>
      <c r="BV165" s="72"/>
      <c r="BW165" s="72"/>
      <c r="BX165" s="72"/>
      <c r="BY165" s="72">
        <v>49</v>
      </c>
      <c r="BZ165" s="72">
        <v>107</v>
      </c>
      <c r="CA165" s="72">
        <v>152</v>
      </c>
      <c r="CB165" s="72">
        <v>180</v>
      </c>
      <c r="CC165" s="72">
        <f>CB165+CA165+BZ165+BY165</f>
        <v>488</v>
      </c>
      <c r="CD165" s="72">
        <v>200</v>
      </c>
      <c r="CE165" s="72">
        <v>256</v>
      </c>
      <c r="CF165" s="72">
        <v>228</v>
      </c>
      <c r="CG165" s="72">
        <v>88</v>
      </c>
      <c r="CH165" s="72">
        <f>CG165+CF165+CE165+CD165</f>
        <v>772</v>
      </c>
      <c r="CI165" s="72">
        <v>0</v>
      </c>
      <c r="CJ165" s="72">
        <v>-10</v>
      </c>
      <c r="CK165" s="72">
        <v>18</v>
      </c>
      <c r="CL165" s="72"/>
      <c r="CM165" s="72">
        <f>CL165+CK165+CJ165+CI165</f>
        <v>8</v>
      </c>
      <c r="CN165" s="72">
        <v>33</v>
      </c>
      <c r="CO165" s="72">
        <v>39</v>
      </c>
      <c r="CP165" s="72">
        <v>24</v>
      </c>
      <c r="CQ165" s="72">
        <v>23</v>
      </c>
      <c r="CR165" s="72">
        <f>CQ165+CP165+CO165+CN165</f>
        <v>119</v>
      </c>
      <c r="CS165" s="72">
        <v>18</v>
      </c>
      <c r="CT165" s="72">
        <v>15</v>
      </c>
      <c r="CU165" s="72">
        <v>6</v>
      </c>
      <c r="CV165" s="72">
        <v>22</v>
      </c>
      <c r="CW165" s="72">
        <f>SUM(CS165:CV165)</f>
        <v>61</v>
      </c>
      <c r="CX165" s="72"/>
      <c r="CY165" s="72"/>
      <c r="CZ165" s="72"/>
      <c r="DA165" s="72"/>
      <c r="DB165" s="72"/>
      <c r="DC165" s="72"/>
      <c r="DD165" s="72"/>
      <c r="DE165" s="72"/>
      <c r="DF165" s="72"/>
      <c r="DG165" s="72"/>
      <c r="DH165" s="72"/>
      <c r="DI165" s="72"/>
      <c r="DJ165" s="72"/>
      <c r="DK165" s="72"/>
      <c r="DL165" s="200"/>
      <c r="DM165" s="200"/>
      <c r="DN165" s="200"/>
      <c r="DO165" s="200"/>
      <c r="DP165" s="200"/>
    </row>
    <row r="166" spans="1:120" x14ac:dyDescent="0.2">
      <c r="A166" s="65" t="s">
        <v>140</v>
      </c>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2"/>
      <c r="BJ166" s="72"/>
      <c r="BK166" s="72"/>
      <c r="BL166" s="72"/>
      <c r="BM166" s="72"/>
      <c r="BN166" s="72"/>
      <c r="BO166" s="72"/>
      <c r="BP166" s="72"/>
      <c r="BQ166" s="72"/>
      <c r="BR166" s="72"/>
      <c r="BS166" s="72"/>
      <c r="BT166" s="72"/>
      <c r="BU166" s="72"/>
      <c r="BV166" s="72"/>
      <c r="BW166" s="72"/>
      <c r="BX166" s="72"/>
      <c r="BY166" s="72">
        <v>1</v>
      </c>
      <c r="BZ166" s="72">
        <v>4</v>
      </c>
      <c r="CA166" s="72">
        <v>13</v>
      </c>
      <c r="CB166" s="72">
        <v>49</v>
      </c>
      <c r="CC166" s="72">
        <f>CB166+CA166+BZ166+BY166</f>
        <v>67</v>
      </c>
      <c r="CD166" s="72">
        <v>178</v>
      </c>
      <c r="CE166" s="72">
        <v>261</v>
      </c>
      <c r="CF166" s="72">
        <v>241</v>
      </c>
      <c r="CG166" s="72">
        <v>208</v>
      </c>
      <c r="CH166" s="72">
        <f>CG166+CF166+CE166+CD166</f>
        <v>888</v>
      </c>
      <c r="CI166" s="72">
        <v>131</v>
      </c>
      <c r="CJ166" s="72">
        <v>123</v>
      </c>
      <c r="CK166" s="72">
        <v>86</v>
      </c>
      <c r="CL166" s="72">
        <v>108</v>
      </c>
      <c r="CM166" s="72">
        <f>CL166+CK166+CJ166+CI166</f>
        <v>448</v>
      </c>
      <c r="CN166" s="72">
        <v>81</v>
      </c>
      <c r="CO166" s="72">
        <f>68+1</f>
        <v>69</v>
      </c>
      <c r="CP166" s="72">
        <v>59</v>
      </c>
      <c r="CQ166" s="72">
        <v>44</v>
      </c>
      <c r="CR166" s="72">
        <f>CQ166+CP166+CO166+CN166</f>
        <v>253</v>
      </c>
      <c r="CS166" s="36">
        <v>37</v>
      </c>
      <c r="CT166" s="36">
        <v>24</v>
      </c>
      <c r="CU166" s="36">
        <v>22</v>
      </c>
      <c r="CV166" s="36">
        <v>23</v>
      </c>
      <c r="CW166" s="72">
        <f>SUM(CS166:CV166)</f>
        <v>106</v>
      </c>
      <c r="CX166" s="36"/>
      <c r="CY166" s="36"/>
      <c r="CZ166" s="36"/>
      <c r="DA166" s="36"/>
      <c r="DB166" s="72"/>
      <c r="DC166" s="72"/>
      <c r="DD166" s="72"/>
      <c r="DE166" s="72"/>
      <c r="DF166" s="72"/>
      <c r="DG166" s="72"/>
      <c r="DH166" s="72"/>
      <c r="DI166" s="72"/>
      <c r="DJ166" s="72"/>
      <c r="DK166" s="72"/>
      <c r="DL166" s="200"/>
      <c r="DM166" s="200"/>
      <c r="DN166" s="200"/>
      <c r="DO166" s="200"/>
      <c r="DP166" s="200"/>
    </row>
    <row r="167" spans="1:120" x14ac:dyDescent="0.2">
      <c r="A167" s="104" t="s">
        <v>141</v>
      </c>
      <c r="B167" s="31"/>
      <c r="C167" s="31"/>
      <c r="D167" s="31"/>
      <c r="E167" s="31"/>
      <c r="F167" s="31"/>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74">
        <f>BI166+BI165</f>
        <v>0</v>
      </c>
      <c r="BJ167" s="74"/>
      <c r="BK167" s="74"/>
      <c r="BL167" s="74"/>
      <c r="BM167" s="74"/>
      <c r="BN167" s="74"/>
      <c r="BO167" s="74"/>
      <c r="BP167" s="74"/>
      <c r="BQ167" s="74"/>
      <c r="BR167" s="74"/>
      <c r="BS167" s="74"/>
      <c r="BT167" s="74"/>
      <c r="BU167" s="74"/>
      <c r="BV167" s="74"/>
      <c r="BW167" s="74"/>
      <c r="BX167" s="74"/>
      <c r="BY167" s="74"/>
      <c r="BZ167" s="74"/>
      <c r="CA167" s="74"/>
      <c r="CB167" s="74"/>
      <c r="CC167" s="74">
        <f>CC166+CC165</f>
        <v>555</v>
      </c>
      <c r="CD167" s="74">
        <f>CD166+CD165</f>
        <v>378</v>
      </c>
      <c r="CE167" s="74">
        <f>CE166+CE165</f>
        <v>517</v>
      </c>
      <c r="CF167" s="74">
        <f>CF166+CF165+1</f>
        <v>470</v>
      </c>
      <c r="CG167" s="74">
        <f t="shared" ref="CG167:CV167" si="168">CG166+CG165</f>
        <v>296</v>
      </c>
      <c r="CH167" s="74">
        <f t="shared" si="168"/>
        <v>1660</v>
      </c>
      <c r="CI167" s="74">
        <f t="shared" si="168"/>
        <v>131</v>
      </c>
      <c r="CJ167" s="74">
        <f t="shared" si="168"/>
        <v>113</v>
      </c>
      <c r="CK167" s="74">
        <f t="shared" si="168"/>
        <v>104</v>
      </c>
      <c r="CL167" s="74">
        <f t="shared" si="168"/>
        <v>108</v>
      </c>
      <c r="CM167" s="74">
        <f t="shared" si="168"/>
        <v>456</v>
      </c>
      <c r="CN167" s="74">
        <f t="shared" si="168"/>
        <v>114</v>
      </c>
      <c r="CO167" s="74">
        <f t="shared" si="168"/>
        <v>108</v>
      </c>
      <c r="CP167" s="74">
        <f t="shared" si="168"/>
        <v>83</v>
      </c>
      <c r="CQ167" s="74">
        <f>CQ166+CQ165-1</f>
        <v>66</v>
      </c>
      <c r="CR167" s="74">
        <f t="shared" si="168"/>
        <v>372</v>
      </c>
      <c r="CS167" s="39">
        <f t="shared" si="168"/>
        <v>55</v>
      </c>
      <c r="CT167" s="39">
        <f t="shared" si="168"/>
        <v>39</v>
      </c>
      <c r="CU167" s="39">
        <f t="shared" si="168"/>
        <v>28</v>
      </c>
      <c r="CV167" s="39">
        <f t="shared" si="168"/>
        <v>45</v>
      </c>
      <c r="CW167" s="74">
        <f>SUM(CS167:CV167)</f>
        <v>167</v>
      </c>
      <c r="CX167" s="39"/>
      <c r="CY167" s="39"/>
      <c r="CZ167" s="39"/>
      <c r="DA167" s="39"/>
      <c r="DB167" s="74"/>
      <c r="DC167" s="74"/>
      <c r="DD167" s="74"/>
      <c r="DE167" s="74"/>
      <c r="DF167" s="74"/>
      <c r="DG167" s="74"/>
      <c r="DH167" s="74"/>
      <c r="DI167" s="74"/>
      <c r="DJ167" s="74"/>
      <c r="DK167" s="74"/>
      <c r="DL167" s="184"/>
      <c r="DM167" s="184"/>
      <c r="DN167" s="184"/>
      <c r="DO167" s="184"/>
      <c r="DP167" s="184"/>
    </row>
    <row r="168" spans="1:120" x14ac:dyDescent="0.2">
      <c r="A168" s="68" t="s">
        <v>54</v>
      </c>
      <c r="B168" s="31"/>
      <c r="C168" s="31"/>
      <c r="D168" s="31"/>
      <c r="E168" s="31"/>
      <c r="F168" s="31"/>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74"/>
      <c r="BJ168" s="74"/>
      <c r="BK168" s="74"/>
      <c r="BL168" s="74"/>
      <c r="BM168" s="74"/>
      <c r="BN168" s="74"/>
      <c r="BO168" s="74"/>
      <c r="BP168" s="74"/>
      <c r="BQ168" s="74"/>
      <c r="BR168" s="74"/>
      <c r="BS168" s="74"/>
      <c r="BT168" s="74"/>
      <c r="BU168" s="74"/>
      <c r="BV168" s="74"/>
      <c r="BW168" s="74"/>
      <c r="BX168" s="74"/>
      <c r="BY168" s="74"/>
      <c r="BZ168" s="74"/>
      <c r="CA168" s="74"/>
      <c r="CB168" s="74"/>
      <c r="CC168" s="75"/>
      <c r="CD168" s="76"/>
      <c r="CE168" s="76"/>
      <c r="CF168" s="76"/>
      <c r="CG168" s="76"/>
      <c r="CH168" s="75">
        <f t="shared" ref="CH168:CV170" si="169">CH165/CC165-1</f>
        <v>0.58196721311475419</v>
      </c>
      <c r="CI168" s="76">
        <f t="shared" si="169"/>
        <v>-1</v>
      </c>
      <c r="CJ168" s="76">
        <f t="shared" si="169"/>
        <v>-1.0390625</v>
      </c>
      <c r="CK168" s="76">
        <f t="shared" si="169"/>
        <v>-0.92105263157894735</v>
      </c>
      <c r="CL168" s="76">
        <f t="shared" si="169"/>
        <v>-1</v>
      </c>
      <c r="CM168" s="77">
        <f t="shared" si="169"/>
        <v>-0.98963730569948183</v>
      </c>
      <c r="CN168" s="77"/>
      <c r="CO168" s="77"/>
      <c r="CP168" s="77"/>
      <c r="CQ168" s="77"/>
      <c r="CR168" s="77">
        <f t="shared" ref="CR168:CW168" si="170">CR165/CM165-1</f>
        <v>13.875</v>
      </c>
      <c r="CS168" s="76">
        <f t="shared" si="170"/>
        <v>-0.45454545454545459</v>
      </c>
      <c r="CT168" s="76">
        <f t="shared" si="170"/>
        <v>-0.61538461538461542</v>
      </c>
      <c r="CU168" s="76">
        <f t="shared" si="170"/>
        <v>-0.75</v>
      </c>
      <c r="CV168" s="76">
        <f t="shared" si="170"/>
        <v>-4.3478260869565188E-2</v>
      </c>
      <c r="CW168" s="90">
        <f t="shared" si="170"/>
        <v>-0.48739495798319332</v>
      </c>
      <c r="CX168" s="76"/>
      <c r="CY168" s="76"/>
      <c r="CZ168" s="76"/>
      <c r="DA168" s="76"/>
      <c r="DB168" s="77"/>
      <c r="DC168" s="77"/>
      <c r="DD168" s="77"/>
      <c r="DE168" s="77"/>
      <c r="DF168" s="77"/>
      <c r="DG168" s="77"/>
      <c r="DH168" s="77"/>
      <c r="DI168" s="77"/>
      <c r="DJ168" s="77"/>
      <c r="DK168" s="77"/>
      <c r="DL168" s="185"/>
      <c r="DM168" s="185"/>
      <c r="DN168" s="185"/>
      <c r="DO168" s="185"/>
      <c r="DP168" s="185"/>
    </row>
    <row r="169" spans="1:120" x14ac:dyDescent="0.2">
      <c r="A169" s="68" t="s">
        <v>55</v>
      </c>
      <c r="B169" s="31"/>
      <c r="C169" s="31"/>
      <c r="D169" s="31"/>
      <c r="E169" s="31"/>
      <c r="F169" s="31"/>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74"/>
      <c r="BJ169" s="74"/>
      <c r="BK169" s="74"/>
      <c r="BL169" s="74"/>
      <c r="BM169" s="74"/>
      <c r="BN169" s="74"/>
      <c r="BO169" s="74"/>
      <c r="BP169" s="74"/>
      <c r="BQ169" s="74"/>
      <c r="BR169" s="74"/>
      <c r="BS169" s="74"/>
      <c r="BT169" s="74"/>
      <c r="BU169" s="74"/>
      <c r="BV169" s="74"/>
      <c r="BW169" s="74"/>
      <c r="BX169" s="74"/>
      <c r="BY169" s="74"/>
      <c r="BZ169" s="74"/>
      <c r="CA169" s="74"/>
      <c r="CB169" s="74"/>
      <c r="CC169" s="75"/>
      <c r="CD169" s="76"/>
      <c r="CE169" s="76"/>
      <c r="CF169" s="76"/>
      <c r="CG169" s="76"/>
      <c r="CH169" s="75">
        <f t="shared" si="169"/>
        <v>12.253731343283581</v>
      </c>
      <c r="CI169" s="76">
        <f t="shared" si="169"/>
        <v>-0.2640449438202247</v>
      </c>
      <c r="CJ169" s="76">
        <f t="shared" si="169"/>
        <v>-0.52873563218390807</v>
      </c>
      <c r="CK169" s="76">
        <f t="shared" si="169"/>
        <v>-0.64315352697095429</v>
      </c>
      <c r="CL169" s="76">
        <f t="shared" si="169"/>
        <v>-0.48076923076923073</v>
      </c>
      <c r="CM169" s="77">
        <f t="shared" si="169"/>
        <v>-0.49549549549549554</v>
      </c>
      <c r="CN169" s="77">
        <f t="shared" si="169"/>
        <v>-0.38167938931297707</v>
      </c>
      <c r="CO169" s="77">
        <f t="shared" si="169"/>
        <v>-0.43902439024390238</v>
      </c>
      <c r="CP169" s="77">
        <f t="shared" si="169"/>
        <v>-0.31395348837209303</v>
      </c>
      <c r="CQ169" s="77">
        <f t="shared" si="169"/>
        <v>-0.59259259259259256</v>
      </c>
      <c r="CR169" s="77">
        <f>CR166/CM166-1</f>
        <v>-0.4352678571428571</v>
      </c>
      <c r="CS169" s="77">
        <f t="shared" si="169"/>
        <v>-0.54320987654320985</v>
      </c>
      <c r="CT169" s="77">
        <f t="shared" si="169"/>
        <v>-0.65217391304347827</v>
      </c>
      <c r="CU169" s="77">
        <f t="shared" si="169"/>
        <v>-0.6271186440677966</v>
      </c>
      <c r="CV169" s="77">
        <f t="shared" si="169"/>
        <v>-0.47727272727272729</v>
      </c>
      <c r="CW169" s="90">
        <f>CW166/CR166-1</f>
        <v>-0.5810276679841897</v>
      </c>
      <c r="CX169" s="77"/>
      <c r="CY169" s="77"/>
      <c r="CZ169" s="77"/>
      <c r="DA169" s="77"/>
      <c r="DB169" s="90"/>
      <c r="DC169" s="90"/>
      <c r="DD169" s="90"/>
      <c r="DE169" s="90"/>
      <c r="DF169" s="90"/>
      <c r="DG169" s="77"/>
      <c r="DH169" s="77"/>
      <c r="DI169" s="77"/>
      <c r="DJ169" s="77"/>
      <c r="DK169" s="77"/>
      <c r="DL169" s="185"/>
      <c r="DM169" s="185"/>
      <c r="DN169" s="185"/>
      <c r="DO169" s="185"/>
      <c r="DP169" s="185"/>
    </row>
    <row r="170" spans="1:120" x14ac:dyDescent="0.2">
      <c r="A170" s="78" t="s">
        <v>56</v>
      </c>
      <c r="B170" s="79"/>
      <c r="C170" s="79"/>
      <c r="D170" s="79"/>
      <c r="E170" s="79"/>
      <c r="F170" s="79"/>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2"/>
      <c r="BJ170" s="82"/>
      <c r="BK170" s="82"/>
      <c r="BL170" s="82"/>
      <c r="BM170" s="82"/>
      <c r="BN170" s="82"/>
      <c r="BO170" s="82"/>
      <c r="BP170" s="82"/>
      <c r="BQ170" s="82"/>
      <c r="BR170" s="82"/>
      <c r="BS170" s="82"/>
      <c r="BT170" s="82"/>
      <c r="BU170" s="82"/>
      <c r="BV170" s="82"/>
      <c r="BW170" s="82"/>
      <c r="BX170" s="82"/>
      <c r="BY170" s="82"/>
      <c r="BZ170" s="82"/>
      <c r="CA170" s="82"/>
      <c r="CB170" s="82"/>
      <c r="CC170" s="83"/>
      <c r="CD170" s="83"/>
      <c r="CE170" s="83"/>
      <c r="CF170" s="83"/>
      <c r="CG170" s="83"/>
      <c r="CH170" s="83">
        <f t="shared" si="169"/>
        <v>1.9909909909909911</v>
      </c>
      <c r="CI170" s="83">
        <f t="shared" si="169"/>
        <v>-0.65343915343915349</v>
      </c>
      <c r="CJ170" s="83">
        <f t="shared" si="169"/>
        <v>-0.78143133462282399</v>
      </c>
      <c r="CK170" s="83">
        <f t="shared" si="169"/>
        <v>-0.77872340425531916</v>
      </c>
      <c r="CL170" s="83">
        <f t="shared" si="169"/>
        <v>-0.63513513513513509</v>
      </c>
      <c r="CM170" s="84">
        <f t="shared" si="169"/>
        <v>-0.72530120481927707</v>
      </c>
      <c r="CN170" s="84">
        <f t="shared" si="169"/>
        <v>-0.12977099236641221</v>
      </c>
      <c r="CO170" s="84">
        <f t="shared" si="169"/>
        <v>-4.4247787610619427E-2</v>
      </c>
      <c r="CP170" s="84">
        <f t="shared" si="169"/>
        <v>-0.20192307692307687</v>
      </c>
      <c r="CQ170" s="84">
        <f t="shared" si="169"/>
        <v>-0.38888888888888884</v>
      </c>
      <c r="CR170" s="84">
        <f>CR167/CM167-1</f>
        <v>-0.18421052631578949</v>
      </c>
      <c r="CS170" s="84">
        <f t="shared" si="169"/>
        <v>-0.51754385964912286</v>
      </c>
      <c r="CT170" s="84">
        <f t="shared" si="169"/>
        <v>-0.63888888888888884</v>
      </c>
      <c r="CU170" s="84">
        <f t="shared" si="169"/>
        <v>-0.66265060240963858</v>
      </c>
      <c r="CV170" s="84">
        <f t="shared" si="169"/>
        <v>-0.31818181818181823</v>
      </c>
      <c r="CW170" s="84">
        <f>CW167/CR167-1</f>
        <v>-0.55107526881720426</v>
      </c>
      <c r="CX170" s="84"/>
      <c r="CY170" s="84"/>
      <c r="CZ170" s="84"/>
      <c r="DA170" s="84"/>
      <c r="DB170" s="84"/>
      <c r="DC170" s="84"/>
      <c r="DD170" s="84"/>
      <c r="DE170" s="84"/>
      <c r="DF170" s="84"/>
      <c r="DG170" s="84"/>
      <c r="DH170" s="84"/>
      <c r="DI170" s="84"/>
      <c r="DJ170" s="84"/>
      <c r="DK170" s="84"/>
      <c r="DL170" s="186"/>
      <c r="DM170" s="186"/>
      <c r="DN170" s="186"/>
      <c r="DO170" s="186"/>
      <c r="DP170" s="186"/>
    </row>
    <row r="171" spans="1:120" x14ac:dyDescent="0.2">
      <c r="A171" s="66" t="s">
        <v>142</v>
      </c>
      <c r="G171" s="67"/>
      <c r="H171" s="67"/>
      <c r="I171" s="67"/>
      <c r="J171" s="67"/>
      <c r="K171" s="67"/>
      <c r="L171" s="67"/>
      <c r="M171" s="67"/>
      <c r="N171" s="67"/>
      <c r="O171" s="67"/>
      <c r="P171" s="67"/>
      <c r="Q171" s="67"/>
      <c r="R171" s="67"/>
      <c r="S171" s="67"/>
      <c r="T171" s="67"/>
      <c r="U171" s="67"/>
      <c r="V171" s="75"/>
      <c r="W171" s="75"/>
      <c r="X171" s="75"/>
      <c r="Y171" s="75"/>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67"/>
      <c r="BU171" s="67"/>
      <c r="BV171" s="67"/>
      <c r="BW171" s="67"/>
      <c r="BX171" s="67"/>
      <c r="BY171" s="67"/>
      <c r="BZ171" s="67"/>
      <c r="CA171" s="67"/>
      <c r="CB171" s="67"/>
      <c r="CC171" s="67"/>
      <c r="CD171" s="67"/>
      <c r="CE171" s="67"/>
      <c r="CF171" s="67"/>
      <c r="CG171" s="67"/>
      <c r="CH171" s="67"/>
      <c r="CI171" s="67"/>
      <c r="CJ171" s="67"/>
      <c r="CK171" s="67"/>
      <c r="CL171" s="67"/>
      <c r="CM171" s="67"/>
      <c r="CN171" s="67"/>
      <c r="CO171" s="67"/>
      <c r="CP171" s="67"/>
      <c r="CQ171" s="67"/>
      <c r="CR171" s="67"/>
      <c r="CS171" s="67"/>
      <c r="CT171" s="67"/>
      <c r="CU171" s="67"/>
      <c r="CV171" s="67"/>
      <c r="CW171" s="67"/>
      <c r="CX171" s="67"/>
      <c r="CY171" s="67"/>
      <c r="CZ171" s="67"/>
      <c r="DA171" s="67"/>
      <c r="DB171" s="67"/>
      <c r="DC171" s="67"/>
      <c r="DD171" s="67"/>
      <c r="DE171" s="67"/>
      <c r="DF171" s="67"/>
      <c r="DG171" s="67"/>
      <c r="DH171" s="67"/>
      <c r="DI171" s="67"/>
      <c r="DJ171" s="67"/>
      <c r="DK171" s="67"/>
      <c r="DL171" s="194"/>
      <c r="DM171" s="194"/>
      <c r="DN171" s="194"/>
      <c r="DO171" s="194"/>
      <c r="DP171" s="194"/>
    </row>
    <row r="172" spans="1:120" x14ac:dyDescent="0.2">
      <c r="A172" s="21" t="s">
        <v>143</v>
      </c>
      <c r="G172" s="75"/>
      <c r="H172" s="75"/>
      <c r="I172" s="75"/>
      <c r="J172" s="75"/>
      <c r="K172" s="127"/>
      <c r="L172" s="128">
        <v>40.5</v>
      </c>
      <c r="M172" s="128">
        <v>111.5</v>
      </c>
      <c r="N172" s="128">
        <v>120</v>
      </c>
      <c r="O172" s="128">
        <v>140</v>
      </c>
      <c r="P172" s="128">
        <f>O172+N172+M172+L172</f>
        <v>412</v>
      </c>
      <c r="Q172" s="128">
        <v>169</v>
      </c>
      <c r="R172" s="128">
        <v>212</v>
      </c>
      <c r="S172" s="128">
        <v>248</v>
      </c>
      <c r="T172" s="128">
        <v>274</v>
      </c>
      <c r="U172" s="128">
        <f>T172+S172+R172+Q172</f>
        <v>903</v>
      </c>
      <c r="V172" s="128">
        <v>269</v>
      </c>
      <c r="W172" s="128">
        <v>240</v>
      </c>
      <c r="X172" s="128">
        <v>277</v>
      </c>
      <c r="Y172" s="128">
        <v>297</v>
      </c>
      <c r="Z172" s="128">
        <f>Y172+X172+W172+V172</f>
        <v>1083</v>
      </c>
      <c r="AA172" s="128">
        <v>315</v>
      </c>
      <c r="AB172" s="128">
        <v>363</v>
      </c>
      <c r="AC172" s="128">
        <v>389</v>
      </c>
      <c r="AD172" s="128">
        <v>405</v>
      </c>
      <c r="AE172" s="128">
        <f>AD172+AC172+AB172+AA172</f>
        <v>1472</v>
      </c>
      <c r="AF172" s="128">
        <v>408</v>
      </c>
      <c r="AG172" s="128">
        <v>424</v>
      </c>
      <c r="AH172" s="128">
        <v>443</v>
      </c>
      <c r="AI172" s="128">
        <v>489</v>
      </c>
      <c r="AJ172" s="128">
        <f>AI172+AH172+AG172+AF172</f>
        <v>1764</v>
      </c>
      <c r="AK172" s="128">
        <v>395</v>
      </c>
      <c r="AL172" s="128">
        <v>349</v>
      </c>
      <c r="AM172" s="128">
        <v>333</v>
      </c>
      <c r="AN172" s="128">
        <v>338</v>
      </c>
      <c r="AO172" s="128">
        <f>AN172+AM172+AL172+AK172</f>
        <v>1415</v>
      </c>
      <c r="AP172" s="128">
        <v>310</v>
      </c>
      <c r="AQ172" s="128">
        <v>324</v>
      </c>
      <c r="AR172" s="128">
        <v>320</v>
      </c>
      <c r="AS172" s="128">
        <v>343</v>
      </c>
      <c r="AT172" s="128">
        <f>AS172+AR172+AQ172+AP172</f>
        <v>1297</v>
      </c>
      <c r="AU172" s="128">
        <v>281</v>
      </c>
      <c r="AV172" s="128">
        <v>308</v>
      </c>
      <c r="AW172" s="128">
        <v>310</v>
      </c>
      <c r="AX172" s="128">
        <v>329</v>
      </c>
      <c r="AY172" s="128">
        <f>AX172+AW172+AV172+AU172</f>
        <v>1228</v>
      </c>
      <c r="AZ172" s="128">
        <v>298</v>
      </c>
      <c r="BA172" s="128">
        <v>292</v>
      </c>
      <c r="BB172" s="128">
        <v>306</v>
      </c>
      <c r="BC172" s="128">
        <v>327</v>
      </c>
      <c r="BD172" s="128">
        <f>BC172+BB172+BA172+AZ172</f>
        <v>1223</v>
      </c>
      <c r="BE172" s="36">
        <v>309</v>
      </c>
      <c r="BF172" s="36">
        <v>330</v>
      </c>
      <c r="BG172" s="36">
        <v>348</v>
      </c>
      <c r="BH172" s="36">
        <v>345</v>
      </c>
      <c r="BI172" s="36">
        <f>SUM(BE172:BH172)</f>
        <v>1332</v>
      </c>
      <c r="BJ172" s="36">
        <v>334</v>
      </c>
      <c r="BK172" s="36">
        <v>351</v>
      </c>
      <c r="BL172" s="36">
        <v>369</v>
      </c>
      <c r="BM172" s="36">
        <v>400</v>
      </c>
      <c r="BN172" s="36">
        <f>SUM(BJ172:BM172)</f>
        <v>1454</v>
      </c>
      <c r="BO172" s="36">
        <v>323</v>
      </c>
      <c r="BP172" s="36">
        <v>408</v>
      </c>
      <c r="BQ172" s="36">
        <v>361</v>
      </c>
      <c r="BR172" s="36">
        <v>382</v>
      </c>
      <c r="BS172" s="128">
        <f>SUM(BO172:BR172)</f>
        <v>1474</v>
      </c>
      <c r="BT172" s="36">
        <v>345</v>
      </c>
      <c r="BU172" s="36">
        <v>409</v>
      </c>
      <c r="BV172" s="36">
        <v>406</v>
      </c>
      <c r="BW172" s="36">
        <v>452</v>
      </c>
      <c r="BX172" s="128">
        <f>SUM(BT172:BW172)</f>
        <v>1612</v>
      </c>
      <c r="BY172" s="128">
        <v>386</v>
      </c>
      <c r="BZ172" s="128">
        <v>457</v>
      </c>
      <c r="CA172" s="128">
        <v>411</v>
      </c>
      <c r="CB172" s="128">
        <v>335</v>
      </c>
      <c r="CC172" s="128">
        <f>SUM(BY172:CB172)</f>
        <v>1589</v>
      </c>
      <c r="CD172" s="128">
        <v>111</v>
      </c>
      <c r="CE172" s="128">
        <v>122</v>
      </c>
      <c r="CF172" s="128">
        <v>65</v>
      </c>
      <c r="CG172" s="128">
        <v>54</v>
      </c>
      <c r="CH172" s="128">
        <f>SUM(CD172:CG172)</f>
        <v>352</v>
      </c>
      <c r="CI172" s="128">
        <v>17.3</v>
      </c>
      <c r="CJ172" s="128">
        <v>8</v>
      </c>
      <c r="CK172" s="128">
        <v>9</v>
      </c>
      <c r="CL172" s="128">
        <v>11</v>
      </c>
      <c r="CM172" s="128">
        <f>SUM(CI172:CL172)</f>
        <v>45.3</v>
      </c>
      <c r="CN172" s="128">
        <v>0</v>
      </c>
      <c r="CO172" s="128">
        <v>6</v>
      </c>
      <c r="CP172" s="128">
        <v>5</v>
      </c>
      <c r="CQ172" s="128">
        <v>3</v>
      </c>
      <c r="CR172" s="128">
        <f>SUM(CN172:CQ172)</f>
        <v>14</v>
      </c>
      <c r="CS172" s="36">
        <v>-2</v>
      </c>
      <c r="CT172" s="36">
        <v>-1</v>
      </c>
      <c r="CU172" s="36">
        <v>-1</v>
      </c>
      <c r="CV172" s="36">
        <v>3</v>
      </c>
      <c r="CW172" s="72">
        <f>SUM(CS172:CV172)</f>
        <v>-1</v>
      </c>
      <c r="CX172" s="36">
        <v>2</v>
      </c>
      <c r="CY172" s="36"/>
      <c r="CZ172" s="36"/>
      <c r="DA172" s="36"/>
      <c r="DB172" s="128"/>
      <c r="DC172" s="128"/>
      <c r="DD172" s="128"/>
      <c r="DE172" s="128"/>
      <c r="DF172" s="128"/>
      <c r="DG172" s="128"/>
      <c r="DH172" s="128"/>
      <c r="DI172" s="128"/>
      <c r="DJ172" s="128"/>
      <c r="DK172" s="128"/>
      <c r="DL172" s="201"/>
      <c r="DM172" s="201"/>
      <c r="DN172" s="201"/>
      <c r="DO172" s="201"/>
      <c r="DP172" s="201"/>
    </row>
    <row r="173" spans="1:120" x14ac:dyDescent="0.2">
      <c r="A173" s="21" t="s">
        <v>144</v>
      </c>
      <c r="G173" s="75"/>
      <c r="H173" s="75"/>
      <c r="I173" s="75"/>
      <c r="J173" s="75"/>
      <c r="K173" s="127"/>
      <c r="L173" s="128">
        <v>5</v>
      </c>
      <c r="M173" s="128">
        <v>11</v>
      </c>
      <c r="N173" s="128">
        <v>16.5</v>
      </c>
      <c r="O173" s="128">
        <v>24.5</v>
      </c>
      <c r="P173" s="128">
        <f>O173+N173+M173+L173</f>
        <v>57</v>
      </c>
      <c r="Q173" s="128">
        <v>21</v>
      </c>
      <c r="R173" s="128">
        <v>28</v>
      </c>
      <c r="S173" s="128">
        <v>46</v>
      </c>
      <c r="T173" s="128">
        <v>54</v>
      </c>
      <c r="U173" s="128">
        <f>T173+S173+R173+Q173</f>
        <v>149</v>
      </c>
      <c r="V173" s="128">
        <v>62</v>
      </c>
      <c r="W173" s="128">
        <v>77</v>
      </c>
      <c r="X173" s="128">
        <v>80</v>
      </c>
      <c r="Y173" s="128">
        <v>95</v>
      </c>
      <c r="Z173" s="128">
        <f>Y173+X173+W173+V173</f>
        <v>314</v>
      </c>
      <c r="AA173" s="128">
        <v>100</v>
      </c>
      <c r="AB173" s="128">
        <v>111</v>
      </c>
      <c r="AC173" s="128">
        <v>112</v>
      </c>
      <c r="AD173" s="128">
        <v>130</v>
      </c>
      <c r="AE173" s="128">
        <f>AD173+AC173+AB173+AA173</f>
        <v>453</v>
      </c>
      <c r="AF173" s="128">
        <v>136</v>
      </c>
      <c r="AG173" s="128">
        <v>181</v>
      </c>
      <c r="AH173" s="128">
        <v>163</v>
      </c>
      <c r="AI173" s="128">
        <v>191</v>
      </c>
      <c r="AJ173" s="128">
        <f>AI173+AH173+AG173+AF173</f>
        <v>671</v>
      </c>
      <c r="AK173" s="128">
        <v>193</v>
      </c>
      <c r="AL173" s="128">
        <v>229</v>
      </c>
      <c r="AM173" s="128">
        <v>225</v>
      </c>
      <c r="AN173" s="128">
        <v>218</v>
      </c>
      <c r="AO173" s="128">
        <f>AN173+AM173+AL173+AK173</f>
        <v>865</v>
      </c>
      <c r="AP173" s="128">
        <v>199</v>
      </c>
      <c r="AQ173" s="128">
        <v>231</v>
      </c>
      <c r="AR173" s="128">
        <v>242</v>
      </c>
      <c r="AS173" s="128">
        <v>271</v>
      </c>
      <c r="AT173" s="128">
        <f>AS173+AR173+AQ173+AP173</f>
        <v>943</v>
      </c>
      <c r="AU173" s="128">
        <v>253</v>
      </c>
      <c r="AV173" s="128">
        <v>256</v>
      </c>
      <c r="AW173" s="128">
        <v>261</v>
      </c>
      <c r="AX173" s="128">
        <v>299</v>
      </c>
      <c r="AY173" s="128">
        <f>AX173+AW173+AV173+AU173</f>
        <v>1069</v>
      </c>
      <c r="AZ173" s="128">
        <v>284</v>
      </c>
      <c r="BA173" s="128">
        <v>300</v>
      </c>
      <c r="BB173" s="128">
        <v>308</v>
      </c>
      <c r="BC173" s="128">
        <v>313</v>
      </c>
      <c r="BD173" s="128">
        <f>BC173+BB173+BA173+AZ173</f>
        <v>1205</v>
      </c>
      <c r="BE173" s="36">
        <v>305</v>
      </c>
      <c r="BF173" s="36">
        <v>301</v>
      </c>
      <c r="BG173" s="36">
        <v>297</v>
      </c>
      <c r="BH173" s="36">
        <v>331</v>
      </c>
      <c r="BI173" s="36">
        <f>SUM(BE173:BH173)</f>
        <v>1234</v>
      </c>
      <c r="BJ173" s="36">
        <v>295</v>
      </c>
      <c r="BK173" s="36">
        <v>299</v>
      </c>
      <c r="BL173" s="36">
        <v>293</v>
      </c>
      <c r="BM173" s="36">
        <v>317</v>
      </c>
      <c r="BN173" s="36">
        <f>SUM(BJ173:BM173)</f>
        <v>1204</v>
      </c>
      <c r="BO173" s="36">
        <v>288</v>
      </c>
      <c r="BP173" s="36">
        <v>309</v>
      </c>
      <c r="BQ173" s="36">
        <v>298</v>
      </c>
      <c r="BR173" s="36">
        <v>281</v>
      </c>
      <c r="BS173" s="128">
        <f>SUM(BO173:BR173)</f>
        <v>1176</v>
      </c>
      <c r="BT173" s="36">
        <v>223</v>
      </c>
      <c r="BU173" s="36">
        <v>226</v>
      </c>
      <c r="BV173" s="36">
        <v>228</v>
      </c>
      <c r="BW173" s="36">
        <v>239</v>
      </c>
      <c r="BX173" s="128">
        <f>SUM(BT173:BW173)</f>
        <v>916</v>
      </c>
      <c r="BY173" s="128">
        <v>226</v>
      </c>
      <c r="BZ173" s="128">
        <v>245</v>
      </c>
      <c r="CA173" s="128">
        <v>261</v>
      </c>
      <c r="CB173" s="128">
        <v>240</v>
      </c>
      <c r="CC173" s="128">
        <f>SUM(BY173:CB173)</f>
        <v>972</v>
      </c>
      <c r="CD173" s="128">
        <v>222</v>
      </c>
      <c r="CE173" s="128">
        <v>246</v>
      </c>
      <c r="CF173" s="128">
        <v>255</v>
      </c>
      <c r="CG173" s="128">
        <v>269</v>
      </c>
      <c r="CH173" s="128">
        <f>SUM(CD173:CG173)</f>
        <v>992</v>
      </c>
      <c r="CI173" s="128">
        <v>287.3</v>
      </c>
      <c r="CJ173" s="128">
        <v>218</v>
      </c>
      <c r="CK173" s="128">
        <v>157</v>
      </c>
      <c r="CL173" s="128">
        <v>151</v>
      </c>
      <c r="CM173" s="128">
        <f>SUM(CI173:CL173)</f>
        <v>813.3</v>
      </c>
      <c r="CN173" s="128">
        <v>140</v>
      </c>
      <c r="CO173" s="128">
        <v>150</v>
      </c>
      <c r="CP173" s="128">
        <v>142</v>
      </c>
      <c r="CQ173" s="128">
        <v>144</v>
      </c>
      <c r="CR173" s="128">
        <f>SUM(CN173:CQ173)</f>
        <v>576</v>
      </c>
      <c r="CS173" s="36">
        <v>147</v>
      </c>
      <c r="CT173" s="36">
        <v>138</v>
      </c>
      <c r="CU173" s="36">
        <v>103</v>
      </c>
      <c r="CV173" s="36">
        <v>94</v>
      </c>
      <c r="CW173" s="72">
        <f>SUM(CS173:CV173)</f>
        <v>482</v>
      </c>
      <c r="CX173" s="36">
        <v>90</v>
      </c>
      <c r="CY173" s="36"/>
      <c r="CZ173" s="36"/>
      <c r="DA173" s="36"/>
      <c r="DB173" s="72"/>
      <c r="DC173" s="72"/>
      <c r="DD173" s="72"/>
      <c r="DE173" s="72"/>
      <c r="DF173" s="72"/>
      <c r="DG173" s="128"/>
      <c r="DH173" s="128"/>
      <c r="DI173" s="128"/>
      <c r="DJ173" s="128"/>
      <c r="DK173" s="128"/>
      <c r="DL173" s="201"/>
      <c r="DM173" s="201"/>
      <c r="DN173" s="201"/>
      <c r="DO173" s="201"/>
      <c r="DP173" s="201"/>
    </row>
    <row r="174" spans="1:120" x14ac:dyDescent="0.2">
      <c r="A174" s="39" t="s">
        <v>145</v>
      </c>
      <c r="G174" s="75"/>
      <c r="H174" s="75"/>
      <c r="I174" s="75"/>
      <c r="J174" s="75"/>
      <c r="K174" s="127"/>
      <c r="L174" s="129">
        <f t="shared" ref="L174:BD174" si="171">L173+L172</f>
        <v>45.5</v>
      </c>
      <c r="M174" s="129">
        <f t="shared" si="171"/>
        <v>122.5</v>
      </c>
      <c r="N174" s="129">
        <f t="shared" si="171"/>
        <v>136.5</v>
      </c>
      <c r="O174" s="129">
        <f t="shared" si="171"/>
        <v>164.5</v>
      </c>
      <c r="P174" s="129">
        <f t="shared" si="171"/>
        <v>469</v>
      </c>
      <c r="Q174" s="129">
        <f t="shared" si="171"/>
        <v>190</v>
      </c>
      <c r="R174" s="129">
        <f t="shared" si="171"/>
        <v>240</v>
      </c>
      <c r="S174" s="129">
        <f t="shared" si="171"/>
        <v>294</v>
      </c>
      <c r="T174" s="129">
        <f t="shared" si="171"/>
        <v>328</v>
      </c>
      <c r="U174" s="129">
        <f t="shared" si="171"/>
        <v>1052</v>
      </c>
      <c r="V174" s="129">
        <f t="shared" si="171"/>
        <v>331</v>
      </c>
      <c r="W174" s="129">
        <f t="shared" si="171"/>
        <v>317</v>
      </c>
      <c r="X174" s="129">
        <f t="shared" si="171"/>
        <v>357</v>
      </c>
      <c r="Y174" s="129">
        <f t="shared" si="171"/>
        <v>392</v>
      </c>
      <c r="Z174" s="129">
        <f t="shared" si="171"/>
        <v>1397</v>
      </c>
      <c r="AA174" s="129">
        <f t="shared" si="171"/>
        <v>415</v>
      </c>
      <c r="AB174" s="129">
        <f t="shared" si="171"/>
        <v>474</v>
      </c>
      <c r="AC174" s="129">
        <f t="shared" si="171"/>
        <v>501</v>
      </c>
      <c r="AD174" s="129">
        <f t="shared" si="171"/>
        <v>535</v>
      </c>
      <c r="AE174" s="129">
        <f t="shared" si="171"/>
        <v>1925</v>
      </c>
      <c r="AF174" s="129">
        <f t="shared" si="171"/>
        <v>544</v>
      </c>
      <c r="AG174" s="129">
        <f t="shared" si="171"/>
        <v>605</v>
      </c>
      <c r="AH174" s="129">
        <f t="shared" si="171"/>
        <v>606</v>
      </c>
      <c r="AI174" s="129">
        <f t="shared" si="171"/>
        <v>680</v>
      </c>
      <c r="AJ174" s="129">
        <f t="shared" si="171"/>
        <v>2435</v>
      </c>
      <c r="AK174" s="129">
        <f t="shared" si="171"/>
        <v>588</v>
      </c>
      <c r="AL174" s="129">
        <f t="shared" si="171"/>
        <v>578</v>
      </c>
      <c r="AM174" s="129">
        <f t="shared" si="171"/>
        <v>558</v>
      </c>
      <c r="AN174" s="129">
        <f t="shared" si="171"/>
        <v>556</v>
      </c>
      <c r="AO174" s="129">
        <f t="shared" si="171"/>
        <v>2280</v>
      </c>
      <c r="AP174" s="129">
        <f t="shared" si="171"/>
        <v>509</v>
      </c>
      <c r="AQ174" s="129">
        <f t="shared" si="171"/>
        <v>555</v>
      </c>
      <c r="AR174" s="129">
        <f t="shared" si="171"/>
        <v>562</v>
      </c>
      <c r="AS174" s="129">
        <f t="shared" si="171"/>
        <v>614</v>
      </c>
      <c r="AT174" s="129">
        <f t="shared" si="171"/>
        <v>2240</v>
      </c>
      <c r="AU174" s="129">
        <f t="shared" si="171"/>
        <v>534</v>
      </c>
      <c r="AV174" s="129">
        <f t="shared" si="171"/>
        <v>564</v>
      </c>
      <c r="AW174" s="129">
        <f t="shared" si="171"/>
        <v>571</v>
      </c>
      <c r="AX174" s="129">
        <f t="shared" si="171"/>
        <v>628</v>
      </c>
      <c r="AY174" s="129">
        <f t="shared" si="171"/>
        <v>2297</v>
      </c>
      <c r="AZ174" s="129">
        <f t="shared" si="171"/>
        <v>582</v>
      </c>
      <c r="BA174" s="129">
        <f t="shared" si="171"/>
        <v>592</v>
      </c>
      <c r="BB174" s="129">
        <f t="shared" si="171"/>
        <v>614</v>
      </c>
      <c r="BC174" s="129">
        <f t="shared" si="171"/>
        <v>640</v>
      </c>
      <c r="BD174" s="129">
        <f t="shared" si="171"/>
        <v>2428</v>
      </c>
      <c r="BE174" s="39">
        <f>BE172+BE173</f>
        <v>614</v>
      </c>
      <c r="BF174" s="39">
        <f>BF172+BF173</f>
        <v>631</v>
      </c>
      <c r="BG174" s="39">
        <f>BG172+BG173</f>
        <v>645</v>
      </c>
      <c r="BH174" s="39">
        <f>BH172+BH173</f>
        <v>676</v>
      </c>
      <c r="BI174" s="39">
        <f t="shared" ref="BI174:CP174" si="172">BI173+BI172</f>
        <v>2566</v>
      </c>
      <c r="BJ174" s="39">
        <f t="shared" si="172"/>
        <v>629</v>
      </c>
      <c r="BK174" s="39">
        <f t="shared" si="172"/>
        <v>650</v>
      </c>
      <c r="BL174" s="39">
        <f t="shared" si="172"/>
        <v>662</v>
      </c>
      <c r="BM174" s="39">
        <f t="shared" si="172"/>
        <v>717</v>
      </c>
      <c r="BN174" s="39">
        <f t="shared" si="172"/>
        <v>2658</v>
      </c>
      <c r="BO174" s="39">
        <f t="shared" si="172"/>
        <v>611</v>
      </c>
      <c r="BP174" s="39">
        <f t="shared" si="172"/>
        <v>717</v>
      </c>
      <c r="BQ174" s="39">
        <f t="shared" si="172"/>
        <v>659</v>
      </c>
      <c r="BR174" s="39">
        <f t="shared" si="172"/>
        <v>663</v>
      </c>
      <c r="BS174" s="129">
        <f t="shared" si="172"/>
        <v>2650</v>
      </c>
      <c r="BT174" s="39">
        <f t="shared" si="172"/>
        <v>568</v>
      </c>
      <c r="BU174" s="39">
        <f t="shared" si="172"/>
        <v>635</v>
      </c>
      <c r="BV174" s="39">
        <f t="shared" si="172"/>
        <v>634</v>
      </c>
      <c r="BW174" s="39">
        <f t="shared" si="172"/>
        <v>691</v>
      </c>
      <c r="BX174" s="129">
        <f t="shared" si="172"/>
        <v>2528</v>
      </c>
      <c r="BY174" s="129">
        <f t="shared" si="172"/>
        <v>612</v>
      </c>
      <c r="BZ174" s="129">
        <f t="shared" si="172"/>
        <v>702</v>
      </c>
      <c r="CA174" s="129">
        <f t="shared" si="172"/>
        <v>672</v>
      </c>
      <c r="CB174" s="129">
        <f t="shared" si="172"/>
        <v>575</v>
      </c>
      <c r="CC174" s="129">
        <f t="shared" si="172"/>
        <v>2561</v>
      </c>
      <c r="CD174" s="129">
        <f>CD173+CD172+1</f>
        <v>334</v>
      </c>
      <c r="CE174" s="129">
        <f t="shared" si="172"/>
        <v>368</v>
      </c>
      <c r="CF174" s="129">
        <f t="shared" si="172"/>
        <v>320</v>
      </c>
      <c r="CG174" s="129">
        <f t="shared" si="172"/>
        <v>323</v>
      </c>
      <c r="CH174" s="129">
        <f t="shared" si="172"/>
        <v>1344</v>
      </c>
      <c r="CI174" s="129">
        <f t="shared" si="172"/>
        <v>304.60000000000002</v>
      </c>
      <c r="CJ174" s="129">
        <f t="shared" si="172"/>
        <v>226</v>
      </c>
      <c r="CK174" s="129">
        <f t="shared" si="172"/>
        <v>166</v>
      </c>
      <c r="CL174" s="129">
        <f t="shared" si="172"/>
        <v>162</v>
      </c>
      <c r="CM174" s="129">
        <f t="shared" si="172"/>
        <v>858.59999999999991</v>
      </c>
      <c r="CN174" s="129">
        <f t="shared" si="172"/>
        <v>140</v>
      </c>
      <c r="CO174" s="129">
        <f t="shared" si="172"/>
        <v>156</v>
      </c>
      <c r="CP174" s="129">
        <f t="shared" si="172"/>
        <v>147</v>
      </c>
      <c r="CQ174" s="129">
        <f>CQ173+CQ172-1</f>
        <v>146</v>
      </c>
      <c r="CR174" s="129">
        <f>CR173+CR172</f>
        <v>590</v>
      </c>
      <c r="CS174" s="39">
        <f>CS173+CS172</f>
        <v>145</v>
      </c>
      <c r="CT174" s="39">
        <f>CT173+CT172</f>
        <v>137</v>
      </c>
      <c r="CU174" s="39">
        <f>CU173+CU172+1</f>
        <v>103</v>
      </c>
      <c r="CV174" s="39">
        <f>CV173+CV172+1</f>
        <v>98</v>
      </c>
      <c r="CW174" s="74">
        <f>SUM(CS174:CV174)</f>
        <v>483</v>
      </c>
      <c r="CX174" s="39">
        <f>SUM(CX172:CX173)</f>
        <v>92</v>
      </c>
      <c r="CY174" s="39"/>
      <c r="CZ174" s="39"/>
      <c r="DA174" s="39"/>
      <c r="DB174" s="74"/>
      <c r="DC174" s="74"/>
      <c r="DD174" s="74"/>
      <c r="DE174" s="74"/>
      <c r="DF174" s="74"/>
      <c r="DG174" s="129"/>
      <c r="DH174" s="129"/>
      <c r="DI174" s="129"/>
      <c r="DJ174" s="129"/>
      <c r="DK174" s="129"/>
      <c r="DL174" s="202"/>
      <c r="DM174" s="202"/>
      <c r="DN174" s="202"/>
      <c r="DO174" s="202"/>
      <c r="DP174" s="202"/>
    </row>
    <row r="175" spans="1:120" x14ac:dyDescent="0.2">
      <c r="A175" s="68" t="s">
        <v>54</v>
      </c>
      <c r="G175" s="75"/>
      <c r="H175" s="75"/>
      <c r="I175" s="75"/>
      <c r="J175" s="75"/>
      <c r="K175" s="127"/>
      <c r="L175" s="127"/>
      <c r="M175" s="127"/>
      <c r="N175" s="75"/>
      <c r="O175" s="75"/>
      <c r="P175" s="75"/>
      <c r="Q175" s="75">
        <f t="shared" ref="Q175:CB177" si="173">Q172/L172-1</f>
        <v>3.1728395061728394</v>
      </c>
      <c r="R175" s="75">
        <f t="shared" si="173"/>
        <v>0.90134529147982057</v>
      </c>
      <c r="S175" s="75">
        <f t="shared" si="173"/>
        <v>1.0666666666666669</v>
      </c>
      <c r="T175" s="75">
        <f t="shared" si="173"/>
        <v>0.95714285714285707</v>
      </c>
      <c r="U175" s="75">
        <f t="shared" si="173"/>
        <v>1.191747572815534</v>
      </c>
      <c r="V175" s="75">
        <f t="shared" si="173"/>
        <v>0.59171597633136086</v>
      </c>
      <c r="W175" s="75">
        <f t="shared" si="173"/>
        <v>0.13207547169811318</v>
      </c>
      <c r="X175" s="75">
        <f t="shared" si="173"/>
        <v>0.11693548387096775</v>
      </c>
      <c r="Y175" s="75">
        <f t="shared" si="173"/>
        <v>8.3941605839416011E-2</v>
      </c>
      <c r="Z175" s="75">
        <f t="shared" si="173"/>
        <v>0.19933554817275745</v>
      </c>
      <c r="AA175" s="75">
        <f t="shared" si="173"/>
        <v>0.17100371747211907</v>
      </c>
      <c r="AB175" s="75">
        <f t="shared" si="173"/>
        <v>0.51249999999999996</v>
      </c>
      <c r="AC175" s="75">
        <f t="shared" si="173"/>
        <v>0.40433212996389889</v>
      </c>
      <c r="AD175" s="75">
        <f t="shared" si="173"/>
        <v>0.36363636363636354</v>
      </c>
      <c r="AE175" s="75">
        <f t="shared" si="173"/>
        <v>0.35918744228993527</v>
      </c>
      <c r="AF175" s="75">
        <f t="shared" si="173"/>
        <v>0.2952380952380953</v>
      </c>
      <c r="AG175" s="75">
        <f t="shared" si="173"/>
        <v>0.16804407713498626</v>
      </c>
      <c r="AH175" s="75">
        <f t="shared" si="173"/>
        <v>0.13881748071979438</v>
      </c>
      <c r="AI175" s="75">
        <f t="shared" si="173"/>
        <v>0.20740740740740748</v>
      </c>
      <c r="AJ175" s="75">
        <f t="shared" si="173"/>
        <v>0.19836956521739135</v>
      </c>
      <c r="AK175" s="75">
        <f t="shared" si="173"/>
        <v>-3.1862745098039214E-2</v>
      </c>
      <c r="AL175" s="75">
        <f t="shared" si="173"/>
        <v>-0.17688679245283023</v>
      </c>
      <c r="AM175" s="75">
        <f t="shared" si="173"/>
        <v>-0.24830699774266363</v>
      </c>
      <c r="AN175" s="75">
        <f t="shared" si="173"/>
        <v>-0.30879345603271979</v>
      </c>
      <c r="AO175" s="75">
        <f t="shared" si="173"/>
        <v>-0.19784580498866211</v>
      </c>
      <c r="AP175" s="75">
        <f t="shared" si="173"/>
        <v>-0.21518987341772156</v>
      </c>
      <c r="AQ175" s="75">
        <f t="shared" si="173"/>
        <v>-7.1633237822349538E-2</v>
      </c>
      <c r="AR175" s="75">
        <f t="shared" si="173"/>
        <v>-3.9039039039039047E-2</v>
      </c>
      <c r="AS175" s="75">
        <f t="shared" si="173"/>
        <v>1.4792899408283988E-2</v>
      </c>
      <c r="AT175" s="75">
        <f t="shared" si="173"/>
        <v>-8.3392226148409909E-2</v>
      </c>
      <c r="AU175" s="75">
        <f t="shared" si="173"/>
        <v>-9.3548387096774155E-2</v>
      </c>
      <c r="AV175" s="75">
        <f t="shared" si="173"/>
        <v>-4.9382716049382713E-2</v>
      </c>
      <c r="AW175" s="75">
        <f t="shared" si="173"/>
        <v>-3.125E-2</v>
      </c>
      <c r="AX175" s="75">
        <f t="shared" si="173"/>
        <v>-4.081632653061229E-2</v>
      </c>
      <c r="AY175" s="75">
        <f t="shared" si="173"/>
        <v>-5.3199691595990695E-2</v>
      </c>
      <c r="AZ175" s="75">
        <f t="shared" si="173"/>
        <v>6.0498220640569311E-2</v>
      </c>
      <c r="BA175" s="75">
        <f t="shared" si="173"/>
        <v>-5.1948051948051965E-2</v>
      </c>
      <c r="BB175" s="75">
        <f t="shared" si="173"/>
        <v>-1.2903225806451646E-2</v>
      </c>
      <c r="BC175" s="75">
        <f t="shared" si="173"/>
        <v>-6.0790273556230456E-3</v>
      </c>
      <c r="BD175" s="75">
        <f t="shared" si="173"/>
        <v>-4.0716612377850181E-3</v>
      </c>
      <c r="BE175" s="76">
        <f t="shared" si="173"/>
        <v>3.691275167785224E-2</v>
      </c>
      <c r="BF175" s="76">
        <f t="shared" si="173"/>
        <v>0.13013698630136994</v>
      </c>
      <c r="BG175" s="76">
        <f t="shared" si="173"/>
        <v>0.13725490196078427</v>
      </c>
      <c r="BH175" s="76">
        <f t="shared" si="173"/>
        <v>5.504587155963292E-2</v>
      </c>
      <c r="BI175" s="90">
        <f t="shared" si="173"/>
        <v>8.9125102207685991E-2</v>
      </c>
      <c r="BJ175" s="76">
        <f t="shared" si="173"/>
        <v>8.0906148867313954E-2</v>
      </c>
      <c r="BK175" s="76">
        <f t="shared" si="173"/>
        <v>6.3636363636363713E-2</v>
      </c>
      <c r="BL175" s="76">
        <f t="shared" si="173"/>
        <v>6.0344827586206851E-2</v>
      </c>
      <c r="BM175" s="76">
        <f t="shared" si="173"/>
        <v>0.15942028985507251</v>
      </c>
      <c r="BN175" s="90">
        <f>BN172/BI172-1</f>
        <v>9.1591591591591692E-2</v>
      </c>
      <c r="BO175" s="76">
        <f t="shared" si="173"/>
        <v>-3.2934131736526928E-2</v>
      </c>
      <c r="BP175" s="76">
        <f t="shared" si="173"/>
        <v>0.16239316239316248</v>
      </c>
      <c r="BQ175" s="76">
        <f t="shared" si="173"/>
        <v>-2.1680216802168029E-2</v>
      </c>
      <c r="BR175" s="76">
        <f t="shared" si="173"/>
        <v>-4.500000000000004E-2</v>
      </c>
      <c r="BS175" s="119">
        <f>BS172/BN172-1</f>
        <v>1.3755158184319161E-2</v>
      </c>
      <c r="BT175" s="76">
        <f t="shared" si="173"/>
        <v>6.8111455108359031E-2</v>
      </c>
      <c r="BU175" s="76">
        <f t="shared" si="173"/>
        <v>2.450980392156854E-3</v>
      </c>
      <c r="BV175" s="76">
        <f t="shared" si="173"/>
        <v>0.12465373961218829</v>
      </c>
      <c r="BW175" s="76">
        <f t="shared" si="173"/>
        <v>0.18324607329842935</v>
      </c>
      <c r="BX175" s="119">
        <f>BX172/BS172-1</f>
        <v>9.3622795115332336E-2</v>
      </c>
      <c r="BY175" s="76">
        <f t="shared" si="173"/>
        <v>0.11884057971014483</v>
      </c>
      <c r="BZ175" s="76">
        <f t="shared" si="173"/>
        <v>0.11735941320293408</v>
      </c>
      <c r="CA175" s="76">
        <f t="shared" si="173"/>
        <v>1.2315270935960632E-2</v>
      </c>
      <c r="CB175" s="76">
        <f t="shared" si="173"/>
        <v>-0.25884955752212391</v>
      </c>
      <c r="CC175" s="119">
        <f>CC172/BX172-1</f>
        <v>-1.4267990074441683E-2</v>
      </c>
      <c r="CD175" s="76">
        <f t="shared" ref="CD175:CS177" si="174">CD172/BY172-1</f>
        <v>-0.71243523316062174</v>
      </c>
      <c r="CE175" s="76">
        <f t="shared" si="174"/>
        <v>-0.73304157549234139</v>
      </c>
      <c r="CF175" s="76">
        <f t="shared" si="174"/>
        <v>-0.84184914841849146</v>
      </c>
      <c r="CG175" s="76">
        <f t="shared" si="174"/>
        <v>-0.83880597014925373</v>
      </c>
      <c r="CH175" s="119">
        <f>CH172/CC172-1</f>
        <v>-0.77847702957835119</v>
      </c>
      <c r="CI175" s="76">
        <f t="shared" si="174"/>
        <v>-0.84414414414414418</v>
      </c>
      <c r="CJ175" s="76">
        <f t="shared" si="174"/>
        <v>-0.93442622950819676</v>
      </c>
      <c r="CK175" s="76">
        <f t="shared" si="174"/>
        <v>-0.86153846153846159</v>
      </c>
      <c r="CL175" s="76">
        <f t="shared" si="174"/>
        <v>-0.79629629629629628</v>
      </c>
      <c r="CM175" s="119">
        <f t="shared" si="174"/>
        <v>-0.87130681818181821</v>
      </c>
      <c r="CN175" s="119">
        <f t="shared" si="174"/>
        <v>-1</v>
      </c>
      <c r="CO175" s="119">
        <f t="shared" si="174"/>
        <v>-0.25</v>
      </c>
      <c r="CP175" s="119">
        <f t="shared" si="174"/>
        <v>-0.44444444444444442</v>
      </c>
      <c r="CQ175" s="119">
        <f t="shared" si="174"/>
        <v>-0.72727272727272729</v>
      </c>
      <c r="CR175" s="119">
        <f>CR172/CM172-1</f>
        <v>-0.69094922737306841</v>
      </c>
      <c r="CS175" s="119"/>
      <c r="CT175" s="119">
        <f t="shared" ref="CT175:CX177" si="175">CT172/CO172-1</f>
        <v>-1.1666666666666667</v>
      </c>
      <c r="CU175" s="119">
        <f t="shared" si="175"/>
        <v>-1.2</v>
      </c>
      <c r="CV175" s="119">
        <f t="shared" si="175"/>
        <v>0</v>
      </c>
      <c r="CW175" s="90">
        <f t="shared" si="175"/>
        <v>-1.0714285714285714</v>
      </c>
      <c r="CX175" s="119">
        <f t="shared" si="175"/>
        <v>-2</v>
      </c>
      <c r="CY175" s="119"/>
      <c r="CZ175" s="119"/>
      <c r="DA175" s="119"/>
      <c r="DB175" s="119"/>
      <c r="DC175" s="119"/>
      <c r="DD175" s="119"/>
      <c r="DE175" s="119"/>
      <c r="DF175" s="119"/>
      <c r="DG175" s="119"/>
      <c r="DH175" s="119"/>
      <c r="DI175" s="119"/>
      <c r="DJ175" s="119"/>
      <c r="DK175" s="119"/>
      <c r="DL175" s="203"/>
      <c r="DM175" s="203"/>
      <c r="DN175" s="203"/>
      <c r="DO175" s="203"/>
      <c r="DP175" s="203"/>
    </row>
    <row r="176" spans="1:120" x14ac:dyDescent="0.2">
      <c r="A176" s="68" t="s">
        <v>55</v>
      </c>
      <c r="G176" s="75"/>
      <c r="H176" s="75"/>
      <c r="I176" s="75"/>
      <c r="J176" s="75"/>
      <c r="K176" s="127"/>
      <c r="L176" s="127"/>
      <c r="M176" s="127"/>
      <c r="N176" s="75"/>
      <c r="O176" s="75"/>
      <c r="P176" s="75"/>
      <c r="Q176" s="75">
        <f t="shared" si="173"/>
        <v>3.2</v>
      </c>
      <c r="R176" s="75">
        <f t="shared" si="173"/>
        <v>1.5454545454545454</v>
      </c>
      <c r="S176" s="75">
        <f t="shared" si="173"/>
        <v>1.7878787878787881</v>
      </c>
      <c r="T176" s="75">
        <f t="shared" si="173"/>
        <v>1.204081632653061</v>
      </c>
      <c r="U176" s="75">
        <f t="shared" si="173"/>
        <v>1.6140350877192984</v>
      </c>
      <c r="V176" s="75">
        <f t="shared" si="173"/>
        <v>1.9523809523809526</v>
      </c>
      <c r="W176" s="75">
        <f t="shared" si="173"/>
        <v>1.75</v>
      </c>
      <c r="X176" s="75">
        <f t="shared" si="173"/>
        <v>0.73913043478260865</v>
      </c>
      <c r="Y176" s="75">
        <f t="shared" si="173"/>
        <v>0.7592592592592593</v>
      </c>
      <c r="Z176" s="75">
        <f t="shared" si="173"/>
        <v>1.1073825503355703</v>
      </c>
      <c r="AA176" s="75">
        <f t="shared" si="173"/>
        <v>0.61290322580645151</v>
      </c>
      <c r="AB176" s="75">
        <f t="shared" si="173"/>
        <v>0.44155844155844148</v>
      </c>
      <c r="AC176" s="75">
        <f t="shared" si="173"/>
        <v>0.39999999999999991</v>
      </c>
      <c r="AD176" s="75">
        <f t="shared" si="173"/>
        <v>0.36842105263157898</v>
      </c>
      <c r="AE176" s="75">
        <f t="shared" si="173"/>
        <v>0.4426751592356688</v>
      </c>
      <c r="AF176" s="75">
        <f t="shared" si="173"/>
        <v>0.3600000000000001</v>
      </c>
      <c r="AG176" s="75">
        <f t="shared" si="173"/>
        <v>0.63063063063063063</v>
      </c>
      <c r="AH176" s="75">
        <f t="shared" si="173"/>
        <v>0.45535714285714279</v>
      </c>
      <c r="AI176" s="75">
        <f t="shared" si="173"/>
        <v>0.46923076923076934</v>
      </c>
      <c r="AJ176" s="75">
        <f t="shared" si="173"/>
        <v>0.48123620309050774</v>
      </c>
      <c r="AK176" s="75">
        <f t="shared" si="173"/>
        <v>0.41911764705882359</v>
      </c>
      <c r="AL176" s="75">
        <f t="shared" si="173"/>
        <v>0.26519337016574585</v>
      </c>
      <c r="AM176" s="75">
        <f t="shared" si="173"/>
        <v>0.38036809815950923</v>
      </c>
      <c r="AN176" s="75">
        <f t="shared" si="173"/>
        <v>0.1413612565445026</v>
      </c>
      <c r="AO176" s="75">
        <f t="shared" si="173"/>
        <v>0.28912071535022354</v>
      </c>
      <c r="AP176" s="75">
        <f t="shared" si="173"/>
        <v>3.1088082901554515E-2</v>
      </c>
      <c r="AQ176" s="75">
        <f t="shared" si="173"/>
        <v>8.733624454148492E-3</v>
      </c>
      <c r="AR176" s="75">
        <f t="shared" si="173"/>
        <v>7.5555555555555598E-2</v>
      </c>
      <c r="AS176" s="75">
        <f t="shared" si="173"/>
        <v>0.24311926605504586</v>
      </c>
      <c r="AT176" s="75">
        <f t="shared" si="173"/>
        <v>9.0173410404624343E-2</v>
      </c>
      <c r="AU176" s="75">
        <f t="shared" si="173"/>
        <v>0.27135678391959805</v>
      </c>
      <c r="AV176" s="75">
        <f t="shared" si="173"/>
        <v>0.10822510822510822</v>
      </c>
      <c r="AW176" s="75">
        <f t="shared" si="173"/>
        <v>7.8512396694214948E-2</v>
      </c>
      <c r="AX176" s="75">
        <f t="shared" si="173"/>
        <v>0.10332103321033204</v>
      </c>
      <c r="AY176" s="75">
        <f t="shared" si="173"/>
        <v>0.13361611876988344</v>
      </c>
      <c r="AZ176" s="75">
        <f t="shared" si="173"/>
        <v>0.12252964426877466</v>
      </c>
      <c r="BA176" s="75">
        <f t="shared" si="173"/>
        <v>0.171875</v>
      </c>
      <c r="BB176" s="75">
        <f t="shared" si="173"/>
        <v>0.18007662835249039</v>
      </c>
      <c r="BC176" s="75">
        <f t="shared" si="173"/>
        <v>4.6822742474916357E-2</v>
      </c>
      <c r="BD176" s="75">
        <f t="shared" si="173"/>
        <v>0.12722170252572496</v>
      </c>
      <c r="BE176" s="76">
        <f t="shared" si="173"/>
        <v>7.3943661971830998E-2</v>
      </c>
      <c r="BF176" s="76">
        <f t="shared" si="173"/>
        <v>3.3333333333334103E-3</v>
      </c>
      <c r="BG176" s="76">
        <f t="shared" si="173"/>
        <v>-3.5714285714285698E-2</v>
      </c>
      <c r="BH176" s="76">
        <f t="shared" si="173"/>
        <v>5.7507987220447365E-2</v>
      </c>
      <c r="BI176" s="90">
        <f t="shared" si="173"/>
        <v>2.406639004149369E-2</v>
      </c>
      <c r="BJ176" s="76">
        <f t="shared" si="173"/>
        <v>-3.2786885245901676E-2</v>
      </c>
      <c r="BK176" s="76">
        <f t="shared" si="173"/>
        <v>-6.6445182724252927E-3</v>
      </c>
      <c r="BL176" s="76">
        <f t="shared" si="173"/>
        <v>-1.3468013468013518E-2</v>
      </c>
      <c r="BM176" s="76">
        <f t="shared" si="173"/>
        <v>-4.2296072507552851E-2</v>
      </c>
      <c r="BN176" s="90">
        <f>BN173/BI173-1</f>
        <v>-2.4311183144246407E-2</v>
      </c>
      <c r="BO176" s="76">
        <f t="shared" si="173"/>
        <v>-2.3728813559321993E-2</v>
      </c>
      <c r="BP176" s="76">
        <f t="shared" si="173"/>
        <v>3.3444816053511683E-2</v>
      </c>
      <c r="BQ176" s="76">
        <f t="shared" si="173"/>
        <v>1.7064846416382284E-2</v>
      </c>
      <c r="BR176" s="76">
        <f t="shared" si="173"/>
        <v>-0.11356466876971605</v>
      </c>
      <c r="BS176" s="119">
        <f>BS173/BN173-1</f>
        <v>-2.3255813953488413E-2</v>
      </c>
      <c r="BT176" s="76">
        <f t="shared" si="173"/>
        <v>-0.22569444444444442</v>
      </c>
      <c r="BU176" s="76">
        <f t="shared" si="173"/>
        <v>-0.26860841423948223</v>
      </c>
      <c r="BV176" s="76">
        <f t="shared" si="173"/>
        <v>-0.2348993288590604</v>
      </c>
      <c r="BW176" s="76">
        <f t="shared" si="173"/>
        <v>-0.14946619217081847</v>
      </c>
      <c r="BX176" s="119">
        <f>BX173/BS173-1</f>
        <v>-0.22108843537414968</v>
      </c>
      <c r="BY176" s="76">
        <f t="shared" si="173"/>
        <v>1.3452914798206317E-2</v>
      </c>
      <c r="BZ176" s="76">
        <f t="shared" si="173"/>
        <v>8.4070796460177011E-2</v>
      </c>
      <c r="CA176" s="76">
        <f t="shared" si="173"/>
        <v>0.14473684210526305</v>
      </c>
      <c r="CB176" s="76">
        <f t="shared" si="173"/>
        <v>4.1841004184099972E-3</v>
      </c>
      <c r="CC176" s="119">
        <f>CC173/BX173-1</f>
        <v>6.1135371179039222E-2</v>
      </c>
      <c r="CD176" s="76">
        <f t="shared" si="174"/>
        <v>-1.7699115044247815E-2</v>
      </c>
      <c r="CE176" s="76">
        <f t="shared" si="174"/>
        <v>4.0816326530612734E-3</v>
      </c>
      <c r="CF176" s="76">
        <f t="shared" si="174"/>
        <v>-2.2988505747126409E-2</v>
      </c>
      <c r="CG176" s="76">
        <f t="shared" si="174"/>
        <v>0.12083333333333335</v>
      </c>
      <c r="CH176" s="119">
        <f>CH173/CC173-1</f>
        <v>2.0576131687242816E-2</v>
      </c>
      <c r="CI176" s="76">
        <f t="shared" si="174"/>
        <v>0.29414414414414414</v>
      </c>
      <c r="CJ176" s="76">
        <f t="shared" si="174"/>
        <v>-0.11382113821138207</v>
      </c>
      <c r="CK176" s="76">
        <f t="shared" si="174"/>
        <v>-0.38431372549019605</v>
      </c>
      <c r="CL176" s="76">
        <f t="shared" si="174"/>
        <v>-0.43866171003717469</v>
      </c>
      <c r="CM176" s="119">
        <f t="shared" si="174"/>
        <v>-0.1801411290322581</v>
      </c>
      <c r="CN176" s="119">
        <f t="shared" si="174"/>
        <v>-0.5127044900800557</v>
      </c>
      <c r="CO176" s="119">
        <f t="shared" si="174"/>
        <v>-0.31192660550458717</v>
      </c>
      <c r="CP176" s="119">
        <f t="shared" si="174"/>
        <v>-9.5541401273885329E-2</v>
      </c>
      <c r="CQ176" s="119">
        <f t="shared" si="174"/>
        <v>-4.635761589403975E-2</v>
      </c>
      <c r="CR176" s="119">
        <f>CR173/CM173-1</f>
        <v>-0.29177425304315752</v>
      </c>
      <c r="CS176" s="119">
        <f t="shared" si="174"/>
        <v>5.0000000000000044E-2</v>
      </c>
      <c r="CT176" s="119">
        <f t="shared" si="175"/>
        <v>-7.999999999999996E-2</v>
      </c>
      <c r="CU176" s="119">
        <f t="shared" si="175"/>
        <v>-0.27464788732394363</v>
      </c>
      <c r="CV176" s="119">
        <f t="shared" si="175"/>
        <v>-0.34722222222222221</v>
      </c>
      <c r="CW176" s="90">
        <f t="shared" si="175"/>
        <v>-0.16319444444444442</v>
      </c>
      <c r="CX176" s="119">
        <f t="shared" si="175"/>
        <v>-0.38775510204081631</v>
      </c>
      <c r="CY176" s="119"/>
      <c r="CZ176" s="119"/>
      <c r="DA176" s="119"/>
      <c r="DB176" s="90"/>
      <c r="DC176" s="90"/>
      <c r="DD176" s="90"/>
      <c r="DE176" s="90"/>
      <c r="DF176" s="90"/>
      <c r="DG176" s="119"/>
      <c r="DH176" s="119"/>
      <c r="DI176" s="119"/>
      <c r="DJ176" s="119"/>
      <c r="DK176" s="119"/>
      <c r="DL176" s="203"/>
      <c r="DM176" s="203"/>
      <c r="DN176" s="203"/>
      <c r="DO176" s="203"/>
      <c r="DP176" s="203"/>
    </row>
    <row r="177" spans="1:120" x14ac:dyDescent="0.2">
      <c r="A177" s="78" t="s">
        <v>56</v>
      </c>
      <c r="B177" s="79"/>
      <c r="C177" s="79"/>
      <c r="D177" s="79"/>
      <c r="E177" s="79"/>
      <c r="F177" s="79"/>
      <c r="G177" s="83"/>
      <c r="H177" s="83"/>
      <c r="I177" s="83"/>
      <c r="J177" s="83"/>
      <c r="K177" s="130"/>
      <c r="L177" s="130"/>
      <c r="M177" s="130"/>
      <c r="N177" s="83"/>
      <c r="O177" s="83"/>
      <c r="P177" s="83"/>
      <c r="Q177" s="83">
        <f t="shared" si="173"/>
        <v>3.1758241758241761</v>
      </c>
      <c r="R177" s="83">
        <f t="shared" si="173"/>
        <v>0.95918367346938771</v>
      </c>
      <c r="S177" s="83">
        <f t="shared" si="173"/>
        <v>1.1538461538461537</v>
      </c>
      <c r="T177" s="83">
        <f t="shared" si="173"/>
        <v>0.99392097264437695</v>
      </c>
      <c r="U177" s="83">
        <f t="shared" si="173"/>
        <v>1.2430703624733477</v>
      </c>
      <c r="V177" s="83">
        <f t="shared" si="173"/>
        <v>0.74210526315789482</v>
      </c>
      <c r="W177" s="83">
        <f t="shared" si="173"/>
        <v>0.3208333333333333</v>
      </c>
      <c r="X177" s="83">
        <f t="shared" si="173"/>
        <v>0.21428571428571419</v>
      </c>
      <c r="Y177" s="83">
        <f t="shared" si="173"/>
        <v>0.19512195121951215</v>
      </c>
      <c r="Z177" s="83">
        <f t="shared" si="173"/>
        <v>0.32794676806083656</v>
      </c>
      <c r="AA177" s="83">
        <f t="shared" si="173"/>
        <v>0.25377643504531733</v>
      </c>
      <c r="AB177" s="83">
        <f t="shared" si="173"/>
        <v>0.49526813880126186</v>
      </c>
      <c r="AC177" s="83">
        <f t="shared" si="173"/>
        <v>0.40336134453781503</v>
      </c>
      <c r="AD177" s="83">
        <f t="shared" si="173"/>
        <v>0.36479591836734704</v>
      </c>
      <c r="AE177" s="83">
        <f t="shared" si="173"/>
        <v>0.37795275590551181</v>
      </c>
      <c r="AF177" s="83">
        <f t="shared" si="173"/>
        <v>0.31084337349397595</v>
      </c>
      <c r="AG177" s="83">
        <f t="shared" si="173"/>
        <v>0.2763713080168777</v>
      </c>
      <c r="AH177" s="83">
        <f t="shared" si="173"/>
        <v>0.20958083832335328</v>
      </c>
      <c r="AI177" s="83">
        <f t="shared" si="173"/>
        <v>0.27102803738317749</v>
      </c>
      <c r="AJ177" s="83">
        <f t="shared" si="173"/>
        <v>0.26493506493506502</v>
      </c>
      <c r="AK177" s="83">
        <f t="shared" si="173"/>
        <v>8.0882352941176405E-2</v>
      </c>
      <c r="AL177" s="83">
        <f t="shared" si="173"/>
        <v>-4.4628099173553704E-2</v>
      </c>
      <c r="AM177" s="83">
        <f t="shared" si="173"/>
        <v>-7.9207920792079167E-2</v>
      </c>
      <c r="AN177" s="83">
        <f t="shared" si="173"/>
        <v>-0.18235294117647061</v>
      </c>
      <c r="AO177" s="83">
        <f t="shared" si="173"/>
        <v>-6.3655030800821355E-2</v>
      </c>
      <c r="AP177" s="83">
        <f t="shared" si="173"/>
        <v>-0.13435374149659862</v>
      </c>
      <c r="AQ177" s="83">
        <f t="shared" si="173"/>
        <v>-3.979238754325265E-2</v>
      </c>
      <c r="AR177" s="83">
        <f t="shared" si="173"/>
        <v>7.1684587813620748E-3</v>
      </c>
      <c r="AS177" s="83">
        <f t="shared" si="173"/>
        <v>0.10431654676258995</v>
      </c>
      <c r="AT177" s="83">
        <f t="shared" si="173"/>
        <v>-1.7543859649122862E-2</v>
      </c>
      <c r="AU177" s="83">
        <f t="shared" si="173"/>
        <v>4.9115913555992208E-2</v>
      </c>
      <c r="AV177" s="83">
        <f t="shared" si="173"/>
        <v>1.6216216216216273E-2</v>
      </c>
      <c r="AW177" s="83">
        <f t="shared" si="173"/>
        <v>1.6014234875444844E-2</v>
      </c>
      <c r="AX177" s="83">
        <f t="shared" si="173"/>
        <v>2.2801302931596101E-2</v>
      </c>
      <c r="AY177" s="83">
        <f t="shared" si="173"/>
        <v>2.5446428571428648E-2</v>
      </c>
      <c r="AZ177" s="83">
        <f t="shared" si="173"/>
        <v>8.98876404494382E-2</v>
      </c>
      <c r="BA177" s="83">
        <f t="shared" si="173"/>
        <v>4.9645390070921946E-2</v>
      </c>
      <c r="BB177" s="83">
        <f t="shared" si="173"/>
        <v>7.5306479859895026E-2</v>
      </c>
      <c r="BC177" s="83">
        <f t="shared" si="173"/>
        <v>1.9108280254777066E-2</v>
      </c>
      <c r="BD177" s="83">
        <f t="shared" si="173"/>
        <v>5.7030909882455294E-2</v>
      </c>
      <c r="BE177" s="80">
        <f t="shared" si="173"/>
        <v>5.4982817869415834E-2</v>
      </c>
      <c r="BF177" s="80">
        <f t="shared" si="173"/>
        <v>6.5878378378378288E-2</v>
      </c>
      <c r="BG177" s="80">
        <f>BG174/BB174-1</f>
        <v>5.0488599348534224E-2</v>
      </c>
      <c r="BH177" s="80">
        <f>BH174/BC174-1</f>
        <v>5.6249999999999911E-2</v>
      </c>
      <c r="BI177" s="80">
        <f t="shared" si="173"/>
        <v>5.6836902800659006E-2</v>
      </c>
      <c r="BJ177" s="80">
        <f t="shared" si="173"/>
        <v>2.4429967426710109E-2</v>
      </c>
      <c r="BK177" s="91">
        <f>BK174/BF174-1</f>
        <v>3.0110935023771823E-2</v>
      </c>
      <c r="BL177" s="91">
        <f>BL174/BG174-1</f>
        <v>2.635658914728678E-2</v>
      </c>
      <c r="BM177" s="91">
        <f>BM174/BH174-1</f>
        <v>6.0650887573964418E-2</v>
      </c>
      <c r="BN177" s="80">
        <f>BN174/BI174-1</f>
        <v>3.5853468433359348E-2</v>
      </c>
      <c r="BO177" s="91">
        <f>BO174/BJ174-1</f>
        <v>-2.861685214626386E-2</v>
      </c>
      <c r="BP177" s="91">
        <f>BP174/BK174-1</f>
        <v>0.10307692307692307</v>
      </c>
      <c r="BQ177" s="91">
        <f>BQ174/BL174-1</f>
        <v>-4.5317220543806824E-3</v>
      </c>
      <c r="BR177" s="91">
        <f>BR174/BM174-1</f>
        <v>-7.5313807531380728E-2</v>
      </c>
      <c r="BS177" s="83">
        <f>BS174/BN174-1</f>
        <v>-3.0097817908201208E-3</v>
      </c>
      <c r="BT177" s="91">
        <f>BT174/BO174-1</f>
        <v>-7.0376432078559703E-2</v>
      </c>
      <c r="BU177" s="91">
        <f>BU174/BP174-1</f>
        <v>-0.11436541143654111</v>
      </c>
      <c r="BV177" s="91">
        <f>BV174/BQ174-1</f>
        <v>-3.793626707132014E-2</v>
      </c>
      <c r="BW177" s="91">
        <f>BW174/BR174-1</f>
        <v>4.2232277526395245E-2</v>
      </c>
      <c r="BX177" s="83">
        <f>BX174/BS174-1</f>
        <v>-4.6037735849056571E-2</v>
      </c>
      <c r="BY177" s="83">
        <f>BY174/BT174-1</f>
        <v>7.7464788732394263E-2</v>
      </c>
      <c r="BZ177" s="83">
        <f>BZ174/BU174-1</f>
        <v>0.10551181102362195</v>
      </c>
      <c r="CA177" s="83">
        <f>CA174/BV174-1</f>
        <v>5.9936908517350229E-2</v>
      </c>
      <c r="CB177" s="83">
        <f>CB174/BW174-1</f>
        <v>-0.16787264833574533</v>
      </c>
      <c r="CC177" s="83">
        <f>CC174/BX174-1</f>
        <v>1.3053797468354444E-2</v>
      </c>
      <c r="CD177" s="83">
        <f>CD174/BY174-1</f>
        <v>-0.45424836601307195</v>
      </c>
      <c r="CE177" s="83">
        <f>CE174/BZ174-1</f>
        <v>-0.4757834757834758</v>
      </c>
      <c r="CF177" s="83">
        <f>CF174/CA174-1</f>
        <v>-0.52380952380952384</v>
      </c>
      <c r="CG177" s="83">
        <f>CG174/CB174-1</f>
        <v>-0.43826086956521737</v>
      </c>
      <c r="CH177" s="83">
        <f>CH174/CC174-1</f>
        <v>-0.47520499804763761</v>
      </c>
      <c r="CI177" s="83">
        <f>CI174/CD174-1</f>
        <v>-8.8023952095808267E-2</v>
      </c>
      <c r="CJ177" s="83">
        <f>CJ174/CE174-1</f>
        <v>-0.38586956521739135</v>
      </c>
      <c r="CK177" s="83">
        <f>CK174/CF174-1</f>
        <v>-0.48124999999999996</v>
      </c>
      <c r="CL177" s="83">
        <f>CL174/CG174-1</f>
        <v>-0.49845201238390091</v>
      </c>
      <c r="CM177" s="83">
        <f t="shared" si="174"/>
        <v>-0.36116071428571439</v>
      </c>
      <c r="CN177" s="83">
        <f t="shared" si="174"/>
        <v>-0.54038082731451087</v>
      </c>
      <c r="CO177" s="83">
        <f t="shared" si="174"/>
        <v>-0.30973451327433632</v>
      </c>
      <c r="CP177" s="83">
        <f t="shared" si="174"/>
        <v>-0.11445783132530118</v>
      </c>
      <c r="CQ177" s="83">
        <f t="shared" si="174"/>
        <v>-9.8765432098765427E-2</v>
      </c>
      <c r="CR177" s="83">
        <f>CR174/CM174-1</f>
        <v>-0.31283484742604228</v>
      </c>
      <c r="CS177" s="83">
        <f t="shared" si="174"/>
        <v>3.5714285714285809E-2</v>
      </c>
      <c r="CT177" s="83">
        <f t="shared" si="175"/>
        <v>-0.12179487179487181</v>
      </c>
      <c r="CU177" s="83">
        <f>CU174/CP174-1</f>
        <v>-0.29931972789115646</v>
      </c>
      <c r="CV177" s="83">
        <f>CV174/CQ174-1</f>
        <v>-0.32876712328767121</v>
      </c>
      <c r="CW177" s="83">
        <f>CW174/CR174-1</f>
        <v>-0.18135593220338986</v>
      </c>
      <c r="CX177" s="83">
        <f>CX174/CS174-1</f>
        <v>-0.3655172413793103</v>
      </c>
      <c r="CY177" s="83"/>
      <c r="CZ177" s="83"/>
      <c r="DA177" s="83"/>
      <c r="DB177" s="83"/>
      <c r="DC177" s="83"/>
      <c r="DD177" s="83"/>
      <c r="DE177" s="83"/>
      <c r="DF177" s="83"/>
      <c r="DG177" s="83"/>
      <c r="DH177" s="83"/>
      <c r="DI177" s="83"/>
      <c r="DJ177" s="83"/>
      <c r="DK177" s="83"/>
      <c r="DL177" s="193"/>
      <c r="DM177" s="193"/>
      <c r="DN177" s="193"/>
      <c r="DO177" s="193"/>
      <c r="DP177" s="193"/>
    </row>
    <row r="178" spans="1:120" x14ac:dyDescent="0.2">
      <c r="A178" s="21" t="s">
        <v>146</v>
      </c>
      <c r="G178" s="75"/>
      <c r="H178" s="75"/>
      <c r="I178" s="75"/>
      <c r="J178" s="75"/>
      <c r="K178" s="127"/>
      <c r="L178" s="128"/>
      <c r="M178" s="128"/>
      <c r="N178" s="128"/>
      <c r="O178" s="128"/>
      <c r="P178" s="128"/>
      <c r="Q178" s="128"/>
      <c r="R178" s="128"/>
      <c r="S178" s="128">
        <v>42</v>
      </c>
      <c r="T178" s="128">
        <v>59</v>
      </c>
      <c r="U178" s="128">
        <f>T178+S178+R178+Q178</f>
        <v>101</v>
      </c>
      <c r="V178" s="128">
        <v>157</v>
      </c>
      <c r="W178" s="128">
        <v>173</v>
      </c>
      <c r="X178" s="128">
        <v>229</v>
      </c>
      <c r="Y178" s="128">
        <v>314</v>
      </c>
      <c r="Z178" s="128">
        <f>Y178+X178+W178+V178</f>
        <v>873</v>
      </c>
      <c r="AA178" s="128">
        <v>319</v>
      </c>
      <c r="AB178" s="128">
        <v>421</v>
      </c>
      <c r="AC178" s="128">
        <v>431</v>
      </c>
      <c r="AD178" s="128">
        <v>448</v>
      </c>
      <c r="AE178" s="128">
        <f>AD178+AC178+AB178+AA178</f>
        <v>1619</v>
      </c>
      <c r="AF178" s="128">
        <v>489</v>
      </c>
      <c r="AG178" s="128">
        <v>534</v>
      </c>
      <c r="AH178" s="128">
        <v>526</v>
      </c>
      <c r="AI178" s="128">
        <v>582</v>
      </c>
      <c r="AJ178" s="128">
        <f>AI178+AH178+AG178+AF178</f>
        <v>2131</v>
      </c>
      <c r="AK178" s="128">
        <v>456</v>
      </c>
      <c r="AL178" s="128">
        <v>361</v>
      </c>
      <c r="AM178" s="128">
        <v>355</v>
      </c>
      <c r="AN178" s="128">
        <v>357</v>
      </c>
      <c r="AO178" s="128">
        <f>AN178+AM178+AL178+AK178</f>
        <v>1529</v>
      </c>
      <c r="AP178" s="128">
        <v>286</v>
      </c>
      <c r="AQ178" s="128">
        <v>314</v>
      </c>
      <c r="AR178" s="128">
        <v>299</v>
      </c>
      <c r="AS178" s="128">
        <v>319</v>
      </c>
      <c r="AT178" s="128">
        <f>AS178+AR178+AQ178+AP178</f>
        <v>1218</v>
      </c>
      <c r="AU178" s="128">
        <v>254</v>
      </c>
      <c r="AV178" s="128">
        <v>263</v>
      </c>
      <c r="AW178" s="128">
        <v>263</v>
      </c>
      <c r="AX178" s="128">
        <v>296</v>
      </c>
      <c r="AY178" s="128">
        <f>AX178+AW178+AV178+AU178</f>
        <v>1076</v>
      </c>
      <c r="AZ178" s="128">
        <v>247</v>
      </c>
      <c r="BA178" s="128">
        <v>215</v>
      </c>
      <c r="BB178" s="128">
        <v>213</v>
      </c>
      <c r="BC178" s="128">
        <v>213</v>
      </c>
      <c r="BD178" s="128">
        <f>BC178+BB178+BA178+AZ178</f>
        <v>888</v>
      </c>
      <c r="BE178" s="36">
        <v>189</v>
      </c>
      <c r="BF178" s="36">
        <v>195</v>
      </c>
      <c r="BG178" s="36">
        <v>193</v>
      </c>
      <c r="BH178" s="36">
        <v>186</v>
      </c>
      <c r="BI178" s="36">
        <f>SUM(BE178:BH178)</f>
        <v>763</v>
      </c>
      <c r="BJ178" s="36">
        <v>156</v>
      </c>
      <c r="BK178" s="36">
        <v>170</v>
      </c>
      <c r="BL178" s="36">
        <v>165</v>
      </c>
      <c r="BM178" s="36">
        <v>182</v>
      </c>
      <c r="BN178" s="36">
        <f>SUM(BJ178:BM178)</f>
        <v>673</v>
      </c>
      <c r="BO178" s="36">
        <v>120</v>
      </c>
      <c r="BP178" s="36">
        <v>158</v>
      </c>
      <c r="BQ178" s="36">
        <v>133</v>
      </c>
      <c r="BR178" s="36">
        <v>145</v>
      </c>
      <c r="BS178" s="128">
        <f>SUM(BO178:BR178)</f>
        <v>556</v>
      </c>
      <c r="BT178" s="36">
        <v>111</v>
      </c>
      <c r="BU178" s="36">
        <v>123</v>
      </c>
      <c r="BV178" s="36">
        <v>122</v>
      </c>
      <c r="BW178" s="36">
        <v>123</v>
      </c>
      <c r="BX178" s="128">
        <f>SUM(BT178:BW178)</f>
        <v>479</v>
      </c>
      <c r="BY178" s="128">
        <v>109</v>
      </c>
      <c r="BZ178" s="128">
        <v>123</v>
      </c>
      <c r="CA178" s="128">
        <v>109</v>
      </c>
      <c r="CB178" s="128">
        <v>132</v>
      </c>
      <c r="CC178" s="128">
        <f>SUM(BY178:CB178)</f>
        <v>473</v>
      </c>
      <c r="CD178" s="128">
        <v>90</v>
      </c>
      <c r="CE178" s="128">
        <v>30</v>
      </c>
      <c r="CF178" s="128">
        <v>-6</v>
      </c>
      <c r="CG178" s="128">
        <v>11</v>
      </c>
      <c r="CH178" s="128">
        <f>SUM(CD178:CG178)</f>
        <v>125</v>
      </c>
      <c r="CI178" s="128">
        <v>8.3000000000000007</v>
      </c>
      <c r="CJ178" s="128">
        <v>3</v>
      </c>
      <c r="CK178" s="128">
        <v>0</v>
      </c>
      <c r="CL178" s="128">
        <v>-1</v>
      </c>
      <c r="CM178" s="128">
        <f>SUM(CI178:CL178)</f>
        <v>10.3</v>
      </c>
      <c r="CN178" s="128">
        <v>3</v>
      </c>
      <c r="CO178" s="128">
        <v>3</v>
      </c>
      <c r="CP178" s="128">
        <v>5</v>
      </c>
      <c r="CQ178" s="128">
        <v>4</v>
      </c>
      <c r="CR178" s="128">
        <f>SUM(CN178:CQ178)</f>
        <v>15</v>
      </c>
      <c r="CS178" s="36">
        <v>3</v>
      </c>
      <c r="CT178" s="36">
        <v>2</v>
      </c>
      <c r="CU178" s="36">
        <v>3</v>
      </c>
      <c r="CV178" s="36">
        <v>3</v>
      </c>
      <c r="CW178" s="72">
        <f>SUM(CS178:CV178)</f>
        <v>11</v>
      </c>
      <c r="CX178" s="36">
        <v>2</v>
      </c>
      <c r="CY178" s="36"/>
      <c r="CZ178" s="36"/>
      <c r="DA178" s="36"/>
      <c r="DB178" s="72"/>
      <c r="DC178" s="72"/>
      <c r="DD178" s="72"/>
      <c r="DE178" s="72"/>
      <c r="DF178" s="72"/>
      <c r="DG178" s="128"/>
      <c r="DH178" s="128"/>
      <c r="DI178" s="128"/>
      <c r="DJ178" s="128"/>
      <c r="DK178" s="128"/>
      <c r="DL178" s="201"/>
      <c r="DM178" s="201"/>
      <c r="DN178" s="201"/>
      <c r="DO178" s="201"/>
      <c r="DP178" s="201"/>
    </row>
    <row r="179" spans="1:120" x14ac:dyDescent="0.2">
      <c r="A179" s="21" t="s">
        <v>147</v>
      </c>
      <c r="G179" s="75"/>
      <c r="H179" s="75"/>
      <c r="I179" s="75"/>
      <c r="J179" s="75"/>
      <c r="K179" s="127"/>
      <c r="L179" s="128"/>
      <c r="M179" s="128"/>
      <c r="N179" s="128"/>
      <c r="O179" s="128"/>
      <c r="P179" s="128"/>
      <c r="Q179" s="128"/>
      <c r="R179" s="128">
        <v>7</v>
      </c>
      <c r="S179" s="128">
        <v>8</v>
      </c>
      <c r="T179" s="128">
        <v>16</v>
      </c>
      <c r="U179" s="128">
        <f>T179+S179+R179+Q179</f>
        <v>31</v>
      </c>
      <c r="V179" s="128">
        <v>21</v>
      </c>
      <c r="W179" s="128">
        <v>28</v>
      </c>
      <c r="X179" s="128">
        <v>36</v>
      </c>
      <c r="Y179" s="128">
        <v>54</v>
      </c>
      <c r="Z179" s="128">
        <f>Y179+X179+W179+V179</f>
        <v>139</v>
      </c>
      <c r="AA179" s="128">
        <v>52</v>
      </c>
      <c r="AB179" s="128">
        <v>70</v>
      </c>
      <c r="AC179" s="128">
        <v>86</v>
      </c>
      <c r="AD179" s="128">
        <v>106</v>
      </c>
      <c r="AE179" s="128">
        <f>AD179+AC179+AB179+AA179</f>
        <v>314</v>
      </c>
      <c r="AF179" s="128">
        <v>127</v>
      </c>
      <c r="AG179" s="128">
        <v>149</v>
      </c>
      <c r="AH179" s="128">
        <v>158</v>
      </c>
      <c r="AI179" s="128">
        <v>196</v>
      </c>
      <c r="AJ179" s="128">
        <f>AI179+AH179+AG179+AF179</f>
        <v>630</v>
      </c>
      <c r="AK179" s="128">
        <v>191</v>
      </c>
      <c r="AL179" s="128">
        <v>225</v>
      </c>
      <c r="AM179" s="128">
        <v>215</v>
      </c>
      <c r="AN179" s="128">
        <v>191</v>
      </c>
      <c r="AO179" s="128">
        <f>AN179+AM179+AL179+AK179</f>
        <v>822</v>
      </c>
      <c r="AP179" s="128">
        <v>178</v>
      </c>
      <c r="AQ179" s="128">
        <v>205</v>
      </c>
      <c r="AR179" s="128">
        <v>211</v>
      </c>
      <c r="AS179" s="128">
        <v>258</v>
      </c>
      <c r="AT179" s="128">
        <f>AS179+AR179+AQ179+AP179</f>
        <v>852</v>
      </c>
      <c r="AU179" s="128">
        <v>222</v>
      </c>
      <c r="AV179" s="128">
        <v>227</v>
      </c>
      <c r="AW179" s="128">
        <v>222</v>
      </c>
      <c r="AX179" s="128">
        <v>266</v>
      </c>
      <c r="AY179" s="128">
        <f>AX179+AW179+AV179+AU179</f>
        <v>937</v>
      </c>
      <c r="AZ179" s="128">
        <v>233</v>
      </c>
      <c r="BA179" s="128">
        <v>244</v>
      </c>
      <c r="BB179" s="128">
        <v>256</v>
      </c>
      <c r="BC179" s="128">
        <v>262</v>
      </c>
      <c r="BD179" s="128">
        <f>BC179+BB179+BA179+AZ179</f>
        <v>995</v>
      </c>
      <c r="BE179" s="36">
        <v>255</v>
      </c>
      <c r="BF179" s="36">
        <v>250</v>
      </c>
      <c r="BG179" s="36">
        <v>229</v>
      </c>
      <c r="BH179" s="36">
        <v>249</v>
      </c>
      <c r="BI179" s="36">
        <f>SUM(BE179:BH179)</f>
        <v>983</v>
      </c>
      <c r="BJ179" s="36">
        <v>238</v>
      </c>
      <c r="BK179" s="36">
        <v>247</v>
      </c>
      <c r="BL179" s="36">
        <v>232</v>
      </c>
      <c r="BM179" s="36">
        <v>253</v>
      </c>
      <c r="BN179" s="36">
        <f>SUM(BJ179:BM179)</f>
        <v>970</v>
      </c>
      <c r="BO179" s="36">
        <v>241</v>
      </c>
      <c r="BP179" s="36">
        <v>259</v>
      </c>
      <c r="BQ179" s="36">
        <v>236</v>
      </c>
      <c r="BR179" s="36">
        <v>225</v>
      </c>
      <c r="BS179" s="128">
        <f>SUM(BO179:BR179)</f>
        <v>961</v>
      </c>
      <c r="BT179" s="36">
        <v>209</v>
      </c>
      <c r="BU179" s="36">
        <v>197</v>
      </c>
      <c r="BV179" s="36">
        <v>180</v>
      </c>
      <c r="BW179" s="36">
        <v>185</v>
      </c>
      <c r="BX179" s="128">
        <f>SUM(BT179:BW179)</f>
        <v>771</v>
      </c>
      <c r="BY179" s="128">
        <v>168</v>
      </c>
      <c r="BZ179" s="128">
        <v>170</v>
      </c>
      <c r="CA179" s="128">
        <v>164</v>
      </c>
      <c r="CB179" s="128">
        <v>167</v>
      </c>
      <c r="CC179" s="128">
        <f>SUM(BY179:CB179)</f>
        <v>669</v>
      </c>
      <c r="CD179" s="128">
        <v>151</v>
      </c>
      <c r="CE179" s="128">
        <v>152</v>
      </c>
      <c r="CF179" s="128">
        <v>148</v>
      </c>
      <c r="CG179" s="128">
        <v>176</v>
      </c>
      <c r="CH179" s="128">
        <f>SUM(CD179:CG179)</f>
        <v>627</v>
      </c>
      <c r="CI179" s="128">
        <v>158.30000000000001</v>
      </c>
      <c r="CJ179" s="128">
        <v>152</v>
      </c>
      <c r="CK179" s="128">
        <v>92</v>
      </c>
      <c r="CL179" s="128">
        <v>84</v>
      </c>
      <c r="CM179" s="128">
        <f>SUM(CI179:CL179)</f>
        <v>486.3</v>
      </c>
      <c r="CN179" s="128">
        <v>94</v>
      </c>
      <c r="CO179" s="128">
        <v>73</v>
      </c>
      <c r="CP179" s="128">
        <v>52</v>
      </c>
      <c r="CQ179" s="128">
        <v>49</v>
      </c>
      <c r="CR179" s="128">
        <f>SUM(CN179:CQ179)</f>
        <v>268</v>
      </c>
      <c r="CS179" s="36">
        <v>50</v>
      </c>
      <c r="CT179" s="36">
        <v>37</v>
      </c>
      <c r="CU179" s="36">
        <v>44</v>
      </c>
      <c r="CV179" s="36">
        <v>40</v>
      </c>
      <c r="CW179" s="72">
        <f>SUM(CS179:CV179)</f>
        <v>171</v>
      </c>
      <c r="CX179" s="36">
        <v>38</v>
      </c>
      <c r="CY179" s="36"/>
      <c r="CZ179" s="36"/>
      <c r="DA179" s="36"/>
      <c r="DB179" s="72"/>
      <c r="DC179" s="72"/>
      <c r="DD179" s="72"/>
      <c r="DE179" s="72"/>
      <c r="DF179" s="72"/>
      <c r="DG179" s="128"/>
      <c r="DH179" s="128"/>
      <c r="DI179" s="128"/>
      <c r="DJ179" s="128"/>
      <c r="DK179" s="128"/>
      <c r="DL179" s="201"/>
      <c r="DM179" s="201"/>
      <c r="DN179" s="201"/>
      <c r="DO179" s="201"/>
      <c r="DP179" s="201"/>
    </row>
    <row r="180" spans="1:120" x14ac:dyDescent="0.2">
      <c r="A180" s="39" t="s">
        <v>148</v>
      </c>
      <c r="G180" s="75"/>
      <c r="H180" s="75"/>
      <c r="I180" s="75"/>
      <c r="J180" s="75"/>
      <c r="K180" s="127"/>
      <c r="L180" s="129"/>
      <c r="M180" s="129"/>
      <c r="N180" s="129"/>
      <c r="O180" s="129"/>
      <c r="P180" s="129"/>
      <c r="Q180" s="129"/>
      <c r="R180" s="129">
        <f t="shared" ref="R180:BD180" si="176">R179+R178</f>
        <v>7</v>
      </c>
      <c r="S180" s="129">
        <f t="shared" si="176"/>
        <v>50</v>
      </c>
      <c r="T180" s="129">
        <f t="shared" si="176"/>
        <v>75</v>
      </c>
      <c r="U180" s="129">
        <f t="shared" si="176"/>
        <v>132</v>
      </c>
      <c r="V180" s="129">
        <f t="shared" si="176"/>
        <v>178</v>
      </c>
      <c r="W180" s="129">
        <f t="shared" si="176"/>
        <v>201</v>
      </c>
      <c r="X180" s="129">
        <f t="shared" si="176"/>
        <v>265</v>
      </c>
      <c r="Y180" s="129">
        <f t="shared" si="176"/>
        <v>368</v>
      </c>
      <c r="Z180" s="129">
        <f t="shared" si="176"/>
        <v>1012</v>
      </c>
      <c r="AA180" s="129">
        <f t="shared" si="176"/>
        <v>371</v>
      </c>
      <c r="AB180" s="129">
        <f t="shared" si="176"/>
        <v>491</v>
      </c>
      <c r="AC180" s="129">
        <f t="shared" si="176"/>
        <v>517</v>
      </c>
      <c r="AD180" s="129">
        <f t="shared" si="176"/>
        <v>554</v>
      </c>
      <c r="AE180" s="129">
        <f t="shared" si="176"/>
        <v>1933</v>
      </c>
      <c r="AF180" s="129">
        <f t="shared" si="176"/>
        <v>616</v>
      </c>
      <c r="AG180" s="129">
        <f t="shared" si="176"/>
        <v>683</v>
      </c>
      <c r="AH180" s="129">
        <f t="shared" si="176"/>
        <v>684</v>
      </c>
      <c r="AI180" s="129">
        <f t="shared" si="176"/>
        <v>778</v>
      </c>
      <c r="AJ180" s="129">
        <f t="shared" si="176"/>
        <v>2761</v>
      </c>
      <c r="AK180" s="129">
        <f t="shared" si="176"/>
        <v>647</v>
      </c>
      <c r="AL180" s="129">
        <f t="shared" si="176"/>
        <v>586</v>
      </c>
      <c r="AM180" s="129">
        <f t="shared" si="176"/>
        <v>570</v>
      </c>
      <c r="AN180" s="129">
        <f t="shared" si="176"/>
        <v>548</v>
      </c>
      <c r="AO180" s="129">
        <f t="shared" si="176"/>
        <v>2351</v>
      </c>
      <c r="AP180" s="129">
        <f t="shared" si="176"/>
        <v>464</v>
      </c>
      <c r="AQ180" s="129">
        <f t="shared" si="176"/>
        <v>519</v>
      </c>
      <c r="AR180" s="129">
        <f t="shared" si="176"/>
        <v>510</v>
      </c>
      <c r="AS180" s="129">
        <f t="shared" si="176"/>
        <v>577</v>
      </c>
      <c r="AT180" s="129">
        <f t="shared" si="176"/>
        <v>2070</v>
      </c>
      <c r="AU180" s="129">
        <f t="shared" si="176"/>
        <v>476</v>
      </c>
      <c r="AV180" s="129">
        <f t="shared" si="176"/>
        <v>490</v>
      </c>
      <c r="AW180" s="129">
        <f t="shared" si="176"/>
        <v>485</v>
      </c>
      <c r="AX180" s="129">
        <f t="shared" si="176"/>
        <v>562</v>
      </c>
      <c r="AY180" s="129">
        <f t="shared" si="176"/>
        <v>2013</v>
      </c>
      <c r="AZ180" s="129">
        <f t="shared" si="176"/>
        <v>480</v>
      </c>
      <c r="BA180" s="129">
        <f t="shared" si="176"/>
        <v>459</v>
      </c>
      <c r="BB180" s="129">
        <f t="shared" si="176"/>
        <v>469</v>
      </c>
      <c r="BC180" s="129">
        <f t="shared" si="176"/>
        <v>475</v>
      </c>
      <c r="BD180" s="129">
        <f t="shared" si="176"/>
        <v>1883</v>
      </c>
      <c r="BE180" s="39">
        <f>BE178+BE179</f>
        <v>444</v>
      </c>
      <c r="BF180" s="39">
        <f>BF178+BF179</f>
        <v>445</v>
      </c>
      <c r="BG180" s="39">
        <f>BG178+BG179</f>
        <v>422</v>
      </c>
      <c r="BH180" s="39">
        <f>BH178+BH179</f>
        <v>435</v>
      </c>
      <c r="BI180" s="39">
        <f t="shared" ref="BI180:CP180" si="177">BI179+BI178</f>
        <v>1746</v>
      </c>
      <c r="BJ180" s="39">
        <f t="shared" si="177"/>
        <v>394</v>
      </c>
      <c r="BK180" s="39">
        <f t="shared" si="177"/>
        <v>417</v>
      </c>
      <c r="BL180" s="39">
        <f t="shared" si="177"/>
        <v>397</v>
      </c>
      <c r="BM180" s="39">
        <f t="shared" si="177"/>
        <v>435</v>
      </c>
      <c r="BN180" s="39">
        <f t="shared" si="177"/>
        <v>1643</v>
      </c>
      <c r="BO180" s="39">
        <f t="shared" si="177"/>
        <v>361</v>
      </c>
      <c r="BP180" s="39">
        <f t="shared" si="177"/>
        <v>417</v>
      </c>
      <c r="BQ180" s="39">
        <f t="shared" si="177"/>
        <v>369</v>
      </c>
      <c r="BR180" s="39">
        <f t="shared" si="177"/>
        <v>370</v>
      </c>
      <c r="BS180" s="129">
        <f t="shared" si="177"/>
        <v>1517</v>
      </c>
      <c r="BT180" s="39">
        <f t="shared" si="177"/>
        <v>320</v>
      </c>
      <c r="BU180" s="39">
        <f t="shared" si="177"/>
        <v>320</v>
      </c>
      <c r="BV180" s="39">
        <f t="shared" si="177"/>
        <v>302</v>
      </c>
      <c r="BW180" s="39">
        <f t="shared" si="177"/>
        <v>308</v>
      </c>
      <c r="BX180" s="129">
        <f t="shared" si="177"/>
        <v>1250</v>
      </c>
      <c r="BY180" s="129">
        <f t="shared" si="177"/>
        <v>277</v>
      </c>
      <c r="BZ180" s="129">
        <f t="shared" si="177"/>
        <v>293</v>
      </c>
      <c r="CA180" s="129">
        <f t="shared" si="177"/>
        <v>273</v>
      </c>
      <c r="CB180" s="129">
        <f t="shared" si="177"/>
        <v>299</v>
      </c>
      <c r="CC180" s="129">
        <f t="shared" si="177"/>
        <v>1142</v>
      </c>
      <c r="CD180" s="129">
        <f t="shared" si="177"/>
        <v>241</v>
      </c>
      <c r="CE180" s="129">
        <f t="shared" si="177"/>
        <v>182</v>
      </c>
      <c r="CF180" s="129">
        <f t="shared" si="177"/>
        <v>142</v>
      </c>
      <c r="CG180" s="129">
        <f t="shared" si="177"/>
        <v>187</v>
      </c>
      <c r="CH180" s="129">
        <f t="shared" si="177"/>
        <v>752</v>
      </c>
      <c r="CI180" s="129">
        <f t="shared" si="177"/>
        <v>166.60000000000002</v>
      </c>
      <c r="CJ180" s="129">
        <f t="shared" si="177"/>
        <v>155</v>
      </c>
      <c r="CK180" s="129">
        <f t="shared" si="177"/>
        <v>92</v>
      </c>
      <c r="CL180" s="129">
        <f t="shared" si="177"/>
        <v>83</v>
      </c>
      <c r="CM180" s="129">
        <f t="shared" si="177"/>
        <v>496.6</v>
      </c>
      <c r="CN180" s="129">
        <f t="shared" si="177"/>
        <v>97</v>
      </c>
      <c r="CO180" s="129">
        <f t="shared" si="177"/>
        <v>76</v>
      </c>
      <c r="CP180" s="129">
        <f t="shared" si="177"/>
        <v>57</v>
      </c>
      <c r="CQ180" s="129">
        <f>CQ179+CQ178+1</f>
        <v>54</v>
      </c>
      <c r="CR180" s="129">
        <f>CR179+CR178</f>
        <v>283</v>
      </c>
      <c r="CS180" s="39">
        <f>CS179+CS178</f>
        <v>53</v>
      </c>
      <c r="CT180" s="39">
        <f>CT179+CT178</f>
        <v>39</v>
      </c>
      <c r="CU180" s="39">
        <f>CU179+CU178</f>
        <v>47</v>
      </c>
      <c r="CV180" s="39">
        <f>CV179+CV178</f>
        <v>43</v>
      </c>
      <c r="CW180" s="74">
        <f>SUM(CS180:CV180)</f>
        <v>182</v>
      </c>
      <c r="CX180" s="39">
        <f>SUM(CX178:CX179)</f>
        <v>40</v>
      </c>
      <c r="CY180" s="39"/>
      <c r="CZ180" s="39"/>
      <c r="DA180" s="39"/>
      <c r="DB180" s="74"/>
      <c r="DC180" s="74"/>
      <c r="DD180" s="74"/>
      <c r="DE180" s="74"/>
      <c r="DF180" s="74"/>
      <c r="DG180" s="129"/>
      <c r="DH180" s="129"/>
      <c r="DI180" s="129"/>
      <c r="DJ180" s="129"/>
      <c r="DK180" s="129"/>
      <c r="DL180" s="202"/>
      <c r="DM180" s="202"/>
      <c r="DN180" s="202"/>
      <c r="DO180" s="202"/>
      <c r="DP180" s="202"/>
    </row>
    <row r="181" spans="1:120" x14ac:dyDescent="0.2">
      <c r="A181" s="68" t="s">
        <v>54</v>
      </c>
      <c r="G181" s="75"/>
      <c r="H181" s="75"/>
      <c r="I181" s="75"/>
      <c r="J181" s="75"/>
      <c r="K181" s="127"/>
      <c r="L181" s="127"/>
      <c r="M181" s="127"/>
      <c r="N181" s="127"/>
      <c r="O181" s="127"/>
      <c r="P181" s="127"/>
      <c r="Q181" s="127"/>
      <c r="R181" s="127"/>
      <c r="S181" s="127"/>
      <c r="T181" s="127"/>
      <c r="U181" s="127"/>
      <c r="V181" s="127" t="e">
        <f t="shared" ref="V181:CG183" si="178">V178/Q178-1</f>
        <v>#DIV/0!</v>
      </c>
      <c r="W181" s="127" t="e">
        <f t="shared" si="178"/>
        <v>#DIV/0!</v>
      </c>
      <c r="X181" s="127">
        <f t="shared" si="178"/>
        <v>4.4523809523809526</v>
      </c>
      <c r="Y181" s="127">
        <f t="shared" si="178"/>
        <v>4.3220338983050848</v>
      </c>
      <c r="Z181" s="75">
        <f t="shared" si="178"/>
        <v>7.6435643564356432</v>
      </c>
      <c r="AA181" s="75">
        <f t="shared" si="178"/>
        <v>1.031847133757962</v>
      </c>
      <c r="AB181" s="75">
        <f t="shared" si="178"/>
        <v>1.4335260115606938</v>
      </c>
      <c r="AC181" s="75">
        <f t="shared" si="178"/>
        <v>0.88209606986899569</v>
      </c>
      <c r="AD181" s="75">
        <f t="shared" si="178"/>
        <v>0.4267515923566878</v>
      </c>
      <c r="AE181" s="75">
        <f t="shared" si="178"/>
        <v>0.85452462772050408</v>
      </c>
      <c r="AF181" s="75">
        <f t="shared" si="178"/>
        <v>0.53291536050156729</v>
      </c>
      <c r="AG181" s="75">
        <f t="shared" si="178"/>
        <v>0.26840855106888362</v>
      </c>
      <c r="AH181" s="75">
        <f t="shared" si="178"/>
        <v>0.22041763341067289</v>
      </c>
      <c r="AI181" s="75">
        <f t="shared" si="178"/>
        <v>0.29910714285714279</v>
      </c>
      <c r="AJ181" s="75">
        <f t="shared" si="178"/>
        <v>0.31624459542927741</v>
      </c>
      <c r="AK181" s="75">
        <f t="shared" si="178"/>
        <v>-6.7484662576687171E-2</v>
      </c>
      <c r="AL181" s="75">
        <f t="shared" si="178"/>
        <v>-0.32397003745318353</v>
      </c>
      <c r="AM181" s="75">
        <f t="shared" si="178"/>
        <v>-0.32509505703422048</v>
      </c>
      <c r="AN181" s="75">
        <f t="shared" si="178"/>
        <v>-0.38659793814432986</v>
      </c>
      <c r="AO181" s="75">
        <f t="shared" si="178"/>
        <v>-0.28249648052557486</v>
      </c>
      <c r="AP181" s="75">
        <f t="shared" si="178"/>
        <v>-0.3728070175438597</v>
      </c>
      <c r="AQ181" s="75">
        <f t="shared" si="178"/>
        <v>-0.13019390581717449</v>
      </c>
      <c r="AR181" s="75">
        <f t="shared" si="178"/>
        <v>-0.15774647887323945</v>
      </c>
      <c r="AS181" s="75">
        <f t="shared" si="178"/>
        <v>-0.10644257703081228</v>
      </c>
      <c r="AT181" s="75">
        <f t="shared" si="178"/>
        <v>-0.2034009156311315</v>
      </c>
      <c r="AU181" s="75">
        <f t="shared" si="178"/>
        <v>-0.11188811188811187</v>
      </c>
      <c r="AV181" s="75">
        <f t="shared" si="178"/>
        <v>-0.16242038216560506</v>
      </c>
      <c r="AW181" s="75">
        <f t="shared" si="178"/>
        <v>-0.12040133779264217</v>
      </c>
      <c r="AX181" s="75">
        <f t="shared" si="178"/>
        <v>-7.2100313479623868E-2</v>
      </c>
      <c r="AY181" s="75">
        <f t="shared" si="178"/>
        <v>-0.1165845648604269</v>
      </c>
      <c r="AZ181" s="75">
        <f t="shared" si="178"/>
        <v>-2.7559055118110187E-2</v>
      </c>
      <c r="BA181" s="75">
        <f t="shared" si="178"/>
        <v>-0.18250950570342206</v>
      </c>
      <c r="BB181" s="75">
        <f t="shared" si="178"/>
        <v>-0.1901140684410646</v>
      </c>
      <c r="BC181" s="75">
        <f t="shared" si="178"/>
        <v>-0.28040540540540537</v>
      </c>
      <c r="BD181" s="75">
        <f t="shared" si="178"/>
        <v>-0.17472118959107807</v>
      </c>
      <c r="BE181" s="76">
        <f t="shared" si="178"/>
        <v>-0.23481781376518218</v>
      </c>
      <c r="BF181" s="76">
        <f t="shared" si="178"/>
        <v>-9.3023255813953543E-2</v>
      </c>
      <c r="BG181" s="76">
        <f t="shared" si="178"/>
        <v>-9.3896713615023497E-2</v>
      </c>
      <c r="BH181" s="76">
        <f t="shared" si="178"/>
        <v>-0.12676056338028174</v>
      </c>
      <c r="BI181" s="90">
        <f t="shared" si="178"/>
        <v>-0.14076576576576572</v>
      </c>
      <c r="BJ181" s="76">
        <f t="shared" si="178"/>
        <v>-0.17460317460317465</v>
      </c>
      <c r="BK181" s="76">
        <f t="shared" si="178"/>
        <v>-0.12820512820512819</v>
      </c>
      <c r="BL181" s="76">
        <f t="shared" si="178"/>
        <v>-0.14507772020725385</v>
      </c>
      <c r="BM181" s="76">
        <f t="shared" si="178"/>
        <v>-2.1505376344086002E-2</v>
      </c>
      <c r="BN181" s="90">
        <f>BN178/BI178-1</f>
        <v>-0.11795543905635653</v>
      </c>
      <c r="BO181" s="76">
        <f t="shared" si="178"/>
        <v>-0.23076923076923073</v>
      </c>
      <c r="BP181" s="76">
        <f t="shared" si="178"/>
        <v>-7.0588235294117618E-2</v>
      </c>
      <c r="BQ181" s="76">
        <f t="shared" si="178"/>
        <v>-0.19393939393939397</v>
      </c>
      <c r="BR181" s="76">
        <f t="shared" si="178"/>
        <v>-0.20329670329670335</v>
      </c>
      <c r="BS181" s="119">
        <f>BS178/BN178-1</f>
        <v>-0.17384843982169396</v>
      </c>
      <c r="BT181" s="76">
        <f t="shared" si="178"/>
        <v>-7.4999999999999956E-2</v>
      </c>
      <c r="BU181" s="76">
        <f t="shared" si="178"/>
        <v>-0.22151898734177211</v>
      </c>
      <c r="BV181" s="76">
        <f t="shared" si="178"/>
        <v>-8.2706766917293284E-2</v>
      </c>
      <c r="BW181" s="76">
        <f t="shared" si="178"/>
        <v>-0.15172413793103445</v>
      </c>
      <c r="BX181" s="119">
        <f>BX178/BS178-1</f>
        <v>-0.13848920863309355</v>
      </c>
      <c r="BY181" s="76">
        <f t="shared" si="178"/>
        <v>-1.8018018018018056E-2</v>
      </c>
      <c r="BZ181" s="76">
        <f t="shared" si="178"/>
        <v>0</v>
      </c>
      <c r="CA181" s="76">
        <f t="shared" si="178"/>
        <v>-0.10655737704918034</v>
      </c>
      <c r="CB181" s="76">
        <f t="shared" si="178"/>
        <v>7.3170731707317138E-2</v>
      </c>
      <c r="CC181" s="119">
        <f>CC178/BX178-1</f>
        <v>-1.2526096033402934E-2</v>
      </c>
      <c r="CD181" s="76">
        <f t="shared" si="178"/>
        <v>-0.17431192660550454</v>
      </c>
      <c r="CE181" s="76">
        <f t="shared" si="178"/>
        <v>-0.75609756097560976</v>
      </c>
      <c r="CF181" s="76">
        <f t="shared" si="178"/>
        <v>-1.0550458715596331</v>
      </c>
      <c r="CG181" s="76">
        <f t="shared" si="178"/>
        <v>-0.91666666666666663</v>
      </c>
      <c r="CH181" s="119">
        <f t="shared" ref="CH181:CX183" si="179">CH178/CC178-1</f>
        <v>-0.73572938689217759</v>
      </c>
      <c r="CI181" s="76">
        <f t="shared" si="179"/>
        <v>-0.90777777777777779</v>
      </c>
      <c r="CJ181" s="76">
        <f t="shared" si="179"/>
        <v>-0.9</v>
      </c>
      <c r="CK181" s="76">
        <f t="shared" si="179"/>
        <v>-1</v>
      </c>
      <c r="CL181" s="76">
        <f t="shared" si="179"/>
        <v>-1.0909090909090908</v>
      </c>
      <c r="CM181" s="119">
        <f t="shared" si="179"/>
        <v>-0.91759999999999997</v>
      </c>
      <c r="CN181" s="119">
        <f t="shared" si="179"/>
        <v>-0.63855421686746994</v>
      </c>
      <c r="CO181" s="119">
        <f t="shared" si="179"/>
        <v>0</v>
      </c>
      <c r="CP181" s="119" t="e">
        <f t="shared" si="179"/>
        <v>#DIV/0!</v>
      </c>
      <c r="CQ181" s="119">
        <f t="shared" si="179"/>
        <v>-5</v>
      </c>
      <c r="CR181" s="119">
        <f>CR178/CM178-1</f>
        <v>0.45631067961165028</v>
      </c>
      <c r="CS181" s="119">
        <f t="shared" si="179"/>
        <v>0</v>
      </c>
      <c r="CT181" s="119">
        <f t="shared" si="179"/>
        <v>-0.33333333333333337</v>
      </c>
      <c r="CU181" s="119">
        <f t="shared" si="179"/>
        <v>-0.4</v>
      </c>
      <c r="CV181" s="119">
        <f t="shared" si="179"/>
        <v>-0.25</v>
      </c>
      <c r="CW181" s="90">
        <f>CW178/CR178-1</f>
        <v>-0.26666666666666672</v>
      </c>
      <c r="CX181" s="119">
        <f t="shared" si="179"/>
        <v>-0.33333333333333337</v>
      </c>
      <c r="CY181" s="119"/>
      <c r="CZ181" s="119"/>
      <c r="DA181" s="119"/>
      <c r="DB181" s="90"/>
      <c r="DC181" s="90"/>
      <c r="DD181" s="90"/>
      <c r="DE181" s="90"/>
      <c r="DF181" s="90"/>
      <c r="DG181" s="119"/>
      <c r="DH181" s="119"/>
      <c r="DI181" s="119"/>
      <c r="DJ181" s="119"/>
      <c r="DK181" s="119"/>
      <c r="DL181" s="203"/>
      <c r="DM181" s="203"/>
      <c r="DN181" s="203"/>
      <c r="DO181" s="203"/>
      <c r="DP181" s="203"/>
    </row>
    <row r="182" spans="1:120" x14ac:dyDescent="0.2">
      <c r="A182" s="68" t="s">
        <v>55</v>
      </c>
      <c r="G182" s="75"/>
      <c r="H182" s="75"/>
      <c r="I182" s="75"/>
      <c r="J182" s="75"/>
      <c r="K182" s="127"/>
      <c r="L182" s="127"/>
      <c r="M182" s="127"/>
      <c r="N182" s="127"/>
      <c r="O182" s="127"/>
      <c r="P182" s="127"/>
      <c r="Q182" s="127"/>
      <c r="R182" s="127"/>
      <c r="S182" s="127"/>
      <c r="T182" s="127"/>
      <c r="U182" s="127"/>
      <c r="V182" s="127" t="e">
        <f t="shared" si="178"/>
        <v>#DIV/0!</v>
      </c>
      <c r="W182" s="127">
        <f t="shared" si="178"/>
        <v>3</v>
      </c>
      <c r="X182" s="127">
        <f t="shared" si="178"/>
        <v>3.5</v>
      </c>
      <c r="Y182" s="127">
        <f t="shared" si="178"/>
        <v>2.375</v>
      </c>
      <c r="Z182" s="75">
        <f t="shared" si="178"/>
        <v>3.4838709677419351</v>
      </c>
      <c r="AA182" s="75">
        <f t="shared" si="178"/>
        <v>1.4761904761904763</v>
      </c>
      <c r="AB182" s="75">
        <f t="shared" si="178"/>
        <v>1.5</v>
      </c>
      <c r="AC182" s="75">
        <f t="shared" si="178"/>
        <v>1.3888888888888888</v>
      </c>
      <c r="AD182" s="75">
        <f t="shared" si="178"/>
        <v>0.96296296296296302</v>
      </c>
      <c r="AE182" s="75">
        <f t="shared" si="178"/>
        <v>1.2589928057553958</v>
      </c>
      <c r="AF182" s="75">
        <f t="shared" si="178"/>
        <v>1.4423076923076925</v>
      </c>
      <c r="AG182" s="75">
        <f t="shared" si="178"/>
        <v>1.1285714285714286</v>
      </c>
      <c r="AH182" s="75">
        <f t="shared" si="178"/>
        <v>0.83720930232558133</v>
      </c>
      <c r="AI182" s="75">
        <f t="shared" si="178"/>
        <v>0.84905660377358494</v>
      </c>
      <c r="AJ182" s="75">
        <f t="shared" si="178"/>
        <v>1.0063694267515926</v>
      </c>
      <c r="AK182" s="75">
        <f t="shared" si="178"/>
        <v>0.50393700787401574</v>
      </c>
      <c r="AL182" s="75">
        <f t="shared" si="178"/>
        <v>0.51006711409395966</v>
      </c>
      <c r="AM182" s="75">
        <f t="shared" si="178"/>
        <v>0.360759493670886</v>
      </c>
      <c r="AN182" s="75">
        <f t="shared" si="178"/>
        <v>-2.5510204081632626E-2</v>
      </c>
      <c r="AO182" s="75">
        <f t="shared" si="178"/>
        <v>0.30476190476190479</v>
      </c>
      <c r="AP182" s="75">
        <f t="shared" si="178"/>
        <v>-6.8062827225130906E-2</v>
      </c>
      <c r="AQ182" s="75">
        <f t="shared" si="178"/>
        <v>-8.8888888888888906E-2</v>
      </c>
      <c r="AR182" s="75">
        <f t="shared" si="178"/>
        <v>-1.8604651162790753E-2</v>
      </c>
      <c r="AS182" s="75">
        <f t="shared" si="178"/>
        <v>0.35078534031413611</v>
      </c>
      <c r="AT182" s="75">
        <f t="shared" si="178"/>
        <v>3.649635036496357E-2</v>
      </c>
      <c r="AU182" s="75">
        <f t="shared" si="178"/>
        <v>0.24719101123595499</v>
      </c>
      <c r="AV182" s="75">
        <f t="shared" si="178"/>
        <v>0.1073170731707318</v>
      </c>
      <c r="AW182" s="75">
        <f t="shared" si="178"/>
        <v>5.2132701421800931E-2</v>
      </c>
      <c r="AX182" s="75">
        <f t="shared" si="178"/>
        <v>3.1007751937984551E-2</v>
      </c>
      <c r="AY182" s="75">
        <f t="shared" si="178"/>
        <v>9.9765258215962493E-2</v>
      </c>
      <c r="AZ182" s="75">
        <f t="shared" si="178"/>
        <v>4.9549549549549488E-2</v>
      </c>
      <c r="BA182" s="75">
        <f t="shared" si="178"/>
        <v>7.4889867841409608E-2</v>
      </c>
      <c r="BB182" s="75">
        <f t="shared" si="178"/>
        <v>0.15315315315315314</v>
      </c>
      <c r="BC182" s="75">
        <f t="shared" si="178"/>
        <v>-1.5037593984962405E-2</v>
      </c>
      <c r="BD182" s="75">
        <f t="shared" si="178"/>
        <v>6.189967982924216E-2</v>
      </c>
      <c r="BE182" s="76">
        <f t="shared" si="178"/>
        <v>9.4420600858369008E-2</v>
      </c>
      <c r="BF182" s="76">
        <f t="shared" si="178"/>
        <v>2.4590163934426146E-2</v>
      </c>
      <c r="BG182" s="76">
        <f t="shared" si="178"/>
        <v>-0.10546875</v>
      </c>
      <c r="BH182" s="76">
        <f t="shared" si="178"/>
        <v>-4.961832061068705E-2</v>
      </c>
      <c r="BI182" s="90">
        <f t="shared" si="178"/>
        <v>-1.2060301507537674E-2</v>
      </c>
      <c r="BJ182" s="76">
        <f t="shared" si="178"/>
        <v>-6.6666666666666652E-2</v>
      </c>
      <c r="BK182" s="76">
        <f t="shared" si="178"/>
        <v>-1.2000000000000011E-2</v>
      </c>
      <c r="BL182" s="76">
        <f t="shared" si="178"/>
        <v>1.3100436681222627E-2</v>
      </c>
      <c r="BM182" s="76">
        <f t="shared" si="178"/>
        <v>1.6064257028112428E-2</v>
      </c>
      <c r="BN182" s="90">
        <f>BN179/BI179-1</f>
        <v>-1.3224821973550349E-2</v>
      </c>
      <c r="BO182" s="76">
        <f t="shared" si="178"/>
        <v>1.2605042016806678E-2</v>
      </c>
      <c r="BP182" s="76">
        <f t="shared" si="178"/>
        <v>4.8582995951417018E-2</v>
      </c>
      <c r="BQ182" s="76">
        <f t="shared" si="178"/>
        <v>1.7241379310344751E-2</v>
      </c>
      <c r="BR182" s="76">
        <f t="shared" si="178"/>
        <v>-0.11067193675889331</v>
      </c>
      <c r="BS182" s="119">
        <f>BS179/BN179-1</f>
        <v>-9.2783505154638846E-3</v>
      </c>
      <c r="BT182" s="76">
        <f t="shared" si="178"/>
        <v>-0.13278008298755184</v>
      </c>
      <c r="BU182" s="76">
        <f t="shared" si="178"/>
        <v>-0.23938223938223935</v>
      </c>
      <c r="BV182" s="76">
        <f t="shared" si="178"/>
        <v>-0.23728813559322037</v>
      </c>
      <c r="BW182" s="76">
        <f t="shared" si="178"/>
        <v>-0.17777777777777781</v>
      </c>
      <c r="BX182" s="119">
        <f>BX179/BS179-1</f>
        <v>-0.19771071800208118</v>
      </c>
      <c r="BY182" s="76">
        <f t="shared" si="178"/>
        <v>-0.19617224880382778</v>
      </c>
      <c r="BZ182" s="76">
        <f t="shared" si="178"/>
        <v>-0.13705583756345174</v>
      </c>
      <c r="CA182" s="76">
        <f t="shared" si="178"/>
        <v>-8.8888888888888906E-2</v>
      </c>
      <c r="CB182" s="76">
        <f t="shared" si="178"/>
        <v>-9.7297297297297303E-2</v>
      </c>
      <c r="CC182" s="119">
        <f>CC179/BX179-1</f>
        <v>-0.13229571984435795</v>
      </c>
      <c r="CD182" s="76">
        <f t="shared" si="178"/>
        <v>-0.10119047619047616</v>
      </c>
      <c r="CE182" s="76">
        <f t="shared" si="178"/>
        <v>-0.10588235294117643</v>
      </c>
      <c r="CF182" s="76">
        <f t="shared" si="178"/>
        <v>-9.7560975609756073E-2</v>
      </c>
      <c r="CG182" s="76">
        <f t="shared" si="178"/>
        <v>5.3892215568862367E-2</v>
      </c>
      <c r="CH182" s="119">
        <f t="shared" si="179"/>
        <v>-6.2780269058295923E-2</v>
      </c>
      <c r="CI182" s="76">
        <f t="shared" si="179"/>
        <v>4.8344370860927244E-2</v>
      </c>
      <c r="CJ182" s="76">
        <f t="shared" si="179"/>
        <v>0</v>
      </c>
      <c r="CK182" s="76">
        <f t="shared" si="179"/>
        <v>-0.3783783783783784</v>
      </c>
      <c r="CL182" s="76">
        <f t="shared" si="179"/>
        <v>-0.52272727272727271</v>
      </c>
      <c r="CM182" s="119">
        <f t="shared" si="179"/>
        <v>-0.22440191387559805</v>
      </c>
      <c r="CN182" s="119">
        <f t="shared" si="179"/>
        <v>-0.4061907770056854</v>
      </c>
      <c r="CO182" s="119">
        <f t="shared" si="179"/>
        <v>-0.51973684210526316</v>
      </c>
      <c r="CP182" s="119">
        <f t="shared" si="179"/>
        <v>-0.43478260869565222</v>
      </c>
      <c r="CQ182" s="119">
        <f t="shared" si="179"/>
        <v>-0.41666666666666663</v>
      </c>
      <c r="CR182" s="119">
        <f>CR179/CM179-1</f>
        <v>-0.44889985605593252</v>
      </c>
      <c r="CS182" s="119">
        <f t="shared" si="179"/>
        <v>-0.46808510638297873</v>
      </c>
      <c r="CT182" s="119">
        <f t="shared" si="179"/>
        <v>-0.49315068493150682</v>
      </c>
      <c r="CU182" s="119">
        <f t="shared" si="179"/>
        <v>-0.15384615384615385</v>
      </c>
      <c r="CV182" s="119">
        <f t="shared" si="179"/>
        <v>-0.18367346938775508</v>
      </c>
      <c r="CW182" s="90">
        <f>CW179/CR179-1</f>
        <v>-0.36194029850746268</v>
      </c>
      <c r="CX182" s="119">
        <f t="shared" si="179"/>
        <v>-0.24</v>
      </c>
      <c r="CY182" s="119"/>
      <c r="CZ182" s="119"/>
      <c r="DA182" s="119"/>
      <c r="DB182" s="90"/>
      <c r="DC182" s="90"/>
      <c r="DD182" s="90"/>
      <c r="DE182" s="90"/>
      <c r="DF182" s="90"/>
      <c r="DG182" s="119"/>
      <c r="DH182" s="119"/>
      <c r="DI182" s="119"/>
      <c r="DJ182" s="119"/>
      <c r="DK182" s="119"/>
      <c r="DL182" s="203"/>
      <c r="DM182" s="203"/>
      <c r="DN182" s="203"/>
      <c r="DO182" s="203"/>
      <c r="DP182" s="203"/>
    </row>
    <row r="183" spans="1:120" x14ac:dyDescent="0.2">
      <c r="A183" s="78" t="s">
        <v>56</v>
      </c>
      <c r="B183" s="79"/>
      <c r="C183" s="79"/>
      <c r="D183" s="79"/>
      <c r="E183" s="79"/>
      <c r="F183" s="79"/>
      <c r="G183" s="83"/>
      <c r="H183" s="83"/>
      <c r="I183" s="83"/>
      <c r="J183" s="83"/>
      <c r="K183" s="130"/>
      <c r="L183" s="130"/>
      <c r="M183" s="130"/>
      <c r="N183" s="130"/>
      <c r="O183" s="130"/>
      <c r="P183" s="130"/>
      <c r="Q183" s="130"/>
      <c r="R183" s="130"/>
      <c r="S183" s="130"/>
      <c r="T183" s="130"/>
      <c r="U183" s="130"/>
      <c r="V183" s="130" t="e">
        <f t="shared" si="178"/>
        <v>#DIV/0!</v>
      </c>
      <c r="W183" s="130">
        <f t="shared" si="178"/>
        <v>27.714285714285715</v>
      </c>
      <c r="X183" s="130">
        <f t="shared" si="178"/>
        <v>4.3</v>
      </c>
      <c r="Y183" s="130">
        <f t="shared" si="178"/>
        <v>3.9066666666666663</v>
      </c>
      <c r="Z183" s="83">
        <f t="shared" si="178"/>
        <v>6.666666666666667</v>
      </c>
      <c r="AA183" s="83">
        <f t="shared" si="178"/>
        <v>1.0842696629213484</v>
      </c>
      <c r="AB183" s="83">
        <f t="shared" si="178"/>
        <v>1.4427860696517412</v>
      </c>
      <c r="AC183" s="83">
        <f t="shared" si="178"/>
        <v>0.95094339622641511</v>
      </c>
      <c r="AD183" s="83">
        <f t="shared" si="178"/>
        <v>0.50543478260869557</v>
      </c>
      <c r="AE183" s="83">
        <f t="shared" si="178"/>
        <v>0.91007905138339917</v>
      </c>
      <c r="AF183" s="83">
        <f t="shared" si="178"/>
        <v>0.66037735849056611</v>
      </c>
      <c r="AG183" s="83">
        <f t="shared" si="178"/>
        <v>0.3910386965376782</v>
      </c>
      <c r="AH183" s="83">
        <f t="shared" si="178"/>
        <v>0.32301740812379109</v>
      </c>
      <c r="AI183" s="83">
        <f t="shared" si="178"/>
        <v>0.40433212996389889</v>
      </c>
      <c r="AJ183" s="83">
        <f t="shared" si="178"/>
        <v>0.42834971546818412</v>
      </c>
      <c r="AK183" s="83">
        <f t="shared" si="178"/>
        <v>5.0324675324675328E-2</v>
      </c>
      <c r="AL183" s="83">
        <f t="shared" si="178"/>
        <v>-0.14202049780380677</v>
      </c>
      <c r="AM183" s="83">
        <f t="shared" si="178"/>
        <v>-0.16666666666666663</v>
      </c>
      <c r="AN183" s="83">
        <f t="shared" si="178"/>
        <v>-0.29562982005141392</v>
      </c>
      <c r="AO183" s="83">
        <f t="shared" si="178"/>
        <v>-0.14849692140528792</v>
      </c>
      <c r="AP183" s="83">
        <f t="shared" si="178"/>
        <v>-0.28284389489953632</v>
      </c>
      <c r="AQ183" s="83">
        <f t="shared" si="178"/>
        <v>-0.11433447098976113</v>
      </c>
      <c r="AR183" s="83">
        <f t="shared" si="178"/>
        <v>-0.10526315789473684</v>
      </c>
      <c r="AS183" s="83">
        <f t="shared" si="178"/>
        <v>5.2919708029196988E-2</v>
      </c>
      <c r="AT183" s="83">
        <f t="shared" si="178"/>
        <v>-0.11952360697575504</v>
      </c>
      <c r="AU183" s="83">
        <f t="shared" si="178"/>
        <v>2.5862068965517349E-2</v>
      </c>
      <c r="AV183" s="83">
        <f t="shared" si="178"/>
        <v>-5.5876685934489356E-2</v>
      </c>
      <c r="AW183" s="83">
        <f t="shared" si="178"/>
        <v>-4.9019607843137303E-2</v>
      </c>
      <c r="AX183" s="83">
        <f t="shared" si="178"/>
        <v>-2.5996533795493937E-2</v>
      </c>
      <c r="AY183" s="83">
        <f t="shared" si="178"/>
        <v>-2.753623188405796E-2</v>
      </c>
      <c r="AZ183" s="83">
        <f t="shared" si="178"/>
        <v>8.4033613445377853E-3</v>
      </c>
      <c r="BA183" s="83">
        <f t="shared" si="178"/>
        <v>-6.3265306122448961E-2</v>
      </c>
      <c r="BB183" s="83">
        <f t="shared" si="178"/>
        <v>-3.2989690721649478E-2</v>
      </c>
      <c r="BC183" s="83">
        <f t="shared" si="178"/>
        <v>-0.15480427046263345</v>
      </c>
      <c r="BD183" s="83">
        <f t="shared" si="178"/>
        <v>-6.4580228514654725E-2</v>
      </c>
      <c r="BE183" s="80">
        <f t="shared" si="178"/>
        <v>-7.4999999999999956E-2</v>
      </c>
      <c r="BF183" s="80">
        <f t="shared" si="178"/>
        <v>-3.0501089324618702E-2</v>
      </c>
      <c r="BG183" s="80">
        <f>BG180/BB180-1</f>
        <v>-0.10021321961620466</v>
      </c>
      <c r="BH183" s="80">
        <f>BH180/BC180-1</f>
        <v>-8.4210526315789513E-2</v>
      </c>
      <c r="BI183" s="80">
        <f t="shared" si="178"/>
        <v>-7.2756240042485376E-2</v>
      </c>
      <c r="BJ183" s="80">
        <f t="shared" si="178"/>
        <v>-0.11261261261261257</v>
      </c>
      <c r="BK183" s="91">
        <f>BK180/BF180-1</f>
        <v>-6.2921348314606718E-2</v>
      </c>
      <c r="BL183" s="91">
        <f>BL180/BG180-1</f>
        <v>-5.9241706161137442E-2</v>
      </c>
      <c r="BM183" s="91">
        <f>BM180/BH180-1</f>
        <v>0</v>
      </c>
      <c r="BN183" s="80">
        <f>BN180/BI180-1</f>
        <v>-5.8991981672394056E-2</v>
      </c>
      <c r="BO183" s="91">
        <f>BO180/BJ180-1</f>
        <v>-8.3756345177664948E-2</v>
      </c>
      <c r="BP183" s="91">
        <f>BP180/BK180-1</f>
        <v>0</v>
      </c>
      <c r="BQ183" s="91">
        <f>BQ180/BL180-1</f>
        <v>-7.0528967254408048E-2</v>
      </c>
      <c r="BR183" s="91">
        <f>BR180/BM180-1</f>
        <v>-0.14942528735632188</v>
      </c>
      <c r="BS183" s="83">
        <f>BS180/BN180-1</f>
        <v>-7.6688983566646329E-2</v>
      </c>
      <c r="BT183" s="91">
        <f>BT180/BO180-1</f>
        <v>-0.11357340720221609</v>
      </c>
      <c r="BU183" s="91">
        <f>BU180/BP180-1</f>
        <v>-0.23261390887290168</v>
      </c>
      <c r="BV183" s="91">
        <f>BV180/BQ180-1</f>
        <v>-0.18157181571815717</v>
      </c>
      <c r="BW183" s="91">
        <f>BW180/BR180-1</f>
        <v>-0.16756756756756752</v>
      </c>
      <c r="BX183" s="83">
        <f>BX180/BS180-1</f>
        <v>-0.17600527356624918</v>
      </c>
      <c r="BY183" s="83">
        <f>BY180/BT180-1</f>
        <v>-0.13437500000000002</v>
      </c>
      <c r="BZ183" s="83">
        <f>BZ180/BU180-1</f>
        <v>-8.4374999999999978E-2</v>
      </c>
      <c r="CA183" s="83">
        <f>CA180/BV180-1</f>
        <v>-9.6026490066225212E-2</v>
      </c>
      <c r="CB183" s="83">
        <f>CB180/BW180-1</f>
        <v>-2.9220779220779258E-2</v>
      </c>
      <c r="CC183" s="83">
        <f>CC180/BX180-1</f>
        <v>-8.6400000000000032E-2</v>
      </c>
      <c r="CD183" s="83">
        <f>CD180/BY180-1</f>
        <v>-0.12996389891696747</v>
      </c>
      <c r="CE183" s="83">
        <f>CE180/BZ180-1</f>
        <v>-0.37883959044368598</v>
      </c>
      <c r="CF183" s="83">
        <f>CF180/CA180-1</f>
        <v>-0.47985347985347981</v>
      </c>
      <c r="CG183" s="83">
        <f>CG180/CB180-1</f>
        <v>-0.37458193979933108</v>
      </c>
      <c r="CH183" s="83">
        <f t="shared" si="179"/>
        <v>-0.34150612959719795</v>
      </c>
      <c r="CI183" s="83">
        <f t="shared" si="179"/>
        <v>-0.30871369294605799</v>
      </c>
      <c r="CJ183" s="83">
        <f t="shared" si="179"/>
        <v>-0.14835164835164838</v>
      </c>
      <c r="CK183" s="83">
        <f t="shared" si="179"/>
        <v>-0.352112676056338</v>
      </c>
      <c r="CL183" s="83">
        <f t="shared" si="179"/>
        <v>-0.55614973262032086</v>
      </c>
      <c r="CM183" s="83">
        <f t="shared" si="179"/>
        <v>-0.33962765957446805</v>
      </c>
      <c r="CN183" s="83">
        <f t="shared" si="179"/>
        <v>-0.41776710684273721</v>
      </c>
      <c r="CO183" s="83">
        <f t="shared" si="179"/>
        <v>-0.50967741935483879</v>
      </c>
      <c r="CP183" s="83">
        <f t="shared" si="179"/>
        <v>-0.38043478260869568</v>
      </c>
      <c r="CQ183" s="83">
        <f t="shared" si="179"/>
        <v>-0.3493975903614458</v>
      </c>
      <c r="CR183" s="83">
        <f>CR180/CM180-1</f>
        <v>-0.4301248489730165</v>
      </c>
      <c r="CS183" s="83">
        <f t="shared" si="179"/>
        <v>-0.45360824742268047</v>
      </c>
      <c r="CT183" s="83">
        <f t="shared" si="179"/>
        <v>-0.48684210526315785</v>
      </c>
      <c r="CU183" s="83">
        <f t="shared" si="179"/>
        <v>-0.17543859649122806</v>
      </c>
      <c r="CV183" s="83">
        <f t="shared" si="179"/>
        <v>-0.20370370370370372</v>
      </c>
      <c r="CW183" s="83">
        <f>CW180/CR180-1</f>
        <v>-0.35689045936395758</v>
      </c>
      <c r="CX183" s="83">
        <f>CX180/CS180-1</f>
        <v>-0.24528301886792447</v>
      </c>
      <c r="CY183" s="83"/>
      <c r="CZ183" s="83"/>
      <c r="DA183" s="83"/>
      <c r="DB183" s="83"/>
      <c r="DC183" s="83"/>
      <c r="DD183" s="83"/>
      <c r="DE183" s="83"/>
      <c r="DF183" s="83"/>
      <c r="DG183" s="83"/>
      <c r="DH183" s="83"/>
      <c r="DI183" s="83"/>
      <c r="DJ183" s="83"/>
      <c r="DK183" s="83"/>
      <c r="DL183" s="193"/>
      <c r="DM183" s="193"/>
      <c r="DN183" s="193"/>
      <c r="DO183" s="193"/>
      <c r="DP183" s="193"/>
    </row>
    <row r="184" spans="1:120" x14ac:dyDescent="0.2">
      <c r="A184" s="68" t="s">
        <v>149</v>
      </c>
      <c r="B184" s="31"/>
      <c r="C184" s="31"/>
      <c r="D184" s="31"/>
      <c r="E184" s="31"/>
      <c r="F184" s="31"/>
      <c r="G184" s="67"/>
      <c r="H184" s="67"/>
      <c r="I184" s="67"/>
      <c r="J184" s="67"/>
      <c r="K184" s="131"/>
      <c r="L184" s="131"/>
      <c r="M184" s="131"/>
      <c r="N184" s="131"/>
      <c r="O184" s="131"/>
      <c r="P184" s="131"/>
      <c r="Q184" s="131"/>
      <c r="R184" s="131"/>
      <c r="S184" s="131"/>
      <c r="T184" s="131"/>
      <c r="U184" s="131"/>
      <c r="V184" s="131"/>
      <c r="W184" s="131"/>
      <c r="X184" s="131"/>
      <c r="Y184" s="131"/>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9"/>
      <c r="BF184" s="69"/>
      <c r="BG184" s="69"/>
      <c r="BH184" s="69"/>
      <c r="BI184" s="69"/>
      <c r="BJ184" s="69"/>
      <c r="BK184" s="114"/>
      <c r="BL184" s="114"/>
      <c r="BM184" s="114"/>
      <c r="BN184" s="69"/>
      <c r="BO184" s="114"/>
      <c r="BP184" s="114"/>
      <c r="BQ184" s="114"/>
      <c r="BR184" s="114"/>
      <c r="BS184" s="67"/>
      <c r="BT184" s="114"/>
      <c r="BU184" s="114"/>
      <c r="BV184" s="114"/>
      <c r="BW184" s="114"/>
      <c r="BX184" s="67"/>
      <c r="BY184" s="67"/>
      <c r="BZ184" s="67"/>
      <c r="CA184" s="67"/>
      <c r="CB184" s="67"/>
      <c r="CC184" s="67"/>
      <c r="CD184" s="36">
        <v>0</v>
      </c>
      <c r="CE184" s="36">
        <v>0</v>
      </c>
      <c r="CF184" s="36">
        <v>0</v>
      </c>
      <c r="CG184" s="36">
        <v>0</v>
      </c>
      <c r="CH184" s="36">
        <f>SUM(CD184:CG184)</f>
        <v>0</v>
      </c>
      <c r="CI184" s="36">
        <v>0</v>
      </c>
      <c r="CJ184" s="36">
        <v>0</v>
      </c>
      <c r="CK184" s="128">
        <v>0</v>
      </c>
      <c r="CL184" s="128">
        <v>0</v>
      </c>
      <c r="CM184" s="128">
        <f>SUM(CI184:CL184)</f>
        <v>0</v>
      </c>
      <c r="CN184" s="128">
        <v>0</v>
      </c>
      <c r="CO184" s="128">
        <v>0</v>
      </c>
      <c r="CP184" s="128">
        <v>0</v>
      </c>
      <c r="CQ184" s="128">
        <v>0</v>
      </c>
      <c r="CR184" s="128">
        <f>SUM(CN184:CQ184)</f>
        <v>0</v>
      </c>
      <c r="CS184" s="36">
        <v>0</v>
      </c>
      <c r="CT184" s="36">
        <v>0</v>
      </c>
      <c r="CU184" s="36">
        <v>0</v>
      </c>
      <c r="CV184" s="36">
        <v>0</v>
      </c>
      <c r="CW184" s="72">
        <f>SUM(CS184:CV184)</f>
        <v>0</v>
      </c>
      <c r="CX184" s="36">
        <v>0</v>
      </c>
      <c r="CY184" s="36"/>
      <c r="CZ184" s="36"/>
      <c r="DA184" s="36"/>
      <c r="DB184" s="128"/>
      <c r="DC184" s="128"/>
      <c r="DD184" s="128"/>
      <c r="DE184" s="128"/>
      <c r="DF184" s="128"/>
      <c r="DG184" s="128"/>
      <c r="DH184" s="128"/>
      <c r="DI184" s="128"/>
      <c r="DJ184" s="128"/>
      <c r="DK184" s="128"/>
      <c r="DL184" s="201"/>
      <c r="DM184" s="201"/>
      <c r="DN184" s="201"/>
      <c r="DO184" s="201"/>
      <c r="DP184" s="201"/>
    </row>
    <row r="185" spans="1:120" x14ac:dyDescent="0.2">
      <c r="A185" s="68" t="s">
        <v>150</v>
      </c>
      <c r="B185" s="31"/>
      <c r="C185" s="31"/>
      <c r="D185" s="31"/>
      <c r="E185" s="31"/>
      <c r="F185" s="31"/>
      <c r="G185" s="67"/>
      <c r="H185" s="67"/>
      <c r="I185" s="67"/>
      <c r="J185" s="67"/>
      <c r="K185" s="131"/>
      <c r="L185" s="131"/>
      <c r="M185" s="131"/>
      <c r="N185" s="131"/>
      <c r="O185" s="131"/>
      <c r="P185" s="131"/>
      <c r="Q185" s="131"/>
      <c r="R185" s="131"/>
      <c r="S185" s="131"/>
      <c r="T185" s="131"/>
      <c r="U185" s="131"/>
      <c r="V185" s="131"/>
      <c r="W185" s="131"/>
      <c r="X185" s="131"/>
      <c r="Y185" s="131"/>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9"/>
      <c r="BF185" s="69"/>
      <c r="BG185" s="69"/>
      <c r="BH185" s="69"/>
      <c r="BI185" s="69"/>
      <c r="BJ185" s="69"/>
      <c r="BK185" s="114"/>
      <c r="BL185" s="114"/>
      <c r="BM185" s="114"/>
      <c r="BN185" s="69"/>
      <c r="BO185" s="114"/>
      <c r="BP185" s="114"/>
      <c r="BQ185" s="114"/>
      <c r="BR185" s="114"/>
      <c r="BS185" s="67"/>
      <c r="BT185" s="114"/>
      <c r="BU185" s="114"/>
      <c r="BV185" s="114"/>
      <c r="BW185" s="114"/>
      <c r="BX185" s="67"/>
      <c r="BY185" s="67"/>
      <c r="BZ185" s="67"/>
      <c r="CA185" s="67"/>
      <c r="CB185" s="67"/>
      <c r="CC185" s="67"/>
      <c r="CD185" s="36">
        <v>49</v>
      </c>
      <c r="CE185" s="36">
        <v>63</v>
      </c>
      <c r="CF185" s="36">
        <v>59</v>
      </c>
      <c r="CG185" s="36">
        <v>54</v>
      </c>
      <c r="CH185" s="36">
        <f>SUM(CD185:CG185)</f>
        <v>225</v>
      </c>
      <c r="CI185" s="36">
        <v>73</v>
      </c>
      <c r="CJ185" s="36">
        <v>101</v>
      </c>
      <c r="CK185" s="128">
        <v>84</v>
      </c>
      <c r="CL185" s="128">
        <v>89</v>
      </c>
      <c r="CM185" s="128">
        <f>SUM(CI185:CL185)</f>
        <v>347</v>
      </c>
      <c r="CN185" s="128">
        <v>94</v>
      </c>
      <c r="CO185" s="128">
        <v>92</v>
      </c>
      <c r="CP185" s="128">
        <v>97</v>
      </c>
      <c r="CQ185" s="128">
        <v>108</v>
      </c>
      <c r="CR185" s="128">
        <f>SUM(CN185:CQ185)</f>
        <v>391</v>
      </c>
      <c r="CS185" s="36">
        <v>122</v>
      </c>
      <c r="CT185" s="36">
        <v>115</v>
      </c>
      <c r="CU185" s="36">
        <v>111</v>
      </c>
      <c r="CV185" s="36">
        <v>105</v>
      </c>
      <c r="CW185" s="72">
        <f>SUM(CS185:CV185)</f>
        <v>453</v>
      </c>
      <c r="CX185" s="36">
        <v>112</v>
      </c>
      <c r="CY185" s="36"/>
      <c r="CZ185" s="36"/>
      <c r="DA185" s="36"/>
      <c r="DB185" s="72"/>
      <c r="DC185" s="72"/>
      <c r="DD185" s="72"/>
      <c r="DE185" s="72"/>
      <c r="DF185" s="72"/>
      <c r="DG185" s="128"/>
      <c r="DH185" s="128"/>
      <c r="DI185" s="128"/>
      <c r="DJ185" s="128"/>
      <c r="DK185" s="128"/>
      <c r="DL185" s="201"/>
      <c r="DM185" s="201"/>
      <c r="DN185" s="201"/>
      <c r="DO185" s="201"/>
      <c r="DP185" s="201"/>
    </row>
    <row r="186" spans="1:120" x14ac:dyDescent="0.2">
      <c r="A186" s="132" t="s">
        <v>151</v>
      </c>
      <c r="B186" s="31"/>
      <c r="C186" s="31"/>
      <c r="D186" s="31"/>
      <c r="E186" s="31"/>
      <c r="F186" s="31"/>
      <c r="G186" s="67"/>
      <c r="H186" s="67"/>
      <c r="I186" s="67"/>
      <c r="J186" s="67"/>
      <c r="K186" s="131"/>
      <c r="L186" s="131"/>
      <c r="M186" s="131"/>
      <c r="N186" s="131"/>
      <c r="O186" s="131"/>
      <c r="P186" s="131"/>
      <c r="Q186" s="131"/>
      <c r="R186" s="131"/>
      <c r="S186" s="131"/>
      <c r="T186" s="131"/>
      <c r="U186" s="131"/>
      <c r="V186" s="131"/>
      <c r="W186" s="131"/>
      <c r="X186" s="131"/>
      <c r="Y186" s="131"/>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9"/>
      <c r="BF186" s="69"/>
      <c r="BG186" s="69"/>
      <c r="BH186" s="69"/>
      <c r="BI186" s="69"/>
      <c r="BJ186" s="69"/>
      <c r="BK186" s="114"/>
      <c r="BL186" s="114"/>
      <c r="BM186" s="114"/>
      <c r="BN186" s="69"/>
      <c r="BO186" s="114"/>
      <c r="BP186" s="114"/>
      <c r="BQ186" s="114"/>
      <c r="BR186" s="114"/>
      <c r="BS186" s="67"/>
      <c r="BT186" s="114"/>
      <c r="BU186" s="114"/>
      <c r="BV186" s="114"/>
      <c r="BW186" s="114"/>
      <c r="BX186" s="67"/>
      <c r="BY186" s="67"/>
      <c r="BZ186" s="67"/>
      <c r="CA186" s="67"/>
      <c r="CB186" s="67"/>
      <c r="CC186" s="67"/>
      <c r="CD186" s="74">
        <f t="shared" ref="CD186:CV186" si="180">CD185+CD184</f>
        <v>49</v>
      </c>
      <c r="CE186" s="74">
        <f t="shared" si="180"/>
        <v>63</v>
      </c>
      <c r="CF186" s="74">
        <f t="shared" si="180"/>
        <v>59</v>
      </c>
      <c r="CG186" s="74">
        <f t="shared" si="180"/>
        <v>54</v>
      </c>
      <c r="CH186" s="74">
        <f t="shared" si="180"/>
        <v>225</v>
      </c>
      <c r="CI186" s="74">
        <f t="shared" si="180"/>
        <v>73</v>
      </c>
      <c r="CJ186" s="74">
        <f t="shared" si="180"/>
        <v>101</v>
      </c>
      <c r="CK186" s="129">
        <f t="shared" si="180"/>
        <v>84</v>
      </c>
      <c r="CL186" s="129">
        <f t="shared" si="180"/>
        <v>89</v>
      </c>
      <c r="CM186" s="129">
        <f t="shared" si="180"/>
        <v>347</v>
      </c>
      <c r="CN186" s="129">
        <f t="shared" si="180"/>
        <v>94</v>
      </c>
      <c r="CO186" s="129">
        <f t="shared" si="180"/>
        <v>92</v>
      </c>
      <c r="CP186" s="129">
        <f t="shared" si="180"/>
        <v>97</v>
      </c>
      <c r="CQ186" s="129">
        <f t="shared" si="180"/>
        <v>108</v>
      </c>
      <c r="CR186" s="129">
        <f t="shared" si="180"/>
        <v>391</v>
      </c>
      <c r="CS186" s="39">
        <f t="shared" si="180"/>
        <v>122</v>
      </c>
      <c r="CT186" s="39">
        <f t="shared" si="180"/>
        <v>115</v>
      </c>
      <c r="CU186" s="39">
        <f t="shared" si="180"/>
        <v>111</v>
      </c>
      <c r="CV186" s="39">
        <f t="shared" si="180"/>
        <v>105</v>
      </c>
      <c r="CW186" s="74">
        <f>SUM(CS186:CV186)</f>
        <v>453</v>
      </c>
      <c r="CX186" s="39">
        <f>SUM(CX184:CX185)</f>
        <v>112</v>
      </c>
      <c r="CY186" s="39"/>
      <c r="CZ186" s="39"/>
      <c r="DA186" s="39"/>
      <c r="DB186" s="74"/>
      <c r="DC186" s="74"/>
      <c r="DD186" s="74"/>
      <c r="DE186" s="74"/>
      <c r="DF186" s="74"/>
      <c r="DG186" s="129"/>
      <c r="DH186" s="129"/>
      <c r="DI186" s="129"/>
      <c r="DJ186" s="129"/>
      <c r="DK186" s="129"/>
      <c r="DL186" s="202"/>
      <c r="DM186" s="202"/>
      <c r="DN186" s="202"/>
      <c r="DO186" s="202"/>
      <c r="DP186" s="202"/>
    </row>
    <row r="187" spans="1:120" x14ac:dyDescent="0.2">
      <c r="A187" s="68" t="s">
        <v>54</v>
      </c>
      <c r="B187" s="31"/>
      <c r="C187" s="31"/>
      <c r="D187" s="31"/>
      <c r="E187" s="31"/>
      <c r="F187" s="31"/>
      <c r="G187" s="67"/>
      <c r="H187" s="67"/>
      <c r="I187" s="67"/>
      <c r="J187" s="67"/>
      <c r="K187" s="131"/>
      <c r="L187" s="131"/>
      <c r="M187" s="131"/>
      <c r="N187" s="131"/>
      <c r="O187" s="131"/>
      <c r="P187" s="131"/>
      <c r="Q187" s="131"/>
      <c r="R187" s="131"/>
      <c r="S187" s="131"/>
      <c r="T187" s="131"/>
      <c r="U187" s="131"/>
      <c r="V187" s="131"/>
      <c r="W187" s="131"/>
      <c r="X187" s="131"/>
      <c r="Y187" s="131"/>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9"/>
      <c r="BF187" s="69"/>
      <c r="BG187" s="69"/>
      <c r="BH187" s="69"/>
      <c r="BI187" s="69"/>
      <c r="BJ187" s="69"/>
      <c r="BK187" s="114"/>
      <c r="BL187" s="114"/>
      <c r="BM187" s="114"/>
      <c r="BN187" s="69"/>
      <c r="BO187" s="114"/>
      <c r="BP187" s="114"/>
      <c r="BQ187" s="114"/>
      <c r="BR187" s="114"/>
      <c r="BS187" s="67"/>
      <c r="BT187" s="114"/>
      <c r="BU187" s="114"/>
      <c r="BV187" s="114"/>
      <c r="BW187" s="114"/>
      <c r="BX187" s="67"/>
      <c r="BY187" s="67"/>
      <c r="BZ187" s="67"/>
      <c r="CA187" s="67"/>
      <c r="CB187" s="67"/>
      <c r="CC187" s="75" t="e">
        <f>CC184/BX184-1</f>
        <v>#DIV/0!</v>
      </c>
      <c r="CD187" s="67"/>
      <c r="CE187" s="67"/>
      <c r="CF187" s="67"/>
      <c r="CG187" s="67"/>
      <c r="CH187" s="75"/>
      <c r="CI187" s="76"/>
      <c r="CJ187" s="76"/>
      <c r="CK187" s="119"/>
      <c r="CL187" s="119"/>
      <c r="CM187" s="119"/>
      <c r="CN187" s="119"/>
      <c r="CO187" s="119"/>
      <c r="CP187" s="119"/>
      <c r="CQ187" s="119"/>
      <c r="CR187" s="119"/>
      <c r="CS187" s="119"/>
      <c r="CT187" s="119"/>
      <c r="CU187" s="119"/>
      <c r="CV187" s="119"/>
      <c r="CW187" s="90"/>
      <c r="CX187" s="119"/>
      <c r="CY187" s="119"/>
      <c r="CZ187" s="119"/>
      <c r="DA187" s="119"/>
      <c r="DB187" s="90"/>
      <c r="DC187" s="90"/>
      <c r="DD187" s="90"/>
      <c r="DE187" s="90"/>
      <c r="DF187" s="90"/>
      <c r="DG187" s="119"/>
      <c r="DH187" s="119"/>
      <c r="DI187" s="119"/>
      <c r="DJ187" s="119"/>
      <c r="DK187" s="119"/>
      <c r="DL187" s="203"/>
      <c r="DM187" s="203"/>
      <c r="DN187" s="203"/>
      <c r="DO187" s="203"/>
      <c r="DP187" s="203"/>
    </row>
    <row r="188" spans="1:120" x14ac:dyDescent="0.2">
      <c r="A188" s="68" t="s">
        <v>55</v>
      </c>
      <c r="B188" s="31"/>
      <c r="C188" s="31"/>
      <c r="D188" s="31"/>
      <c r="E188" s="31"/>
      <c r="F188" s="31"/>
      <c r="G188" s="67"/>
      <c r="H188" s="67"/>
      <c r="I188" s="67"/>
      <c r="J188" s="67"/>
      <c r="K188" s="131"/>
      <c r="L188" s="131"/>
      <c r="M188" s="131"/>
      <c r="N188" s="131"/>
      <c r="O188" s="131"/>
      <c r="P188" s="131"/>
      <c r="Q188" s="131"/>
      <c r="R188" s="131"/>
      <c r="S188" s="131"/>
      <c r="T188" s="131"/>
      <c r="U188" s="131"/>
      <c r="V188" s="131"/>
      <c r="W188" s="131"/>
      <c r="X188" s="131"/>
      <c r="Y188" s="131"/>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9"/>
      <c r="BF188" s="69"/>
      <c r="BG188" s="69"/>
      <c r="BH188" s="69"/>
      <c r="BI188" s="69"/>
      <c r="BJ188" s="69"/>
      <c r="BK188" s="114"/>
      <c r="BL188" s="114"/>
      <c r="BM188" s="114"/>
      <c r="BN188" s="69"/>
      <c r="BO188" s="114"/>
      <c r="BP188" s="114"/>
      <c r="BQ188" s="114"/>
      <c r="BR188" s="114"/>
      <c r="BS188" s="67"/>
      <c r="BT188" s="114"/>
      <c r="BU188" s="114"/>
      <c r="BV188" s="114"/>
      <c r="BW188" s="114"/>
      <c r="BX188" s="67"/>
      <c r="BY188" s="67"/>
      <c r="BZ188" s="67"/>
      <c r="CA188" s="67"/>
      <c r="CB188" s="67"/>
      <c r="CC188" s="75" t="e">
        <f>CC185/BX185-1</f>
        <v>#DIV/0!</v>
      </c>
      <c r="CD188" s="67"/>
      <c r="CE188" s="67"/>
      <c r="CF188" s="67"/>
      <c r="CG188" s="67"/>
      <c r="CH188" s="75"/>
      <c r="CI188" s="76">
        <f t="shared" ref="CI188:CL189" si="181">CI185/CD185-1</f>
        <v>0.48979591836734704</v>
      </c>
      <c r="CJ188" s="76">
        <f t="shared" si="181"/>
        <v>0.60317460317460325</v>
      </c>
      <c r="CK188" s="76">
        <f t="shared" si="181"/>
        <v>0.42372881355932202</v>
      </c>
      <c r="CL188" s="76">
        <f t="shared" si="181"/>
        <v>0.64814814814814814</v>
      </c>
      <c r="CM188" s="119"/>
      <c r="CN188" s="119">
        <f t="shared" ref="CN188:CX189" si="182">CN185/CI185-1</f>
        <v>0.28767123287671237</v>
      </c>
      <c r="CO188" s="119">
        <f t="shared" si="182"/>
        <v>-8.9108910891089077E-2</v>
      </c>
      <c r="CP188" s="119">
        <f t="shared" si="182"/>
        <v>0.15476190476190466</v>
      </c>
      <c r="CQ188" s="119">
        <f t="shared" si="182"/>
        <v>0.21348314606741581</v>
      </c>
      <c r="CR188" s="119"/>
      <c r="CS188" s="119">
        <f t="shared" si="182"/>
        <v>0.2978723404255319</v>
      </c>
      <c r="CT188" s="119">
        <f t="shared" si="182"/>
        <v>0.25</v>
      </c>
      <c r="CU188" s="119">
        <f t="shared" si="182"/>
        <v>0.14432989690721643</v>
      </c>
      <c r="CV188" s="119">
        <f t="shared" si="182"/>
        <v>-2.777777777777779E-2</v>
      </c>
      <c r="CW188" s="90">
        <f>CW185/CR185-1</f>
        <v>0.15856777493606145</v>
      </c>
      <c r="CX188" s="119">
        <f t="shared" si="182"/>
        <v>-8.1967213114754078E-2</v>
      </c>
      <c r="CY188" s="119"/>
      <c r="CZ188" s="119"/>
      <c r="DA188" s="119"/>
      <c r="DB188" s="90"/>
      <c r="DC188" s="90"/>
      <c r="DD188" s="90"/>
      <c r="DE188" s="90"/>
      <c r="DF188" s="90"/>
      <c r="DG188" s="119"/>
      <c r="DH188" s="119"/>
      <c r="DI188" s="119"/>
      <c r="DJ188" s="119"/>
      <c r="DK188" s="119"/>
      <c r="DL188" s="203"/>
      <c r="DM188" s="203"/>
      <c r="DN188" s="203"/>
      <c r="DO188" s="203"/>
      <c r="DP188" s="203"/>
    </row>
    <row r="189" spans="1:120" x14ac:dyDescent="0.2">
      <c r="A189" s="78" t="s">
        <v>56</v>
      </c>
      <c r="B189" s="79"/>
      <c r="C189" s="79"/>
      <c r="D189" s="79"/>
      <c r="E189" s="79"/>
      <c r="F189" s="79"/>
      <c r="G189" s="83"/>
      <c r="H189" s="83"/>
      <c r="I189" s="83"/>
      <c r="J189" s="83"/>
      <c r="K189" s="130"/>
      <c r="L189" s="130"/>
      <c r="M189" s="130"/>
      <c r="N189" s="130"/>
      <c r="O189" s="130"/>
      <c r="P189" s="130"/>
      <c r="Q189" s="130"/>
      <c r="R189" s="130"/>
      <c r="S189" s="130"/>
      <c r="T189" s="130"/>
      <c r="U189" s="130"/>
      <c r="V189" s="130"/>
      <c r="W189" s="130"/>
      <c r="X189" s="130"/>
      <c r="Y189" s="130"/>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0"/>
      <c r="BF189" s="80"/>
      <c r="BG189" s="80"/>
      <c r="BH189" s="80"/>
      <c r="BI189" s="80"/>
      <c r="BJ189" s="80"/>
      <c r="BK189" s="91"/>
      <c r="BL189" s="91"/>
      <c r="BM189" s="91"/>
      <c r="BN189" s="80"/>
      <c r="BO189" s="91"/>
      <c r="BP189" s="91"/>
      <c r="BQ189" s="91"/>
      <c r="BR189" s="91"/>
      <c r="BS189" s="83"/>
      <c r="BT189" s="91"/>
      <c r="BU189" s="91"/>
      <c r="BV189" s="91"/>
      <c r="BW189" s="91"/>
      <c r="BX189" s="83"/>
      <c r="BY189" s="83"/>
      <c r="BZ189" s="83"/>
      <c r="CA189" s="83"/>
      <c r="CB189" s="83"/>
      <c r="CC189" s="83" t="e">
        <f>CC186/BX186-1</f>
        <v>#DIV/0!</v>
      </c>
      <c r="CD189" s="83"/>
      <c r="CE189" s="83"/>
      <c r="CF189" s="83"/>
      <c r="CG189" s="83"/>
      <c r="CH189" s="83"/>
      <c r="CI189" s="83">
        <f t="shared" si="181"/>
        <v>0.48979591836734704</v>
      </c>
      <c r="CJ189" s="83">
        <f t="shared" si="181"/>
        <v>0.60317460317460325</v>
      </c>
      <c r="CK189" s="83">
        <f t="shared" si="181"/>
        <v>0.42372881355932202</v>
      </c>
      <c r="CL189" s="83">
        <f t="shared" si="181"/>
        <v>0.64814814814814814</v>
      </c>
      <c r="CM189" s="83"/>
      <c r="CN189" s="83">
        <f t="shared" si="182"/>
        <v>0.28767123287671237</v>
      </c>
      <c r="CO189" s="83">
        <f t="shared" si="182"/>
        <v>-8.9108910891089077E-2</v>
      </c>
      <c r="CP189" s="83">
        <f t="shared" si="182"/>
        <v>0.15476190476190466</v>
      </c>
      <c r="CQ189" s="83">
        <f t="shared" si="182"/>
        <v>0.21348314606741581</v>
      </c>
      <c r="CR189" s="83"/>
      <c r="CS189" s="83">
        <f t="shared" si="182"/>
        <v>0.2978723404255319</v>
      </c>
      <c r="CT189" s="83">
        <f t="shared" si="182"/>
        <v>0.25</v>
      </c>
      <c r="CU189" s="83">
        <f t="shared" si="182"/>
        <v>0.14432989690721643</v>
      </c>
      <c r="CV189" s="83">
        <f t="shared" si="182"/>
        <v>-2.777777777777779E-2</v>
      </c>
      <c r="CW189" s="83">
        <f>CW186/CR186-1</f>
        <v>0.15856777493606145</v>
      </c>
      <c r="CX189" s="83">
        <f>CX186/CS186-1</f>
        <v>-8.1967213114754078E-2</v>
      </c>
      <c r="CY189" s="83"/>
      <c r="CZ189" s="83"/>
      <c r="DA189" s="83"/>
      <c r="DB189" s="83"/>
      <c r="DC189" s="83"/>
      <c r="DD189" s="83"/>
      <c r="DE189" s="83"/>
      <c r="DF189" s="83"/>
      <c r="DG189" s="83"/>
      <c r="DH189" s="83"/>
      <c r="DI189" s="83"/>
      <c r="DJ189" s="83"/>
      <c r="DK189" s="83"/>
      <c r="DL189" s="193"/>
      <c r="DM189" s="193"/>
      <c r="DN189" s="193"/>
      <c r="DO189" s="193"/>
      <c r="DP189" s="193"/>
    </row>
    <row r="190" spans="1:120" x14ac:dyDescent="0.2">
      <c r="A190" s="68" t="s">
        <v>152</v>
      </c>
      <c r="B190" s="31"/>
      <c r="C190" s="31"/>
      <c r="D190" s="31"/>
      <c r="E190" s="31"/>
      <c r="F190" s="31"/>
      <c r="G190" s="67"/>
      <c r="H190" s="67"/>
      <c r="I190" s="67"/>
      <c r="J190" s="67"/>
      <c r="K190" s="131"/>
      <c r="L190" s="131"/>
      <c r="M190" s="131"/>
      <c r="N190" s="131"/>
      <c r="O190" s="131"/>
      <c r="P190" s="131"/>
      <c r="Q190" s="131"/>
      <c r="R190" s="131"/>
      <c r="S190" s="131"/>
      <c r="T190" s="131"/>
      <c r="U190" s="131"/>
      <c r="V190" s="131"/>
      <c r="W190" s="131"/>
      <c r="X190" s="131"/>
      <c r="Y190" s="131"/>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9"/>
      <c r="BF190" s="69"/>
      <c r="BG190" s="69"/>
      <c r="BH190" s="69"/>
      <c r="BI190" s="69"/>
      <c r="BJ190" s="69"/>
      <c r="BK190" s="114"/>
      <c r="BL190" s="114"/>
      <c r="BM190" s="114"/>
      <c r="BN190" s="69"/>
      <c r="BO190" s="114"/>
      <c r="BP190" s="114"/>
      <c r="BQ190" s="114"/>
      <c r="BR190" s="114"/>
      <c r="BS190" s="67"/>
      <c r="BT190" s="114"/>
      <c r="BU190" s="114"/>
      <c r="BV190" s="114"/>
      <c r="BW190" s="114"/>
      <c r="BX190" s="67"/>
      <c r="BY190" s="67"/>
      <c r="BZ190" s="67"/>
      <c r="CA190" s="67"/>
      <c r="CB190" s="67"/>
      <c r="CC190" s="67"/>
      <c r="CD190" s="36">
        <v>0</v>
      </c>
      <c r="CE190" s="36">
        <v>0</v>
      </c>
      <c r="CF190" s="36">
        <v>0</v>
      </c>
      <c r="CG190" s="36">
        <v>0</v>
      </c>
      <c r="CH190" s="36">
        <f>SUM(CD190:CG190)</f>
        <v>0</v>
      </c>
      <c r="CI190" s="36">
        <v>0</v>
      </c>
      <c r="CJ190" s="36">
        <v>0</v>
      </c>
      <c r="CK190" s="128">
        <v>0</v>
      </c>
      <c r="CL190" s="128">
        <v>0</v>
      </c>
      <c r="CM190" s="128">
        <f>SUM(CI190:CL190)</f>
        <v>0</v>
      </c>
      <c r="CN190" s="128"/>
      <c r="CO190" s="128"/>
      <c r="CP190" s="128"/>
      <c r="CQ190" s="128"/>
      <c r="CR190" s="128"/>
      <c r="CS190" s="36">
        <v>49</v>
      </c>
      <c r="CT190" s="36">
        <v>73</v>
      </c>
      <c r="CU190" s="36">
        <v>78</v>
      </c>
      <c r="CV190" s="36">
        <v>58</v>
      </c>
      <c r="CW190" s="72">
        <f>SUM(CS190:CV190)</f>
        <v>258</v>
      </c>
      <c r="CX190" s="36">
        <v>68</v>
      </c>
      <c r="CY190" s="36">
        <f>81+0</f>
        <v>81</v>
      </c>
      <c r="CZ190" s="36">
        <f>73+0</f>
        <v>73</v>
      </c>
      <c r="DA190" s="36">
        <f>90+0</f>
        <v>90</v>
      </c>
      <c r="DB190" s="72">
        <f>SUM(CX190:DA190)</f>
        <v>312</v>
      </c>
      <c r="DC190" s="72">
        <v>71</v>
      </c>
      <c r="DD190" s="72">
        <v>88</v>
      </c>
      <c r="DE190" s="72">
        <v>85</v>
      </c>
      <c r="DF190" s="72">
        <v>85</v>
      </c>
      <c r="DG190" s="128">
        <f>SUM(DC190:DF190)</f>
        <v>329</v>
      </c>
      <c r="DH190" s="128">
        <f t="shared" ref="DH190:DK191" si="183">DC190*(1+DH193)</f>
        <v>74.55</v>
      </c>
      <c r="DI190" s="128">
        <f t="shared" si="183"/>
        <v>92.4</v>
      </c>
      <c r="DJ190" s="128">
        <f t="shared" si="183"/>
        <v>89.25</v>
      </c>
      <c r="DK190" s="128">
        <f t="shared" si="183"/>
        <v>89.25</v>
      </c>
      <c r="DL190" s="201">
        <f>SUM(DH190:DK190)</f>
        <v>345.45</v>
      </c>
      <c r="DM190" s="201">
        <f t="shared" ref="DM190:DP191" si="184">DL190*(1+DM193)</f>
        <v>362.72250000000003</v>
      </c>
      <c r="DN190" s="201">
        <f t="shared" si="184"/>
        <v>380.85862500000002</v>
      </c>
      <c r="DO190" s="201">
        <f t="shared" si="184"/>
        <v>392.28438375000002</v>
      </c>
      <c r="DP190" s="201">
        <f t="shared" si="184"/>
        <v>404.05291526250005</v>
      </c>
    </row>
    <row r="191" spans="1:120" x14ac:dyDescent="0.2">
      <c r="A191" s="68" t="s">
        <v>153</v>
      </c>
      <c r="B191" s="31"/>
      <c r="C191" s="31"/>
      <c r="D191" s="31"/>
      <c r="E191" s="31"/>
      <c r="F191" s="31"/>
      <c r="G191" s="67"/>
      <c r="H191" s="67"/>
      <c r="I191" s="67"/>
      <c r="J191" s="67"/>
      <c r="K191" s="131"/>
      <c r="L191" s="131"/>
      <c r="M191" s="131"/>
      <c r="N191" s="131"/>
      <c r="O191" s="131"/>
      <c r="P191" s="131"/>
      <c r="Q191" s="131"/>
      <c r="R191" s="131"/>
      <c r="S191" s="131"/>
      <c r="T191" s="131"/>
      <c r="U191" s="131"/>
      <c r="V191" s="131"/>
      <c r="W191" s="131"/>
      <c r="X191" s="131"/>
      <c r="Y191" s="131"/>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9"/>
      <c r="BF191" s="69"/>
      <c r="BG191" s="69"/>
      <c r="BH191" s="69"/>
      <c r="BI191" s="69"/>
      <c r="BJ191" s="69"/>
      <c r="BK191" s="114"/>
      <c r="BL191" s="114"/>
      <c r="BM191" s="114"/>
      <c r="BN191" s="69"/>
      <c r="BO191" s="114"/>
      <c r="BP191" s="114"/>
      <c r="BQ191" s="114"/>
      <c r="BR191" s="114"/>
      <c r="BS191" s="67"/>
      <c r="BT191" s="114"/>
      <c r="BU191" s="114"/>
      <c r="BV191" s="114"/>
      <c r="BW191" s="114"/>
      <c r="BX191" s="67"/>
      <c r="BY191" s="67"/>
      <c r="BZ191" s="67"/>
      <c r="CA191" s="67"/>
      <c r="CB191" s="67"/>
      <c r="CC191" s="67"/>
      <c r="CD191" s="36">
        <v>84</v>
      </c>
      <c r="CE191" s="36">
        <v>67</v>
      </c>
      <c r="CF191" s="36">
        <v>70</v>
      </c>
      <c r="CG191" s="36">
        <v>79</v>
      </c>
      <c r="CH191" s="36">
        <f>SUM(CD191:CG191)</f>
        <v>300</v>
      </c>
      <c r="CI191" s="36">
        <v>68</v>
      </c>
      <c r="CJ191" s="36">
        <v>75</v>
      </c>
      <c r="CK191" s="128">
        <v>94</v>
      </c>
      <c r="CL191" s="128">
        <v>91</v>
      </c>
      <c r="CM191" s="128">
        <f>SUM(CI191:CL191)</f>
        <v>328</v>
      </c>
      <c r="CN191" s="128">
        <v>90</v>
      </c>
      <c r="CO191" s="128">
        <v>104</v>
      </c>
      <c r="CP191" s="128">
        <v>107</v>
      </c>
      <c r="CQ191" s="128">
        <v>117</v>
      </c>
      <c r="CR191" s="128">
        <f>SUM(CN191:CQ191)</f>
        <v>418</v>
      </c>
      <c r="CS191" s="36">
        <v>56</v>
      </c>
      <c r="CT191" s="36">
        <f>6+57</f>
        <v>63</v>
      </c>
      <c r="CU191" s="36">
        <f>55+5</f>
        <v>60</v>
      </c>
      <c r="CV191" s="36">
        <v>60</v>
      </c>
      <c r="CW191" s="72">
        <f>SUM(CS191:CV191)</f>
        <v>239</v>
      </c>
      <c r="CX191" s="36">
        <f>6+55</f>
        <v>61</v>
      </c>
      <c r="CY191" s="36">
        <f>-7+74</f>
        <v>67</v>
      </c>
      <c r="CZ191" s="36">
        <f>27+59</f>
        <v>86</v>
      </c>
      <c r="DA191" s="36">
        <f>4+63</f>
        <v>67</v>
      </c>
      <c r="DB191" s="72">
        <f>SUM(CX191:DA191)</f>
        <v>281</v>
      </c>
      <c r="DC191" s="72">
        <f>61+1</f>
        <v>62</v>
      </c>
      <c r="DD191" s="72">
        <f>10+63</f>
        <v>73</v>
      </c>
      <c r="DE191" s="72">
        <f>3+57</f>
        <v>60</v>
      </c>
      <c r="DF191" s="72">
        <f>-2+57</f>
        <v>55</v>
      </c>
      <c r="DG191" s="128">
        <f>SUM(DC191:DF191)</f>
        <v>250</v>
      </c>
      <c r="DH191" s="128">
        <f t="shared" si="183"/>
        <v>66.960000000000008</v>
      </c>
      <c r="DI191" s="128">
        <f t="shared" si="183"/>
        <v>78.84</v>
      </c>
      <c r="DJ191" s="128">
        <f t="shared" si="183"/>
        <v>64.800000000000011</v>
      </c>
      <c r="DK191" s="128">
        <f t="shared" si="183"/>
        <v>59.400000000000006</v>
      </c>
      <c r="DL191" s="201">
        <f>SUM(DH191:DK191)</f>
        <v>270</v>
      </c>
      <c r="DM191" s="201">
        <f t="shared" si="184"/>
        <v>291.60000000000002</v>
      </c>
      <c r="DN191" s="201">
        <f t="shared" si="184"/>
        <v>314.92800000000005</v>
      </c>
      <c r="DO191" s="201">
        <f t="shared" si="184"/>
        <v>330.67440000000005</v>
      </c>
      <c r="DP191" s="201">
        <f t="shared" si="184"/>
        <v>340.59463200000005</v>
      </c>
    </row>
    <row r="192" spans="1:120" x14ac:dyDescent="0.2">
      <c r="A192" s="132" t="s">
        <v>154</v>
      </c>
      <c r="B192" s="31"/>
      <c r="C192" s="31"/>
      <c r="D192" s="31"/>
      <c r="E192" s="31"/>
      <c r="F192" s="31"/>
      <c r="G192" s="67"/>
      <c r="H192" s="67"/>
      <c r="I192" s="67"/>
      <c r="J192" s="67"/>
      <c r="K192" s="131"/>
      <c r="L192" s="131"/>
      <c r="M192" s="131"/>
      <c r="N192" s="131"/>
      <c r="O192" s="131"/>
      <c r="P192" s="131"/>
      <c r="Q192" s="131"/>
      <c r="R192" s="131"/>
      <c r="S192" s="131"/>
      <c r="T192" s="131"/>
      <c r="U192" s="131"/>
      <c r="V192" s="131"/>
      <c r="W192" s="131"/>
      <c r="X192" s="131"/>
      <c r="Y192" s="131"/>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7"/>
      <c r="BC192" s="67"/>
      <c r="BD192" s="67"/>
      <c r="BE192" s="69"/>
      <c r="BF192" s="69"/>
      <c r="BG192" s="69"/>
      <c r="BH192" s="69"/>
      <c r="BI192" s="69"/>
      <c r="BJ192" s="69"/>
      <c r="BK192" s="114"/>
      <c r="BL192" s="114"/>
      <c r="BM192" s="114"/>
      <c r="BN192" s="69"/>
      <c r="BO192" s="114"/>
      <c r="BP192" s="114"/>
      <c r="BQ192" s="114"/>
      <c r="BR192" s="114"/>
      <c r="BS192" s="67"/>
      <c r="BT192" s="114"/>
      <c r="BU192" s="114"/>
      <c r="BV192" s="114"/>
      <c r="BW192" s="114"/>
      <c r="BX192" s="67"/>
      <c r="BY192" s="67"/>
      <c r="BZ192" s="67"/>
      <c r="CA192" s="67"/>
      <c r="CB192" s="67"/>
      <c r="CC192" s="67"/>
      <c r="CD192" s="74">
        <f t="shared" ref="CD192:CV192" si="185">CD191+CD190</f>
        <v>84</v>
      </c>
      <c r="CE192" s="74">
        <f t="shared" si="185"/>
        <v>67</v>
      </c>
      <c r="CF192" s="74">
        <f t="shared" si="185"/>
        <v>70</v>
      </c>
      <c r="CG192" s="74">
        <f t="shared" si="185"/>
        <v>79</v>
      </c>
      <c r="CH192" s="74">
        <f t="shared" si="185"/>
        <v>300</v>
      </c>
      <c r="CI192" s="74">
        <f t="shared" si="185"/>
        <v>68</v>
      </c>
      <c r="CJ192" s="74">
        <f t="shared" si="185"/>
        <v>75</v>
      </c>
      <c r="CK192" s="129">
        <f t="shared" si="185"/>
        <v>94</v>
      </c>
      <c r="CL192" s="129">
        <f t="shared" si="185"/>
        <v>91</v>
      </c>
      <c r="CM192" s="129">
        <f t="shared" si="185"/>
        <v>328</v>
      </c>
      <c r="CN192" s="129">
        <f t="shared" si="185"/>
        <v>90</v>
      </c>
      <c r="CO192" s="129">
        <f t="shared" si="185"/>
        <v>104</v>
      </c>
      <c r="CP192" s="129">
        <f t="shared" si="185"/>
        <v>107</v>
      </c>
      <c r="CQ192" s="129">
        <f t="shared" si="185"/>
        <v>117</v>
      </c>
      <c r="CR192" s="129">
        <f t="shared" si="185"/>
        <v>418</v>
      </c>
      <c r="CS192" s="39">
        <f t="shared" si="185"/>
        <v>105</v>
      </c>
      <c r="CT192" s="39">
        <f t="shared" si="185"/>
        <v>136</v>
      </c>
      <c r="CU192" s="39">
        <f t="shared" si="185"/>
        <v>138</v>
      </c>
      <c r="CV192" s="39">
        <f t="shared" si="185"/>
        <v>118</v>
      </c>
      <c r="CW192" s="74">
        <f>SUM(CS192:CV192)</f>
        <v>497</v>
      </c>
      <c r="CX192" s="39">
        <f>SUM(CX190:CX191)</f>
        <v>129</v>
      </c>
      <c r="CY192" s="39">
        <f>SUM(CY190:CY191)</f>
        <v>148</v>
      </c>
      <c r="CZ192" s="39">
        <f>SUM(CZ190:CZ191)</f>
        <v>159</v>
      </c>
      <c r="DA192" s="39">
        <f>SUM(DA190:DA191)</f>
        <v>157</v>
      </c>
      <c r="DB192" s="74">
        <f>SUM(CX192:DA192)</f>
        <v>593</v>
      </c>
      <c r="DC192" s="74">
        <f>DC191+DC190</f>
        <v>133</v>
      </c>
      <c r="DD192" s="74">
        <f>DD191+DD190</f>
        <v>161</v>
      </c>
      <c r="DE192" s="74">
        <f>DE191+DE190</f>
        <v>145</v>
      </c>
      <c r="DF192" s="74">
        <f>DF191+DF190</f>
        <v>140</v>
      </c>
      <c r="DG192" s="129">
        <f>SUM(DC192:DF192)</f>
        <v>579</v>
      </c>
      <c r="DH192" s="129">
        <f>DH191+DH190</f>
        <v>141.51</v>
      </c>
      <c r="DI192" s="129">
        <f>DI191+DI190</f>
        <v>171.24</v>
      </c>
      <c r="DJ192" s="129">
        <f>DJ191+DJ190</f>
        <v>154.05000000000001</v>
      </c>
      <c r="DK192" s="129">
        <f>DK191+DK190</f>
        <v>148.65</v>
      </c>
      <c r="DL192" s="202">
        <f>SUM(DH192:DK192)</f>
        <v>615.45000000000005</v>
      </c>
      <c r="DM192" s="202">
        <f t="shared" ref="DM192:DP192" si="186">DM191+DM190</f>
        <v>654.32249999999999</v>
      </c>
      <c r="DN192" s="202">
        <f t="shared" si="186"/>
        <v>695.78662500000007</v>
      </c>
      <c r="DO192" s="202">
        <f t="shared" si="186"/>
        <v>722.95878375000007</v>
      </c>
      <c r="DP192" s="202">
        <f t="shared" si="186"/>
        <v>744.6475472625001</v>
      </c>
    </row>
    <row r="193" spans="1:120" x14ac:dyDescent="0.2">
      <c r="A193" s="68" t="s">
        <v>54</v>
      </c>
      <c r="B193" s="31"/>
      <c r="C193" s="31"/>
      <c r="D193" s="31"/>
      <c r="E193" s="31"/>
      <c r="F193" s="31"/>
      <c r="G193" s="67"/>
      <c r="H193" s="67"/>
      <c r="I193" s="67"/>
      <c r="J193" s="67"/>
      <c r="K193" s="131"/>
      <c r="L193" s="131"/>
      <c r="M193" s="131"/>
      <c r="N193" s="131"/>
      <c r="O193" s="131"/>
      <c r="P193" s="131"/>
      <c r="Q193" s="131"/>
      <c r="R193" s="131"/>
      <c r="S193" s="131"/>
      <c r="T193" s="131"/>
      <c r="U193" s="131"/>
      <c r="V193" s="131"/>
      <c r="W193" s="131"/>
      <c r="X193" s="131"/>
      <c r="Y193" s="131"/>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7"/>
      <c r="BE193" s="69"/>
      <c r="BF193" s="69"/>
      <c r="BG193" s="69"/>
      <c r="BH193" s="69"/>
      <c r="BI193" s="69"/>
      <c r="BJ193" s="69"/>
      <c r="BK193" s="114"/>
      <c r="BL193" s="114"/>
      <c r="BM193" s="114"/>
      <c r="BN193" s="69"/>
      <c r="BO193" s="114"/>
      <c r="BP193" s="114"/>
      <c r="BQ193" s="114"/>
      <c r="BR193" s="114"/>
      <c r="BS193" s="67"/>
      <c r="BT193" s="114"/>
      <c r="BU193" s="114"/>
      <c r="BV193" s="114"/>
      <c r="BW193" s="114"/>
      <c r="BX193" s="67"/>
      <c r="BY193" s="67"/>
      <c r="BZ193" s="67"/>
      <c r="CA193" s="67"/>
      <c r="CB193" s="67"/>
      <c r="CC193" s="75" t="e">
        <f>CC190/BX190-1</f>
        <v>#DIV/0!</v>
      </c>
      <c r="CD193" s="67"/>
      <c r="CE193" s="67"/>
      <c r="CF193" s="67"/>
      <c r="CG193" s="67"/>
      <c r="CH193" s="75"/>
      <c r="CI193" s="76"/>
      <c r="CJ193" s="76"/>
      <c r="CK193" s="119"/>
      <c r="CL193" s="119"/>
      <c r="CM193" s="119"/>
      <c r="CN193" s="119"/>
      <c r="CO193" s="119"/>
      <c r="CP193" s="119"/>
      <c r="CQ193" s="119"/>
      <c r="CR193" s="119"/>
      <c r="CS193" s="119"/>
      <c r="CT193" s="119"/>
      <c r="CU193" s="119"/>
      <c r="CV193" s="119"/>
      <c r="CW193" s="90"/>
      <c r="CX193" s="119">
        <f t="shared" ref="CM193:DF195" si="187">CX190/CS190-1</f>
        <v>0.38775510204081631</v>
      </c>
      <c r="CY193" s="119">
        <f t="shared" si="187"/>
        <v>0.1095890410958904</v>
      </c>
      <c r="CZ193" s="119">
        <f t="shared" si="187"/>
        <v>-6.4102564102564097E-2</v>
      </c>
      <c r="DA193" s="119">
        <f t="shared" si="187"/>
        <v>0.55172413793103448</v>
      </c>
      <c r="DB193" s="90">
        <f>DB190/CW190-1</f>
        <v>0.20930232558139528</v>
      </c>
      <c r="DC193" s="119">
        <f t="shared" si="187"/>
        <v>4.4117647058823595E-2</v>
      </c>
      <c r="DD193" s="119">
        <f t="shared" si="187"/>
        <v>8.6419753086419693E-2</v>
      </c>
      <c r="DE193" s="119">
        <f t="shared" si="187"/>
        <v>0.16438356164383561</v>
      </c>
      <c r="DF193" s="119">
        <f t="shared" si="187"/>
        <v>-5.555555555555558E-2</v>
      </c>
      <c r="DG193" s="119">
        <f>DG190/DB190-1</f>
        <v>5.4487179487179516E-2</v>
      </c>
      <c r="DH193" s="119">
        <v>0.05</v>
      </c>
      <c r="DI193" s="119">
        <v>0.05</v>
      </c>
      <c r="DJ193" s="119">
        <v>0.05</v>
      </c>
      <c r="DK193" s="119">
        <v>0.05</v>
      </c>
      <c r="DL193" s="203">
        <f>DL190/DG190-1</f>
        <v>5.0000000000000044E-2</v>
      </c>
      <c r="DM193" s="203">
        <v>0.05</v>
      </c>
      <c r="DN193" s="203">
        <v>0.05</v>
      </c>
      <c r="DO193" s="203">
        <v>0.03</v>
      </c>
      <c r="DP193" s="203">
        <v>0.03</v>
      </c>
    </row>
    <row r="194" spans="1:120" x14ac:dyDescent="0.2">
      <c r="A194" s="68" t="s">
        <v>55</v>
      </c>
      <c r="B194" s="31"/>
      <c r="C194" s="31"/>
      <c r="D194" s="31"/>
      <c r="E194" s="31"/>
      <c r="F194" s="31"/>
      <c r="G194" s="67"/>
      <c r="H194" s="67"/>
      <c r="I194" s="67"/>
      <c r="J194" s="67"/>
      <c r="K194" s="131"/>
      <c r="L194" s="131"/>
      <c r="M194" s="131"/>
      <c r="N194" s="131"/>
      <c r="O194" s="131"/>
      <c r="P194" s="131"/>
      <c r="Q194" s="131"/>
      <c r="R194" s="131"/>
      <c r="S194" s="131"/>
      <c r="T194" s="131"/>
      <c r="U194" s="131"/>
      <c r="V194" s="131"/>
      <c r="W194" s="131"/>
      <c r="X194" s="131"/>
      <c r="Y194" s="131"/>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9"/>
      <c r="BF194" s="69"/>
      <c r="BG194" s="69"/>
      <c r="BH194" s="69"/>
      <c r="BI194" s="69"/>
      <c r="BJ194" s="69"/>
      <c r="BK194" s="114"/>
      <c r="BL194" s="114"/>
      <c r="BM194" s="114"/>
      <c r="BN194" s="69"/>
      <c r="BO194" s="114"/>
      <c r="BP194" s="114"/>
      <c r="BQ194" s="114"/>
      <c r="BR194" s="114"/>
      <c r="BS194" s="67"/>
      <c r="BT194" s="114"/>
      <c r="BU194" s="114"/>
      <c r="BV194" s="114"/>
      <c r="BW194" s="114"/>
      <c r="BX194" s="67"/>
      <c r="BY194" s="67"/>
      <c r="BZ194" s="67"/>
      <c r="CA194" s="67"/>
      <c r="CB194" s="67"/>
      <c r="CC194" s="133" t="e">
        <f>CC191/BX191-1</f>
        <v>#DIV/0!</v>
      </c>
      <c r="CD194" s="67"/>
      <c r="CE194" s="67"/>
      <c r="CF194" s="67"/>
      <c r="CG194" s="67"/>
      <c r="CH194" s="75"/>
      <c r="CI194" s="76">
        <f t="shared" ref="CI194:CL195" si="188">CI191/CD191-1</f>
        <v>-0.19047619047619047</v>
      </c>
      <c r="CJ194" s="76">
        <f t="shared" si="188"/>
        <v>0.11940298507462677</v>
      </c>
      <c r="CK194" s="76">
        <f t="shared" si="188"/>
        <v>0.34285714285714275</v>
      </c>
      <c r="CL194" s="76">
        <f t="shared" si="188"/>
        <v>0.15189873417721511</v>
      </c>
      <c r="CM194" s="119">
        <f t="shared" si="187"/>
        <v>9.3333333333333268E-2</v>
      </c>
      <c r="CN194" s="119">
        <f t="shared" si="187"/>
        <v>0.32352941176470584</v>
      </c>
      <c r="CO194" s="119">
        <f t="shared" si="187"/>
        <v>0.38666666666666671</v>
      </c>
      <c r="CP194" s="119">
        <f t="shared" si="187"/>
        <v>0.13829787234042556</v>
      </c>
      <c r="CQ194" s="119">
        <f t="shared" si="187"/>
        <v>0.28571428571428581</v>
      </c>
      <c r="CR194" s="119">
        <f>CR191/CM191-1</f>
        <v>0.27439024390243905</v>
      </c>
      <c r="CS194" s="119">
        <f t="shared" si="187"/>
        <v>-0.37777777777777777</v>
      </c>
      <c r="CT194" s="119">
        <f t="shared" si="187"/>
        <v>-0.39423076923076927</v>
      </c>
      <c r="CU194" s="119">
        <f t="shared" si="187"/>
        <v>-0.43925233644859818</v>
      </c>
      <c r="CV194" s="119">
        <f t="shared" si="187"/>
        <v>-0.48717948717948723</v>
      </c>
      <c r="CW194" s="90">
        <f>CW191/CR191-1</f>
        <v>-0.42822966507177029</v>
      </c>
      <c r="CX194" s="119">
        <f t="shared" si="187"/>
        <v>8.9285714285714191E-2</v>
      </c>
      <c r="CY194" s="119">
        <f t="shared" si="187"/>
        <v>6.3492063492063489E-2</v>
      </c>
      <c r="CZ194" s="119">
        <f t="shared" si="187"/>
        <v>0.43333333333333335</v>
      </c>
      <c r="DA194" s="119">
        <f t="shared" si="187"/>
        <v>0.1166666666666667</v>
      </c>
      <c r="DB194" s="90">
        <f>DB191/CW191-1</f>
        <v>0.17573221757322166</v>
      </c>
      <c r="DC194" s="119">
        <f t="shared" si="187"/>
        <v>1.6393442622950838E-2</v>
      </c>
      <c r="DD194" s="119">
        <f t="shared" si="187"/>
        <v>8.9552238805970186E-2</v>
      </c>
      <c r="DE194" s="119">
        <f t="shared" si="187"/>
        <v>-0.30232558139534882</v>
      </c>
      <c r="DF194" s="119">
        <f t="shared" si="187"/>
        <v>-0.17910447761194026</v>
      </c>
      <c r="DG194" s="119">
        <f>DG191/DB191-1</f>
        <v>-0.11032028469750887</v>
      </c>
      <c r="DH194" s="119">
        <v>0.08</v>
      </c>
      <c r="DI194" s="119">
        <v>0.08</v>
      </c>
      <c r="DJ194" s="119">
        <v>0.08</v>
      </c>
      <c r="DK194" s="119">
        <v>0.08</v>
      </c>
      <c r="DL194" s="203">
        <f>DL191/DG191-1</f>
        <v>8.0000000000000071E-2</v>
      </c>
      <c r="DM194" s="203">
        <v>0.08</v>
      </c>
      <c r="DN194" s="203">
        <v>0.08</v>
      </c>
      <c r="DO194" s="203">
        <v>0.05</v>
      </c>
      <c r="DP194" s="203">
        <v>0.03</v>
      </c>
    </row>
    <row r="195" spans="1:120" x14ac:dyDescent="0.2">
      <c r="A195" s="78" t="s">
        <v>56</v>
      </c>
      <c r="B195" s="79"/>
      <c r="C195" s="79"/>
      <c r="D195" s="79"/>
      <c r="E195" s="79"/>
      <c r="F195" s="79"/>
      <c r="G195" s="83"/>
      <c r="H195" s="83"/>
      <c r="I195" s="83"/>
      <c r="J195" s="83"/>
      <c r="K195" s="130"/>
      <c r="L195" s="130"/>
      <c r="M195" s="130"/>
      <c r="N195" s="130"/>
      <c r="O195" s="130"/>
      <c r="P195" s="130"/>
      <c r="Q195" s="130"/>
      <c r="R195" s="130"/>
      <c r="S195" s="130"/>
      <c r="T195" s="130"/>
      <c r="U195" s="130"/>
      <c r="V195" s="130"/>
      <c r="W195" s="130"/>
      <c r="X195" s="130"/>
      <c r="Y195" s="130"/>
      <c r="Z195" s="83"/>
      <c r="AA195" s="83"/>
      <c r="AB195" s="83"/>
      <c r="AC195" s="83"/>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0"/>
      <c r="BF195" s="80"/>
      <c r="BG195" s="80"/>
      <c r="BH195" s="80"/>
      <c r="BI195" s="80"/>
      <c r="BJ195" s="80"/>
      <c r="BK195" s="91"/>
      <c r="BL195" s="91"/>
      <c r="BM195" s="91"/>
      <c r="BN195" s="80"/>
      <c r="BO195" s="91"/>
      <c r="BP195" s="91"/>
      <c r="BQ195" s="91"/>
      <c r="BR195" s="91"/>
      <c r="BS195" s="83"/>
      <c r="BT195" s="91"/>
      <c r="BU195" s="91"/>
      <c r="BV195" s="91"/>
      <c r="BW195" s="91"/>
      <c r="BX195" s="83"/>
      <c r="BY195" s="83"/>
      <c r="BZ195" s="83"/>
      <c r="CA195" s="83"/>
      <c r="CB195" s="83"/>
      <c r="CC195" s="83" t="e">
        <f>CC192/BX192-1</f>
        <v>#DIV/0!</v>
      </c>
      <c r="CD195" s="83"/>
      <c r="CE195" s="83"/>
      <c r="CF195" s="83"/>
      <c r="CG195" s="83"/>
      <c r="CH195" s="83"/>
      <c r="CI195" s="83">
        <f t="shared" si="188"/>
        <v>-0.19047619047619047</v>
      </c>
      <c r="CJ195" s="83">
        <f t="shared" si="188"/>
        <v>0.11940298507462677</v>
      </c>
      <c r="CK195" s="83">
        <f t="shared" si="188"/>
        <v>0.34285714285714275</v>
      </c>
      <c r="CL195" s="83">
        <f t="shared" si="188"/>
        <v>0.15189873417721511</v>
      </c>
      <c r="CM195" s="83">
        <f t="shared" si="187"/>
        <v>9.3333333333333268E-2</v>
      </c>
      <c r="CN195" s="83">
        <f t="shared" si="187"/>
        <v>0.32352941176470584</v>
      </c>
      <c r="CO195" s="83">
        <f t="shared" si="187"/>
        <v>0.38666666666666671</v>
      </c>
      <c r="CP195" s="83">
        <f t="shared" si="187"/>
        <v>0.13829787234042556</v>
      </c>
      <c r="CQ195" s="83">
        <f t="shared" si="187"/>
        <v>0.28571428571428581</v>
      </c>
      <c r="CR195" s="83">
        <f>CR192/CM192-1</f>
        <v>0.27439024390243905</v>
      </c>
      <c r="CS195" s="83">
        <f t="shared" si="187"/>
        <v>0.16666666666666674</v>
      </c>
      <c r="CT195" s="83">
        <f t="shared" si="187"/>
        <v>0.30769230769230771</v>
      </c>
      <c r="CU195" s="83">
        <f t="shared" si="187"/>
        <v>0.28971962616822422</v>
      </c>
      <c r="CV195" s="83">
        <f t="shared" si="187"/>
        <v>8.5470085470085166E-3</v>
      </c>
      <c r="CW195" s="83">
        <f>CW192/CR192-1</f>
        <v>0.18899521531100483</v>
      </c>
      <c r="CX195" s="83">
        <f>CX192/CS192-1</f>
        <v>0.22857142857142865</v>
      </c>
      <c r="CY195" s="83">
        <f>CY192/CT192-1</f>
        <v>8.8235294117646967E-2</v>
      </c>
      <c r="CZ195" s="83">
        <f>CZ192/CU192-1</f>
        <v>0.15217391304347827</v>
      </c>
      <c r="DA195" s="83">
        <f>DA192/CV192-1</f>
        <v>0.33050847457627119</v>
      </c>
      <c r="DB195" s="83">
        <f>DB192/CW192-1</f>
        <v>0.19315895372233394</v>
      </c>
      <c r="DC195" s="83">
        <f>DC192/CX192-1</f>
        <v>3.1007751937984551E-2</v>
      </c>
      <c r="DD195" s="83">
        <f>DD192/CY192-1</f>
        <v>8.783783783783794E-2</v>
      </c>
      <c r="DE195" s="83">
        <f>DE192/CZ192-1</f>
        <v>-8.8050314465408785E-2</v>
      </c>
      <c r="DF195" s="83">
        <f>DF192/DA192-1</f>
        <v>-0.10828025477707004</v>
      </c>
      <c r="DG195" s="83">
        <f>DG192/DB192-1</f>
        <v>-2.3608768971332239E-2</v>
      </c>
      <c r="DH195" s="83">
        <f>DH192/DC192-1</f>
        <v>6.3984962406014922E-2</v>
      </c>
      <c r="DI195" s="83">
        <f>DI192/DD192-1</f>
        <v>6.3602484472049747E-2</v>
      </c>
      <c r="DJ195" s="83">
        <f>DJ192/DE192-1</f>
        <v>6.2413793103448301E-2</v>
      </c>
      <c r="DK195" s="83">
        <f>DK192/DF192-1</f>
        <v>6.1785714285714333E-2</v>
      </c>
      <c r="DL195" s="193">
        <f>DL192/DG192-1</f>
        <v>6.2953367875647759E-2</v>
      </c>
      <c r="DM195" s="193">
        <f t="shared" ref="DM195:DP195" si="189">DM192/DL192-1</f>
        <v>6.3161101632951411E-2</v>
      </c>
      <c r="DN195" s="193">
        <f t="shared" si="189"/>
        <v>6.3369554004332862E-2</v>
      </c>
      <c r="DO195" s="193">
        <f t="shared" si="189"/>
        <v>3.9052430405657867E-2</v>
      </c>
      <c r="DP195" s="193">
        <f t="shared" si="189"/>
        <v>3.0000000000000027E-2</v>
      </c>
    </row>
    <row r="196" spans="1:120" x14ac:dyDescent="0.2">
      <c r="A196" s="66" t="s">
        <v>155</v>
      </c>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c r="BK196" s="67"/>
      <c r="BL196" s="67"/>
      <c r="BM196" s="67"/>
      <c r="BN196" s="67"/>
      <c r="BO196" s="67"/>
      <c r="BP196" s="67"/>
      <c r="BQ196" s="67"/>
      <c r="BR196" s="67"/>
      <c r="BS196" s="67"/>
      <c r="BT196" s="67"/>
      <c r="BU196" s="67"/>
      <c r="BV196" s="67"/>
      <c r="BW196" s="67"/>
      <c r="BX196" s="67"/>
      <c r="BY196" s="67"/>
      <c r="BZ196" s="67"/>
      <c r="CA196" s="67"/>
      <c r="CB196" s="67"/>
      <c r="CC196" s="67"/>
      <c r="CD196" s="67"/>
      <c r="CE196" s="67"/>
      <c r="CF196" s="67"/>
      <c r="CG196" s="67"/>
      <c r="CH196" s="67"/>
      <c r="CI196" s="67"/>
      <c r="CJ196" s="134"/>
      <c r="CK196" s="67"/>
      <c r="CL196" s="67"/>
      <c r="CM196" s="67"/>
      <c r="CN196" s="67"/>
      <c r="CO196" s="67"/>
      <c r="CP196" s="67"/>
      <c r="CQ196" s="67"/>
      <c r="CR196" s="67"/>
      <c r="CS196" s="67"/>
      <c r="CT196" s="67"/>
      <c r="CU196" s="67"/>
      <c r="CV196" s="67"/>
      <c r="CW196" s="67"/>
      <c r="CX196" s="67"/>
      <c r="CY196" s="67"/>
      <c r="CZ196" s="67"/>
      <c r="DA196" s="67"/>
      <c r="DB196" s="67"/>
      <c r="DC196" s="67"/>
      <c r="DD196" s="67"/>
      <c r="DE196" s="67"/>
      <c r="DF196" s="67"/>
      <c r="DG196" s="67"/>
      <c r="DH196" s="67"/>
      <c r="DI196" s="67"/>
      <c r="DJ196" s="67"/>
      <c r="DK196" s="67"/>
      <c r="DL196" s="194"/>
      <c r="DM196" s="194"/>
      <c r="DN196" s="194"/>
      <c r="DO196" s="194"/>
      <c r="DP196" s="194"/>
    </row>
    <row r="197" spans="1:120" x14ac:dyDescent="0.2">
      <c r="A197" s="65" t="s">
        <v>156</v>
      </c>
      <c r="B197" s="31"/>
      <c r="C197" s="31"/>
      <c r="D197" s="31"/>
      <c r="E197" s="31"/>
      <c r="F197" s="31"/>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36"/>
      <c r="AF197" s="72">
        <v>83</v>
      </c>
      <c r="AG197" s="72">
        <f>137+23</f>
        <v>160</v>
      </c>
      <c r="AH197" s="72">
        <f>171+17</f>
        <v>188</v>
      </c>
      <c r="AI197" s="72">
        <f>229+42</f>
        <v>271</v>
      </c>
      <c r="AJ197" s="36">
        <f>AI197+AH197+AG197+AF197</f>
        <v>702</v>
      </c>
      <c r="AK197" s="72">
        <f>228+55</f>
        <v>283</v>
      </c>
      <c r="AL197" s="72">
        <f>262+67</f>
        <v>329</v>
      </c>
      <c r="AM197" s="72">
        <f>297+86</f>
        <v>383</v>
      </c>
      <c r="AN197" s="72">
        <f>323+99</f>
        <v>422</v>
      </c>
      <c r="AO197" s="36">
        <f>AN197+AM197+AL197+AK197</f>
        <v>1417</v>
      </c>
      <c r="AP197" s="72">
        <f>313+100</f>
        <v>413</v>
      </c>
      <c r="AQ197" s="72">
        <f>348+113</f>
        <v>461</v>
      </c>
      <c r="AR197" s="72">
        <f>354+122</f>
        <v>476</v>
      </c>
      <c r="AS197" s="72">
        <f>390+136</f>
        <v>526</v>
      </c>
      <c r="AT197" s="36">
        <f>AS197+AR197+AQ197+AP197</f>
        <v>1876</v>
      </c>
      <c r="AU197" s="36">
        <f>354+125</f>
        <v>479</v>
      </c>
      <c r="AV197" s="36">
        <f>380+136</f>
        <v>516</v>
      </c>
      <c r="AW197" s="36">
        <f>405+151</f>
        <v>556</v>
      </c>
      <c r="AX197" s="36">
        <f>425+164</f>
        <v>589</v>
      </c>
      <c r="AY197" s="36">
        <f>AX197+AW197+AV197+AU197</f>
        <v>2140</v>
      </c>
      <c r="AZ197" s="36">
        <f>426+163</f>
        <v>589</v>
      </c>
      <c r="BA197" s="36">
        <f>423+173</f>
        <v>596</v>
      </c>
      <c r="BB197" s="36">
        <f>473+183</f>
        <v>656</v>
      </c>
      <c r="BC197" s="36">
        <f>503+193</f>
        <v>696</v>
      </c>
      <c r="BD197" s="36">
        <f>BC197+BB197+BA197+AZ197</f>
        <v>2537</v>
      </c>
      <c r="BE197" s="36">
        <f>493+202</f>
        <v>695</v>
      </c>
      <c r="BF197" s="36">
        <f>532+210</f>
        <v>742</v>
      </c>
      <c r="BG197" s="36">
        <f>546+216</f>
        <v>762</v>
      </c>
      <c r="BH197" s="36">
        <f>565+237</f>
        <v>802</v>
      </c>
      <c r="BI197" s="36">
        <f>SUM(BE197:BH197)</f>
        <v>3001</v>
      </c>
      <c r="BJ197" s="36">
        <f>462+197</f>
        <v>659</v>
      </c>
      <c r="BK197" s="36">
        <f>571+235</f>
        <v>806</v>
      </c>
      <c r="BL197" s="36">
        <f>484+218</f>
        <v>702</v>
      </c>
      <c r="BM197" s="36">
        <f>552+228</f>
        <v>780</v>
      </c>
      <c r="BN197" s="36">
        <f>SUM(BJ197:BM197)</f>
        <v>2947</v>
      </c>
      <c r="BO197" s="36">
        <f>474+213</f>
        <v>687</v>
      </c>
      <c r="BP197" s="36">
        <f>566+235</f>
        <v>801</v>
      </c>
      <c r="BQ197" s="36">
        <v>740</v>
      </c>
      <c r="BR197" s="36">
        <f>570+255</f>
        <v>825</v>
      </c>
      <c r="BS197" s="36">
        <f>SUM(BO197:BR197)</f>
        <v>3053</v>
      </c>
      <c r="BT197" s="36">
        <f>501+212</f>
        <v>713</v>
      </c>
      <c r="BU197" s="36">
        <f>648+263</f>
        <v>911</v>
      </c>
      <c r="BV197" s="36">
        <f>628+274</f>
        <v>902</v>
      </c>
      <c r="BW197" s="36">
        <f>486+227</f>
        <v>713</v>
      </c>
      <c r="BX197" s="36">
        <f>SUM(BT197:BW197)</f>
        <v>3239</v>
      </c>
      <c r="BY197" s="36">
        <f>549+226</f>
        <v>775</v>
      </c>
      <c r="BZ197" s="36">
        <f>631+258</f>
        <v>889</v>
      </c>
      <c r="CA197" s="36">
        <f>568+241</f>
        <v>809</v>
      </c>
      <c r="CB197" s="36">
        <f>538+259</f>
        <v>797</v>
      </c>
      <c r="CC197" s="36">
        <f>SUM(BY197:CB197)</f>
        <v>3270</v>
      </c>
      <c r="CD197" s="36">
        <f>507+195</f>
        <v>702</v>
      </c>
      <c r="CE197" s="36">
        <f>541+248</f>
        <v>789</v>
      </c>
      <c r="CF197" s="36">
        <f>598+197</f>
        <v>795</v>
      </c>
      <c r="CG197" s="36">
        <f>508+223</f>
        <v>731</v>
      </c>
      <c r="CH197" s="36">
        <f>SUM(CD197:CG197)</f>
        <v>3017</v>
      </c>
      <c r="CI197" s="36">
        <f>464.5+192</f>
        <v>656.5</v>
      </c>
      <c r="CJ197" s="36">
        <f>503+209</f>
        <v>712</v>
      </c>
      <c r="CK197" s="36">
        <f>498+225</f>
        <v>723</v>
      </c>
      <c r="CL197" s="36">
        <f>503+185</f>
        <v>688</v>
      </c>
      <c r="CM197" s="36">
        <f>SUM(CI197:CL197)</f>
        <v>2779.5</v>
      </c>
      <c r="CN197" s="36">
        <f>384+167</f>
        <v>551</v>
      </c>
      <c r="CO197" s="36">
        <f>471+166</f>
        <v>637</v>
      </c>
      <c r="CP197" s="36">
        <f>367+129</f>
        <v>496</v>
      </c>
      <c r="CQ197" s="36">
        <f>502+127</f>
        <v>629</v>
      </c>
      <c r="CR197" s="36">
        <f>SUM(CN197:CQ197)</f>
        <v>2313</v>
      </c>
      <c r="CS197" s="36">
        <f>355+113</f>
        <v>468</v>
      </c>
      <c r="CT197" s="36">
        <f>413+143</f>
        <v>556</v>
      </c>
      <c r="CU197" s="36">
        <f>342+105</f>
        <v>447</v>
      </c>
      <c r="CV197" s="36">
        <f>360+115</f>
        <v>475</v>
      </c>
      <c r="CW197" s="72">
        <f>SUM(CS197:CV197)</f>
        <v>1946</v>
      </c>
      <c r="CX197" s="36">
        <f>348+84</f>
        <v>432</v>
      </c>
      <c r="CY197" s="36">
        <f>284+74</f>
        <v>358</v>
      </c>
      <c r="CZ197" s="36">
        <f>365+86</f>
        <v>451</v>
      </c>
      <c r="DA197" s="36">
        <f>407+123</f>
        <v>530</v>
      </c>
      <c r="DB197" s="72">
        <f>SUM(CX197:DA197)</f>
        <v>1771</v>
      </c>
      <c r="DC197" s="72">
        <f>325+63</f>
        <v>388</v>
      </c>
      <c r="DD197" s="72">
        <f>301+105</f>
        <v>406</v>
      </c>
      <c r="DE197" s="72">
        <f>332+90</f>
        <v>422</v>
      </c>
      <c r="DF197" s="72">
        <f>290+97</f>
        <v>387</v>
      </c>
      <c r="DG197" s="36">
        <f>SUM(DC197:DF197)</f>
        <v>1603</v>
      </c>
      <c r="DH197" s="36">
        <f t="shared" ref="DH197:DK198" si="190">DC197*(1+DH200)</f>
        <v>364.71999999999997</v>
      </c>
      <c r="DI197" s="36">
        <f t="shared" si="190"/>
        <v>381.64</v>
      </c>
      <c r="DJ197" s="36">
        <f t="shared" si="190"/>
        <v>396.67999999999995</v>
      </c>
      <c r="DK197" s="36">
        <f t="shared" si="190"/>
        <v>363.78</v>
      </c>
      <c r="DL197" s="183">
        <f>SUM(DH197:DK197)</f>
        <v>1506.82</v>
      </c>
      <c r="DM197" s="183">
        <f t="shared" ref="DM197:DP198" si="191">DL197*(1+DM200)</f>
        <v>1416.4107999999999</v>
      </c>
      <c r="DN197" s="183">
        <f t="shared" si="191"/>
        <v>1331.4261519999998</v>
      </c>
      <c r="DO197" s="183">
        <f t="shared" si="191"/>
        <v>665.71307599999989</v>
      </c>
      <c r="DP197" s="183">
        <f t="shared" si="191"/>
        <v>199.71392280000001</v>
      </c>
    </row>
    <row r="198" spans="1:120" x14ac:dyDescent="0.2">
      <c r="A198" s="65" t="s">
        <v>157</v>
      </c>
      <c r="B198" s="31"/>
      <c r="C198" s="31"/>
      <c r="D198" s="31"/>
      <c r="E198" s="31"/>
      <c r="F198" s="31"/>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36"/>
      <c r="AF198" s="72">
        <v>4</v>
      </c>
      <c r="AG198" s="72">
        <f>7+1</f>
        <v>8</v>
      </c>
      <c r="AH198" s="72">
        <f>14+1</f>
        <v>15</v>
      </c>
      <c r="AI198" s="72">
        <f>23+2</f>
        <v>25</v>
      </c>
      <c r="AJ198" s="36">
        <f>AI198+AH198+AG198+AF198</f>
        <v>52</v>
      </c>
      <c r="AK198" s="72">
        <f>44+4</f>
        <v>48</v>
      </c>
      <c r="AL198" s="72">
        <f>72+5</f>
        <v>77</v>
      </c>
      <c r="AM198" s="72">
        <f>82+14</f>
        <v>96</v>
      </c>
      <c r="AN198" s="72">
        <f>89+20</f>
        <v>109</v>
      </c>
      <c r="AO198" s="36">
        <f>AN198+AM198+AL198+AK198</f>
        <v>330</v>
      </c>
      <c r="AP198" s="72">
        <f>98+28</f>
        <v>126</v>
      </c>
      <c r="AQ198" s="72">
        <f>115+41</f>
        <v>156</v>
      </c>
      <c r="AR198" s="72">
        <f>137+51</f>
        <v>188</v>
      </c>
      <c r="AS198" s="72">
        <f>168+66</f>
        <v>234</v>
      </c>
      <c r="AT198" s="36">
        <f>AS198+AR198+AQ198+AP198</f>
        <v>704</v>
      </c>
      <c r="AU198" s="36">
        <f>157+76</f>
        <v>233</v>
      </c>
      <c r="AV198" s="36">
        <f>220+82</f>
        <v>302</v>
      </c>
      <c r="AW198" s="36">
        <f>195+97</f>
        <v>292</v>
      </c>
      <c r="AX198" s="36">
        <f>250+123</f>
        <v>373</v>
      </c>
      <c r="AY198" s="36">
        <f>AX198+AW198+AV198+AU198</f>
        <v>1200</v>
      </c>
      <c r="AZ198" s="36">
        <f>313+142</f>
        <v>455</v>
      </c>
      <c r="BA198" s="36">
        <f>356+149</f>
        <v>505</v>
      </c>
      <c r="BB198" s="36">
        <f>373+167</f>
        <v>540</v>
      </c>
      <c r="BC198" s="36">
        <f>457+193</f>
        <v>650</v>
      </c>
      <c r="BD198" s="36">
        <f>BC198+BB198+BA198+AZ198</f>
        <v>2150</v>
      </c>
      <c r="BE198" s="36">
        <f>427+190</f>
        <v>617</v>
      </c>
      <c r="BF198" s="36">
        <f>525+201</f>
        <v>726</v>
      </c>
      <c r="BG198" s="36">
        <f>429+189</f>
        <v>618</v>
      </c>
      <c r="BH198" s="36">
        <f>568+215</f>
        <v>783</v>
      </c>
      <c r="BI198" s="36">
        <f>SUM(BE198:BH198)</f>
        <v>2744</v>
      </c>
      <c r="BJ198" s="36">
        <f>422+212</f>
        <v>634</v>
      </c>
      <c r="BK198" s="36">
        <f>601+239</f>
        <v>840</v>
      </c>
      <c r="BL198" s="36">
        <f>444+225</f>
        <v>669</v>
      </c>
      <c r="BM198" s="36">
        <f>569+275</f>
        <v>844</v>
      </c>
      <c r="BN198" s="36">
        <f>SUM(BJ198:BM198)</f>
        <v>2987</v>
      </c>
      <c r="BO198" s="36">
        <f>384+263</f>
        <v>647</v>
      </c>
      <c r="BP198" s="36">
        <f>492+284</f>
        <v>776</v>
      </c>
      <c r="BQ198" s="36">
        <v>698</v>
      </c>
      <c r="BR198" s="36">
        <f>512+315</f>
        <v>827</v>
      </c>
      <c r="BS198" s="36">
        <f>SUM(BO198:BR198)</f>
        <v>2948</v>
      </c>
      <c r="BT198" s="36">
        <f>383+297</f>
        <v>680</v>
      </c>
      <c r="BU198" s="36">
        <f>396+292</f>
        <v>688</v>
      </c>
      <c r="BV198" s="36">
        <f>386+288</f>
        <v>674</v>
      </c>
      <c r="BW198" s="36">
        <f>435+299</f>
        <v>734</v>
      </c>
      <c r="BX198" s="36">
        <f>SUM(BT198:BW198)</f>
        <v>2776</v>
      </c>
      <c r="BY198" s="36">
        <f>357+280</f>
        <v>637</v>
      </c>
      <c r="BZ198" s="36">
        <f>433+312</f>
        <v>745</v>
      </c>
      <c r="CA198" s="36">
        <f>438+207</f>
        <v>645</v>
      </c>
      <c r="CB198" s="36">
        <f>394+318</f>
        <v>712</v>
      </c>
      <c r="CC198" s="36">
        <f>SUM(BY198:CB198)</f>
        <v>2739</v>
      </c>
      <c r="CD198" s="36">
        <f>332+302</f>
        <v>634</v>
      </c>
      <c r="CE198" s="36">
        <f>407+315</f>
        <v>722</v>
      </c>
      <c r="CF198" s="36">
        <f>414+316</f>
        <v>730</v>
      </c>
      <c r="CG198" s="36">
        <f>430+363</f>
        <v>793</v>
      </c>
      <c r="CH198" s="36">
        <f>SUM(CD198:CG198)</f>
        <v>2879</v>
      </c>
      <c r="CI198" s="36">
        <f>415.5+352</f>
        <v>767.5</v>
      </c>
      <c r="CJ198" s="36">
        <f>446+377</f>
        <v>823</v>
      </c>
      <c r="CK198" s="36">
        <f>429+339</f>
        <v>768</v>
      </c>
      <c r="CL198" s="36">
        <f>427+350</f>
        <v>777</v>
      </c>
      <c r="CM198" s="36">
        <f>SUM(CI198:CL198)</f>
        <v>3135.5</v>
      </c>
      <c r="CN198" s="36">
        <f>440+364</f>
        <v>804</v>
      </c>
      <c r="CO198" s="36">
        <f>437+366+1</f>
        <v>804</v>
      </c>
      <c r="CP198" s="36">
        <f>440+375</f>
        <v>815</v>
      </c>
      <c r="CQ198" s="36">
        <f>441+348</f>
        <v>789</v>
      </c>
      <c r="CR198" s="36">
        <f>SUM(CN198:CQ198)</f>
        <v>3212</v>
      </c>
      <c r="CS198" s="36">
        <f>419+390</f>
        <v>809</v>
      </c>
      <c r="CT198" s="36">
        <f>441+348</f>
        <v>789</v>
      </c>
      <c r="CU198" s="36">
        <f>479+400</f>
        <v>879</v>
      </c>
      <c r="CV198" s="36">
        <f>497+356</f>
        <v>853</v>
      </c>
      <c r="CW198" s="72">
        <f>SUM(CS198:CV198)</f>
        <v>3330</v>
      </c>
      <c r="CX198" s="36">
        <f>461+401</f>
        <v>862</v>
      </c>
      <c r="CY198" s="36">
        <f>500+403</f>
        <v>903</v>
      </c>
      <c r="CZ198" s="36">
        <f>487+401</f>
        <v>888</v>
      </c>
      <c r="DA198" s="36">
        <f>472+391</f>
        <v>863</v>
      </c>
      <c r="DB198" s="72">
        <f>SUM(CX198:DA198)</f>
        <v>3516</v>
      </c>
      <c r="DC198" s="72">
        <f>454+391</f>
        <v>845</v>
      </c>
      <c r="DD198" s="72">
        <f>455+371</f>
        <v>826</v>
      </c>
      <c r="DE198" s="72">
        <f>385+327</f>
        <v>712</v>
      </c>
      <c r="DF198" s="72">
        <f>271+255</f>
        <v>526</v>
      </c>
      <c r="DG198" s="36">
        <f>SUM(DC198:DF198)</f>
        <v>2909</v>
      </c>
      <c r="DH198" s="36">
        <f t="shared" si="190"/>
        <v>676</v>
      </c>
      <c r="DI198" s="36">
        <f t="shared" si="190"/>
        <v>660.80000000000007</v>
      </c>
      <c r="DJ198" s="36">
        <f t="shared" si="190"/>
        <v>569.6</v>
      </c>
      <c r="DK198" s="36">
        <f t="shared" si="190"/>
        <v>420.8</v>
      </c>
      <c r="DL198" s="183">
        <f>SUM(DH198:DK198)</f>
        <v>2327.2000000000003</v>
      </c>
      <c r="DM198" s="183">
        <f t="shared" si="191"/>
        <v>1861.7600000000002</v>
      </c>
      <c r="DN198" s="183">
        <f t="shared" si="191"/>
        <v>1489.4080000000004</v>
      </c>
      <c r="DO198" s="183">
        <f t="shared" si="191"/>
        <v>1042.5856000000001</v>
      </c>
      <c r="DP198" s="183">
        <f t="shared" si="191"/>
        <v>729.80992000000003</v>
      </c>
    </row>
    <row r="199" spans="1:120" x14ac:dyDescent="0.2">
      <c r="A199" s="104" t="s">
        <v>158</v>
      </c>
      <c r="B199" s="31"/>
      <c r="C199" s="31"/>
      <c r="D199" s="31"/>
      <c r="E199" s="31"/>
      <c r="F199" s="31"/>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74"/>
      <c r="AF199" s="109">
        <f t="shared" ref="AF199:BD199" si="192">AF198+AF197</f>
        <v>87</v>
      </c>
      <c r="AG199" s="109">
        <f t="shared" si="192"/>
        <v>168</v>
      </c>
      <c r="AH199" s="109">
        <f t="shared" si="192"/>
        <v>203</v>
      </c>
      <c r="AI199" s="109">
        <f t="shared" si="192"/>
        <v>296</v>
      </c>
      <c r="AJ199" s="74">
        <f t="shared" si="192"/>
        <v>754</v>
      </c>
      <c r="AK199" s="109">
        <f t="shared" si="192"/>
        <v>331</v>
      </c>
      <c r="AL199" s="109">
        <f t="shared" si="192"/>
        <v>406</v>
      </c>
      <c r="AM199" s="109">
        <f t="shared" si="192"/>
        <v>479</v>
      </c>
      <c r="AN199" s="109">
        <f t="shared" si="192"/>
        <v>531</v>
      </c>
      <c r="AO199" s="74">
        <f t="shared" si="192"/>
        <v>1747</v>
      </c>
      <c r="AP199" s="109">
        <f t="shared" si="192"/>
        <v>539</v>
      </c>
      <c r="AQ199" s="109">
        <f t="shared" si="192"/>
        <v>617</v>
      </c>
      <c r="AR199" s="109">
        <f t="shared" si="192"/>
        <v>664</v>
      </c>
      <c r="AS199" s="109">
        <f t="shared" si="192"/>
        <v>760</v>
      </c>
      <c r="AT199" s="74">
        <f t="shared" si="192"/>
        <v>2580</v>
      </c>
      <c r="AU199" s="74">
        <f t="shared" si="192"/>
        <v>712</v>
      </c>
      <c r="AV199" s="74">
        <f t="shared" si="192"/>
        <v>818</v>
      </c>
      <c r="AW199" s="74">
        <f t="shared" si="192"/>
        <v>848</v>
      </c>
      <c r="AX199" s="74">
        <f t="shared" si="192"/>
        <v>962</v>
      </c>
      <c r="AY199" s="74">
        <f t="shared" si="192"/>
        <v>3340</v>
      </c>
      <c r="AZ199" s="74">
        <f t="shared" si="192"/>
        <v>1044</v>
      </c>
      <c r="BA199" s="74">
        <f t="shared" si="192"/>
        <v>1101</v>
      </c>
      <c r="BB199" s="74">
        <f t="shared" si="192"/>
        <v>1196</v>
      </c>
      <c r="BC199" s="74">
        <f t="shared" si="192"/>
        <v>1346</v>
      </c>
      <c r="BD199" s="74">
        <f t="shared" si="192"/>
        <v>4687</v>
      </c>
      <c r="BE199" s="39">
        <f>BE197+BE198</f>
        <v>1312</v>
      </c>
      <c r="BF199" s="39">
        <f>BF197+BF198</f>
        <v>1468</v>
      </c>
      <c r="BG199" s="39">
        <f>BG197+BG198</f>
        <v>1380</v>
      </c>
      <c r="BH199" s="39">
        <f>BH197+BH198</f>
        <v>1585</v>
      </c>
      <c r="BI199" s="39">
        <f t="shared" ref="BI199:CC199" si="193">BI198+BI197</f>
        <v>5745</v>
      </c>
      <c r="BJ199" s="39">
        <f t="shared" si="193"/>
        <v>1293</v>
      </c>
      <c r="BK199" s="39">
        <f t="shared" si="193"/>
        <v>1646</v>
      </c>
      <c r="BL199" s="39">
        <f t="shared" si="193"/>
        <v>1371</v>
      </c>
      <c r="BM199" s="39">
        <f t="shared" si="193"/>
        <v>1624</v>
      </c>
      <c r="BN199" s="39">
        <f t="shared" si="193"/>
        <v>5934</v>
      </c>
      <c r="BO199" s="39">
        <f t="shared" si="193"/>
        <v>1334</v>
      </c>
      <c r="BP199" s="39">
        <f t="shared" si="193"/>
        <v>1577</v>
      </c>
      <c r="BQ199" s="39">
        <f t="shared" si="193"/>
        <v>1438</v>
      </c>
      <c r="BR199" s="39">
        <f t="shared" si="193"/>
        <v>1652</v>
      </c>
      <c r="BS199" s="74">
        <f t="shared" si="193"/>
        <v>6001</v>
      </c>
      <c r="BT199" s="39">
        <f t="shared" si="193"/>
        <v>1393</v>
      </c>
      <c r="BU199" s="39">
        <f t="shared" si="193"/>
        <v>1599</v>
      </c>
      <c r="BV199" s="39">
        <f t="shared" si="193"/>
        <v>1576</v>
      </c>
      <c r="BW199" s="39">
        <f t="shared" si="193"/>
        <v>1447</v>
      </c>
      <c r="BX199" s="74">
        <f t="shared" si="193"/>
        <v>6015</v>
      </c>
      <c r="BY199" s="74">
        <f t="shared" si="193"/>
        <v>1412</v>
      </c>
      <c r="BZ199" s="74">
        <f t="shared" si="193"/>
        <v>1634</v>
      </c>
      <c r="CA199" s="74">
        <f t="shared" si="193"/>
        <v>1454</v>
      </c>
      <c r="CB199" s="74">
        <f t="shared" si="193"/>
        <v>1509</v>
      </c>
      <c r="CC199" s="74">
        <f t="shared" si="193"/>
        <v>6009</v>
      </c>
      <c r="CD199" s="74">
        <f>CD198+CD197-1</f>
        <v>1335</v>
      </c>
      <c r="CE199" s="74">
        <f>CE198+CE197</f>
        <v>1511</v>
      </c>
      <c r="CF199" s="74">
        <f>CF198+CF197</f>
        <v>1525</v>
      </c>
      <c r="CG199" s="74">
        <f>CG198+CG197</f>
        <v>1524</v>
      </c>
      <c r="CH199" s="74">
        <f t="shared" ref="CH199:CQ199" si="194">CH198+CH197</f>
        <v>5896</v>
      </c>
      <c r="CI199" s="74">
        <f t="shared" si="194"/>
        <v>1424</v>
      </c>
      <c r="CJ199" s="74">
        <f t="shared" si="194"/>
        <v>1535</v>
      </c>
      <c r="CK199" s="74">
        <f t="shared" si="194"/>
        <v>1491</v>
      </c>
      <c r="CL199" s="74">
        <f t="shared" si="194"/>
        <v>1465</v>
      </c>
      <c r="CM199" s="74">
        <f t="shared" si="194"/>
        <v>5915</v>
      </c>
      <c r="CN199" s="74">
        <f>CN198+CN197-1</f>
        <v>1354</v>
      </c>
      <c r="CO199" s="74">
        <f t="shared" si="194"/>
        <v>1441</v>
      </c>
      <c r="CP199" s="74">
        <f t="shared" si="194"/>
        <v>1311</v>
      </c>
      <c r="CQ199" s="74">
        <f t="shared" si="194"/>
        <v>1418</v>
      </c>
      <c r="CR199" s="74">
        <f>CR198+CR197</f>
        <v>5525</v>
      </c>
      <c r="CS199" s="39">
        <f>CS198+CS197</f>
        <v>1277</v>
      </c>
      <c r="CT199" s="39">
        <f>CT198+CT197</f>
        <v>1345</v>
      </c>
      <c r="CU199" s="39">
        <f>CU198+CU197</f>
        <v>1326</v>
      </c>
      <c r="CV199" s="39">
        <f>CV198+CV197+1</f>
        <v>1329</v>
      </c>
      <c r="CW199" s="74">
        <f>SUM(CS199:CV199)</f>
        <v>5277</v>
      </c>
      <c r="CX199" s="39">
        <f>SUM(CX197:CX198)</f>
        <v>1294</v>
      </c>
      <c r="CY199" s="39">
        <f>SUM(CY197:CY198)</f>
        <v>1261</v>
      </c>
      <c r="CZ199" s="39">
        <f>SUM(CZ197:CZ198)</f>
        <v>1339</v>
      </c>
      <c r="DA199" s="39">
        <f>SUM(DA197:DA198)</f>
        <v>1393</v>
      </c>
      <c r="DB199" s="74">
        <f>SUM(CX199:DA199)</f>
        <v>5287</v>
      </c>
      <c r="DC199" s="74">
        <f>DC198+DC197</f>
        <v>1233</v>
      </c>
      <c r="DD199" s="74">
        <f>DD198+DD197</f>
        <v>1232</v>
      </c>
      <c r="DE199" s="74">
        <f>DE198+DE197</f>
        <v>1134</v>
      </c>
      <c r="DF199" s="74">
        <f>DF198+DF197</f>
        <v>913</v>
      </c>
      <c r="DG199" s="74">
        <f>SUM(DC199:DF199)</f>
        <v>4512</v>
      </c>
      <c r="DH199" s="74">
        <f>DH198+DH197</f>
        <v>1040.72</v>
      </c>
      <c r="DI199" s="74">
        <f>DI198+DI197</f>
        <v>1042.44</v>
      </c>
      <c r="DJ199" s="74">
        <f>DJ198+DJ197</f>
        <v>966.28</v>
      </c>
      <c r="DK199" s="74">
        <f>DK198+DK197</f>
        <v>784.57999999999993</v>
      </c>
      <c r="DL199" s="184">
        <f>SUM(DH199:DK199)</f>
        <v>3834.0199999999995</v>
      </c>
      <c r="DM199" s="184">
        <f t="shared" ref="DM199:DP199" si="195">DM198+DM197</f>
        <v>3278.1707999999999</v>
      </c>
      <c r="DN199" s="184">
        <f t="shared" si="195"/>
        <v>2820.8341520000004</v>
      </c>
      <c r="DO199" s="184">
        <f t="shared" si="195"/>
        <v>1708.2986759999999</v>
      </c>
      <c r="DP199" s="184">
        <f t="shared" si="195"/>
        <v>929.52384280000001</v>
      </c>
    </row>
    <row r="200" spans="1:120" x14ac:dyDescent="0.2">
      <c r="A200" s="68" t="s">
        <v>54</v>
      </c>
      <c r="B200" s="31"/>
      <c r="C200" s="31"/>
      <c r="D200" s="31"/>
      <c r="E200" s="31"/>
      <c r="F200" s="31"/>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76">
        <f t="shared" ref="AU200:DF202" si="196">AU197/AP197-1</f>
        <v>0.15980629539951563</v>
      </c>
      <c r="AV200" s="76">
        <f t="shared" si="196"/>
        <v>0.1193058568329719</v>
      </c>
      <c r="AW200" s="76">
        <f t="shared" si="196"/>
        <v>0.16806722689075637</v>
      </c>
      <c r="AX200" s="76">
        <f t="shared" si="196"/>
        <v>0.1197718631178708</v>
      </c>
      <c r="AY200" s="76">
        <f t="shared" si="196"/>
        <v>0.14072494669509594</v>
      </c>
      <c r="AZ200" s="76">
        <f t="shared" si="196"/>
        <v>0.22964509394572019</v>
      </c>
      <c r="BA200" s="76">
        <f t="shared" si="196"/>
        <v>0.15503875968992253</v>
      </c>
      <c r="BB200" s="76">
        <f t="shared" si="196"/>
        <v>0.17985611510791366</v>
      </c>
      <c r="BC200" s="76">
        <f t="shared" si="196"/>
        <v>0.1816638370118846</v>
      </c>
      <c r="BD200" s="76">
        <f t="shared" si="196"/>
        <v>0.18551401869158868</v>
      </c>
      <c r="BE200" s="76">
        <f t="shared" si="196"/>
        <v>0.17996604414261452</v>
      </c>
      <c r="BF200" s="76">
        <f t="shared" si="196"/>
        <v>0.24496644295302006</v>
      </c>
      <c r="BG200" s="76">
        <f t="shared" si="196"/>
        <v>0.16158536585365857</v>
      </c>
      <c r="BH200" s="76">
        <f t="shared" si="196"/>
        <v>0.15229885057471271</v>
      </c>
      <c r="BI200" s="90">
        <f t="shared" si="196"/>
        <v>0.1828931809223493</v>
      </c>
      <c r="BJ200" s="76">
        <f t="shared" si="196"/>
        <v>-5.179856115107917E-2</v>
      </c>
      <c r="BK200" s="76">
        <f t="shared" si="196"/>
        <v>8.6253369272237146E-2</v>
      </c>
      <c r="BL200" s="76">
        <f t="shared" si="196"/>
        <v>-7.8740157480314932E-2</v>
      </c>
      <c r="BM200" s="76">
        <f t="shared" si="196"/>
        <v>-2.7431421446383997E-2</v>
      </c>
      <c r="BN200" s="90">
        <f>BN197/BI197-1</f>
        <v>-1.7994001999333542E-2</v>
      </c>
      <c r="BO200" s="76">
        <f t="shared" si="196"/>
        <v>4.2488619119878557E-2</v>
      </c>
      <c r="BP200" s="76">
        <f t="shared" si="196"/>
        <v>-6.2034739454094323E-3</v>
      </c>
      <c r="BQ200" s="76">
        <f t="shared" si="196"/>
        <v>5.4131054131054235E-2</v>
      </c>
      <c r="BR200" s="76">
        <f t="shared" si="196"/>
        <v>5.7692307692307709E-2</v>
      </c>
      <c r="BS200" s="76">
        <f t="shared" si="196"/>
        <v>3.596878181201224E-2</v>
      </c>
      <c r="BT200" s="76">
        <f t="shared" si="196"/>
        <v>3.7845705967976651E-2</v>
      </c>
      <c r="BU200" s="76">
        <f t="shared" si="196"/>
        <v>0.13732833957553048</v>
      </c>
      <c r="BV200" s="76">
        <f t="shared" si="196"/>
        <v>0.2189189189189189</v>
      </c>
      <c r="BW200" s="76">
        <f t="shared" si="196"/>
        <v>-0.13575757575757574</v>
      </c>
      <c r="BX200" s="76">
        <f>BX197/BS197-1</f>
        <v>6.0923681624631465E-2</v>
      </c>
      <c r="BY200" s="76">
        <f t="shared" si="196"/>
        <v>8.6956521739130377E-2</v>
      </c>
      <c r="BZ200" s="76">
        <f t="shared" si="196"/>
        <v>-2.4149286498353462E-2</v>
      </c>
      <c r="CA200" s="76">
        <f t="shared" si="196"/>
        <v>-0.10310421286031046</v>
      </c>
      <c r="CB200" s="76">
        <f t="shared" si="196"/>
        <v>0.11781206171108005</v>
      </c>
      <c r="CC200" s="76">
        <f>CC197/BX197-1</f>
        <v>9.5708552022228943E-3</v>
      </c>
      <c r="CD200" s="76">
        <f t="shared" si="196"/>
        <v>-9.4193548387096815E-2</v>
      </c>
      <c r="CE200" s="76">
        <f t="shared" si="196"/>
        <v>-0.11248593925759276</v>
      </c>
      <c r="CF200" s="76">
        <f t="shared" si="196"/>
        <v>-1.7305315203955507E-2</v>
      </c>
      <c r="CG200" s="76">
        <f t="shared" si="196"/>
        <v>-8.2810539523212046E-2</v>
      </c>
      <c r="CH200" s="76">
        <f>CH197/CC197-1</f>
        <v>-7.737003058103975E-2</v>
      </c>
      <c r="CI200" s="76">
        <f t="shared" si="196"/>
        <v>-6.481481481481477E-2</v>
      </c>
      <c r="CJ200" s="76">
        <f t="shared" si="196"/>
        <v>-9.7591888466413201E-2</v>
      </c>
      <c r="CK200" s="76">
        <f t="shared" si="196"/>
        <v>-9.0566037735849036E-2</v>
      </c>
      <c r="CL200" s="76">
        <f t="shared" si="196"/>
        <v>-5.8823529411764719E-2</v>
      </c>
      <c r="CM200" s="76">
        <f t="shared" si="196"/>
        <v>-7.8720583360954555E-2</v>
      </c>
      <c r="CN200" s="76">
        <f t="shared" si="196"/>
        <v>-0.16070068545316074</v>
      </c>
      <c r="CO200" s="76">
        <f t="shared" si="196"/>
        <v>-0.1053370786516854</v>
      </c>
      <c r="CP200" s="76">
        <f t="shared" si="196"/>
        <v>-0.31396957123098201</v>
      </c>
      <c r="CQ200" s="76">
        <f t="shared" si="196"/>
        <v>-8.5755813953488413E-2</v>
      </c>
      <c r="CR200" s="76">
        <f>CR197/CM197-1</f>
        <v>-0.16783594171613603</v>
      </c>
      <c r="CS200" s="76">
        <f t="shared" si="196"/>
        <v>-0.15063520871143377</v>
      </c>
      <c r="CT200" s="76">
        <f t="shared" si="196"/>
        <v>-0.12715855572998425</v>
      </c>
      <c r="CU200" s="76">
        <f t="shared" si="196"/>
        <v>-9.8790322580645129E-2</v>
      </c>
      <c r="CV200" s="76">
        <f t="shared" si="196"/>
        <v>-0.24483306836248009</v>
      </c>
      <c r="CW200" s="90">
        <f>CW197/CR197-1</f>
        <v>-0.15866839602248162</v>
      </c>
      <c r="CX200" s="76">
        <f t="shared" si="196"/>
        <v>-7.6923076923076872E-2</v>
      </c>
      <c r="CY200" s="76">
        <f t="shared" si="196"/>
        <v>-0.35611510791366907</v>
      </c>
      <c r="CZ200" s="76">
        <f t="shared" si="196"/>
        <v>8.9485458612974522E-3</v>
      </c>
      <c r="DA200" s="76">
        <f t="shared" si="196"/>
        <v>0.11578947368421044</v>
      </c>
      <c r="DB200" s="90">
        <f t="shared" si="196"/>
        <v>-8.9928057553956831E-2</v>
      </c>
      <c r="DC200" s="76">
        <f t="shared" si="196"/>
        <v>-0.10185185185185186</v>
      </c>
      <c r="DD200" s="76">
        <f t="shared" si="196"/>
        <v>0.13407821229050287</v>
      </c>
      <c r="DE200" s="76">
        <f t="shared" si="196"/>
        <v>-6.4301552106430182E-2</v>
      </c>
      <c r="DF200" s="76">
        <f t="shared" si="196"/>
        <v>-0.26981132075471703</v>
      </c>
      <c r="DG200" s="76">
        <f t="shared" ref="DG200" si="197">DG197/DB197-1</f>
        <v>-9.4861660079051391E-2</v>
      </c>
      <c r="DH200" s="76">
        <v>-0.06</v>
      </c>
      <c r="DI200" s="76">
        <v>-0.06</v>
      </c>
      <c r="DJ200" s="76">
        <v>-0.06</v>
      </c>
      <c r="DK200" s="76">
        <v>-0.06</v>
      </c>
      <c r="DL200" s="195">
        <f>DL197/DG197-1</f>
        <v>-6.0000000000000053E-2</v>
      </c>
      <c r="DM200" s="195">
        <v>-0.06</v>
      </c>
      <c r="DN200" s="195">
        <v>-0.06</v>
      </c>
      <c r="DO200" s="195">
        <v>-0.5</v>
      </c>
      <c r="DP200" s="195">
        <v>-0.7</v>
      </c>
    </row>
    <row r="201" spans="1:120" x14ac:dyDescent="0.2">
      <c r="A201" s="68" t="s">
        <v>55</v>
      </c>
      <c r="B201" s="31"/>
      <c r="C201" s="31"/>
      <c r="D201" s="31"/>
      <c r="E201" s="31"/>
      <c r="F201" s="31"/>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76">
        <f t="shared" si="196"/>
        <v>0.8492063492063493</v>
      </c>
      <c r="AV201" s="76">
        <f t="shared" si="196"/>
        <v>0.9358974358974359</v>
      </c>
      <c r="AW201" s="76">
        <f t="shared" si="196"/>
        <v>0.55319148936170204</v>
      </c>
      <c r="AX201" s="76">
        <f t="shared" si="196"/>
        <v>0.59401709401709413</v>
      </c>
      <c r="AY201" s="76">
        <f t="shared" si="196"/>
        <v>0.70454545454545459</v>
      </c>
      <c r="AZ201" s="76">
        <f t="shared" si="196"/>
        <v>0.95278969957081538</v>
      </c>
      <c r="BA201" s="76">
        <f t="shared" si="196"/>
        <v>0.67218543046357615</v>
      </c>
      <c r="BB201" s="76">
        <f t="shared" si="196"/>
        <v>0.84931506849315075</v>
      </c>
      <c r="BC201" s="76">
        <f t="shared" si="196"/>
        <v>0.74262734584450407</v>
      </c>
      <c r="BD201" s="76">
        <f t="shared" si="196"/>
        <v>0.79166666666666674</v>
      </c>
      <c r="BE201" s="76">
        <f t="shared" si="196"/>
        <v>0.35604395604395611</v>
      </c>
      <c r="BF201" s="76">
        <f t="shared" si="196"/>
        <v>0.43762376237623757</v>
      </c>
      <c r="BG201" s="76">
        <f t="shared" si="196"/>
        <v>0.14444444444444438</v>
      </c>
      <c r="BH201" s="76">
        <f t="shared" si="196"/>
        <v>0.20461538461538464</v>
      </c>
      <c r="BI201" s="90">
        <f t="shared" si="196"/>
        <v>0.27627906976744177</v>
      </c>
      <c r="BJ201" s="76">
        <f t="shared" si="196"/>
        <v>2.7552674230145957E-2</v>
      </c>
      <c r="BK201" s="76">
        <f t="shared" si="196"/>
        <v>0.15702479338842967</v>
      </c>
      <c r="BL201" s="76">
        <f t="shared" si="196"/>
        <v>8.2524271844660158E-2</v>
      </c>
      <c r="BM201" s="76">
        <f t="shared" si="196"/>
        <v>7.7905491698595064E-2</v>
      </c>
      <c r="BN201" s="90">
        <f>BN198/BI198-1</f>
        <v>8.8556851311953455E-2</v>
      </c>
      <c r="BO201" s="76">
        <f t="shared" si="196"/>
        <v>2.0504731861198833E-2</v>
      </c>
      <c r="BP201" s="76">
        <f t="shared" si="196"/>
        <v>-7.6190476190476142E-2</v>
      </c>
      <c r="BQ201" s="76">
        <f t="shared" si="196"/>
        <v>4.3348281016442503E-2</v>
      </c>
      <c r="BR201" s="76">
        <f t="shared" si="196"/>
        <v>-2.0142180094786744E-2</v>
      </c>
      <c r="BS201" s="76">
        <f t="shared" si="196"/>
        <v>-1.3056578506863037E-2</v>
      </c>
      <c r="BT201" s="76">
        <f t="shared" si="196"/>
        <v>5.1004636785162205E-2</v>
      </c>
      <c r="BU201" s="76">
        <f t="shared" si="196"/>
        <v>-0.11340206185567014</v>
      </c>
      <c r="BV201" s="76">
        <f t="shared" si="196"/>
        <v>-3.4383954154727836E-2</v>
      </c>
      <c r="BW201" s="76">
        <f t="shared" si="196"/>
        <v>-0.11245465538089483</v>
      </c>
      <c r="BX201" s="76">
        <f>BX198/BS198-1</f>
        <v>-5.8344640434192629E-2</v>
      </c>
      <c r="BY201" s="76">
        <f t="shared" si="196"/>
        <v>-6.3235294117647056E-2</v>
      </c>
      <c r="BZ201" s="76">
        <f t="shared" si="196"/>
        <v>8.2848837209302362E-2</v>
      </c>
      <c r="CA201" s="76">
        <f t="shared" si="196"/>
        <v>-4.3026706231453993E-2</v>
      </c>
      <c r="CB201" s="76">
        <f t="shared" si="196"/>
        <v>-2.9972752043596729E-2</v>
      </c>
      <c r="CC201" s="76">
        <f>CC198/BX198-1</f>
        <v>-1.3328530259365978E-2</v>
      </c>
      <c r="CD201" s="76">
        <f t="shared" si="196"/>
        <v>-4.7095761381475976E-3</v>
      </c>
      <c r="CE201" s="76">
        <f t="shared" si="196"/>
        <v>-3.087248322147651E-2</v>
      </c>
      <c r="CF201" s="76">
        <f t="shared" si="196"/>
        <v>0.13178294573643412</v>
      </c>
      <c r="CG201" s="76">
        <f t="shared" si="196"/>
        <v>0.1137640449438202</v>
      </c>
      <c r="CH201" s="76">
        <f>CH198/CC198-1</f>
        <v>5.1113545089448653E-2</v>
      </c>
      <c r="CI201" s="76">
        <f t="shared" si="196"/>
        <v>0.2105678233438486</v>
      </c>
      <c r="CJ201" s="76">
        <f t="shared" si="196"/>
        <v>0.13988919667590038</v>
      </c>
      <c r="CK201" s="76">
        <f t="shared" si="196"/>
        <v>5.2054794520547842E-2</v>
      </c>
      <c r="CL201" s="76">
        <f t="shared" si="196"/>
        <v>-2.0176544766708715E-2</v>
      </c>
      <c r="CM201" s="76">
        <f t="shared" si="196"/>
        <v>8.9093435220562789E-2</v>
      </c>
      <c r="CN201" s="76">
        <f t="shared" si="196"/>
        <v>4.7557003257328923E-2</v>
      </c>
      <c r="CO201" s="76">
        <f t="shared" si="196"/>
        <v>-2.3086269744835963E-2</v>
      </c>
      <c r="CP201" s="76">
        <f t="shared" si="196"/>
        <v>6.1197916666666741E-2</v>
      </c>
      <c r="CQ201" s="76">
        <f t="shared" si="196"/>
        <v>1.5444015444015413E-2</v>
      </c>
      <c r="CR201" s="76">
        <f>CR198/CM198-1</f>
        <v>2.4398022643916439E-2</v>
      </c>
      <c r="CS201" s="76">
        <f t="shared" si="196"/>
        <v>6.2189054726369264E-3</v>
      </c>
      <c r="CT201" s="76">
        <f t="shared" si="196"/>
        <v>-1.8656716417910446E-2</v>
      </c>
      <c r="CU201" s="76">
        <f t="shared" si="196"/>
        <v>7.8527607361963181E-2</v>
      </c>
      <c r="CV201" s="76">
        <f t="shared" si="196"/>
        <v>8.1115335868187532E-2</v>
      </c>
      <c r="CW201" s="90">
        <f>CW198/CR198-1</f>
        <v>3.6737235367372278E-2</v>
      </c>
      <c r="CX201" s="76">
        <f t="shared" si="196"/>
        <v>6.551297898640307E-2</v>
      </c>
      <c r="CY201" s="76">
        <f t="shared" si="196"/>
        <v>0.14448669201520903</v>
      </c>
      <c r="CZ201" s="76">
        <f t="shared" si="196"/>
        <v>1.0238907849829282E-2</v>
      </c>
      <c r="DA201" s="76">
        <f t="shared" si="196"/>
        <v>1.1723329425556761E-2</v>
      </c>
      <c r="DB201" s="90">
        <f>DB198/CW198-1</f>
        <v>5.5855855855855951E-2</v>
      </c>
      <c r="DC201" s="76">
        <f t="shared" si="196"/>
        <v>-1.9721577726218076E-2</v>
      </c>
      <c r="DD201" s="76">
        <f t="shared" si="196"/>
        <v>-8.5271317829457405E-2</v>
      </c>
      <c r="DE201" s="76">
        <f t="shared" si="196"/>
        <v>-0.19819819819819817</v>
      </c>
      <c r="DF201" s="76">
        <f t="shared" si="196"/>
        <v>-0.39049826187717263</v>
      </c>
      <c r="DG201" s="76">
        <f>DG198/DB198-1</f>
        <v>-0.17263936291240045</v>
      </c>
      <c r="DH201" s="76">
        <v>-0.2</v>
      </c>
      <c r="DI201" s="76">
        <v>-0.2</v>
      </c>
      <c r="DJ201" s="76">
        <v>-0.2</v>
      </c>
      <c r="DK201" s="76">
        <v>-0.2</v>
      </c>
      <c r="DL201" s="195">
        <f>DL198/DG198-1</f>
        <v>-0.19999999999999996</v>
      </c>
      <c r="DM201" s="195">
        <v>-0.2</v>
      </c>
      <c r="DN201" s="195">
        <v>-0.2</v>
      </c>
      <c r="DO201" s="195">
        <v>-0.3</v>
      </c>
      <c r="DP201" s="195">
        <v>-0.3</v>
      </c>
    </row>
    <row r="202" spans="1:120" x14ac:dyDescent="0.2">
      <c r="A202" s="78" t="s">
        <v>56</v>
      </c>
      <c r="B202" s="79"/>
      <c r="C202" s="79"/>
      <c r="D202" s="79"/>
      <c r="E202" s="79"/>
      <c r="F202" s="79"/>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f>AT199/AO199-1</f>
        <v>0.47681740125930161</v>
      </c>
      <c r="AU202" s="80">
        <f t="shared" si="196"/>
        <v>0.32096474953617804</v>
      </c>
      <c r="AV202" s="80">
        <f t="shared" si="196"/>
        <v>0.32576985413290105</v>
      </c>
      <c r="AW202" s="80">
        <f t="shared" si="196"/>
        <v>0.27710843373493965</v>
      </c>
      <c r="AX202" s="80">
        <f t="shared" si="196"/>
        <v>0.26578947368421058</v>
      </c>
      <c r="AY202" s="80">
        <f t="shared" si="196"/>
        <v>0.29457364341085279</v>
      </c>
      <c r="AZ202" s="80">
        <f t="shared" si="196"/>
        <v>0.46629213483146059</v>
      </c>
      <c r="BA202" s="80">
        <f t="shared" si="196"/>
        <v>0.34596577017114916</v>
      </c>
      <c r="BB202" s="80">
        <f t="shared" si="196"/>
        <v>0.41037735849056611</v>
      </c>
      <c r="BC202" s="80">
        <f t="shared" si="196"/>
        <v>0.39916839916839919</v>
      </c>
      <c r="BD202" s="80">
        <f t="shared" si="196"/>
        <v>0.40329341317365275</v>
      </c>
      <c r="BE202" s="80">
        <f t="shared" si="196"/>
        <v>0.25670498084291182</v>
      </c>
      <c r="BF202" s="80">
        <f t="shared" si="196"/>
        <v>0.33333333333333326</v>
      </c>
      <c r="BG202" s="80">
        <f t="shared" si="196"/>
        <v>0.15384615384615374</v>
      </c>
      <c r="BH202" s="80">
        <f t="shared" si="196"/>
        <v>0.17756315007429424</v>
      </c>
      <c r="BI202" s="80">
        <f t="shared" si="196"/>
        <v>0.22573074461275877</v>
      </c>
      <c r="BJ202" s="80">
        <f t="shared" si="196"/>
        <v>-1.4481707317073211E-2</v>
      </c>
      <c r="BK202" s="91">
        <f t="shared" si="196"/>
        <v>0.12125340599455048</v>
      </c>
      <c r="BL202" s="91">
        <f t="shared" si="196"/>
        <v>-6.521739130434745E-3</v>
      </c>
      <c r="BM202" s="91">
        <f t="shared" si="196"/>
        <v>2.460567823343851E-2</v>
      </c>
      <c r="BN202" s="80">
        <f>BN199/BI199-1</f>
        <v>3.28981723237598E-2</v>
      </c>
      <c r="BO202" s="80">
        <f>BO199/BJ199-1</f>
        <v>3.1709203402938924E-2</v>
      </c>
      <c r="BP202" s="91">
        <f t="shared" si="196"/>
        <v>-4.1919805589307413E-2</v>
      </c>
      <c r="BQ202" s="91">
        <f t="shared" si="196"/>
        <v>4.8869438366156093E-2</v>
      </c>
      <c r="BR202" s="91">
        <f t="shared" si="196"/>
        <v>1.7241379310344751E-2</v>
      </c>
      <c r="BS202" s="80">
        <f t="shared" si="196"/>
        <v>1.1290866194809679E-2</v>
      </c>
      <c r="BT202" s="80">
        <f>BT199/BO199-1</f>
        <v>4.4227886056971588E-2</v>
      </c>
      <c r="BU202" s="80">
        <f>BU199/BP199-1</f>
        <v>1.3950538998097617E-2</v>
      </c>
      <c r="BV202" s="91">
        <f>BV199/BQ199-1</f>
        <v>9.5966620305980577E-2</v>
      </c>
      <c r="BW202" s="91">
        <f>BW199/BR199-1</f>
        <v>-0.12409200968523004</v>
      </c>
      <c r="BX202" s="80">
        <f>BX199/BS199-1</f>
        <v>2.3329445092483692E-3</v>
      </c>
      <c r="BY202" s="80">
        <f>BY199/BT199-1</f>
        <v>1.3639626704953445E-2</v>
      </c>
      <c r="BZ202" s="80">
        <f>BZ199/BU199-1</f>
        <v>2.1888680425265816E-2</v>
      </c>
      <c r="CA202" s="80">
        <f>CA199/BV199-1</f>
        <v>-7.7411167512690393E-2</v>
      </c>
      <c r="CB202" s="80">
        <f>CB199/BW199-1</f>
        <v>4.2847270214236399E-2</v>
      </c>
      <c r="CC202" s="80">
        <f>CC199/BX199-1</f>
        <v>-9.9750623441396957E-4</v>
      </c>
      <c r="CD202" s="80">
        <f>CD199/BY199-1</f>
        <v>-5.4532577903682711E-2</v>
      </c>
      <c r="CE202" s="80">
        <f>CE199/BZ199-1</f>
        <v>-7.5275397796817578E-2</v>
      </c>
      <c r="CF202" s="80">
        <f>CF199/CA199-1</f>
        <v>4.8830811554332776E-2</v>
      </c>
      <c r="CG202" s="80">
        <f>CG199/CB199-1</f>
        <v>9.9403578528827197E-3</v>
      </c>
      <c r="CH202" s="80">
        <f>CH199/CC199-1</f>
        <v>-1.8805125644866028E-2</v>
      </c>
      <c r="CI202" s="80">
        <f>CI199/CD199-1</f>
        <v>6.6666666666666652E-2</v>
      </c>
      <c r="CJ202" s="80">
        <f>CJ199/CE199-1</f>
        <v>1.588352084712108E-2</v>
      </c>
      <c r="CK202" s="80">
        <f>CK199/CF199-1</f>
        <v>-2.2295081967213082E-2</v>
      </c>
      <c r="CL202" s="80">
        <f>CL199/CG199-1</f>
        <v>-3.8713910761154824E-2</v>
      </c>
      <c r="CM202" s="80">
        <f t="shared" si="196"/>
        <v>3.2225237449117206E-3</v>
      </c>
      <c r="CN202" s="80">
        <f t="shared" si="196"/>
        <v>-4.9157303370786498E-2</v>
      </c>
      <c r="CO202" s="80">
        <f t="shared" si="196"/>
        <v>-6.1237785016286628E-2</v>
      </c>
      <c r="CP202" s="80">
        <f t="shared" si="196"/>
        <v>-0.12072434607645877</v>
      </c>
      <c r="CQ202" s="80">
        <f t="shared" si="196"/>
        <v>-3.208191126279869E-2</v>
      </c>
      <c r="CR202" s="80">
        <f>CR199/CM199-1</f>
        <v>-6.5934065934065922E-2</v>
      </c>
      <c r="CS202" s="80">
        <f t="shared" si="196"/>
        <v>-5.6868537666174279E-2</v>
      </c>
      <c r="CT202" s="80">
        <f t="shared" si="196"/>
        <v>-6.6620402498265063E-2</v>
      </c>
      <c r="CU202" s="80">
        <f t="shared" si="196"/>
        <v>1.1441647597254079E-2</v>
      </c>
      <c r="CV202" s="80">
        <f t="shared" si="196"/>
        <v>-6.2764456981664329E-2</v>
      </c>
      <c r="CW202" s="80">
        <f>CW199/CR199-1</f>
        <v>-4.4886877828054339E-2</v>
      </c>
      <c r="CX202" s="80">
        <f>CX199/CS199-1</f>
        <v>1.3312451057165164E-2</v>
      </c>
      <c r="CY202" s="80">
        <f>CY199/CT199-1</f>
        <v>-6.2453531598512968E-2</v>
      </c>
      <c r="CZ202" s="80">
        <f>CZ199/CU199-1</f>
        <v>9.8039215686274161E-3</v>
      </c>
      <c r="DA202" s="80">
        <f>DA199/CV199-1</f>
        <v>4.8156508653122598E-2</v>
      </c>
      <c r="DB202" s="83">
        <f>DB199/CW199-1</f>
        <v>1.895016107636982E-3</v>
      </c>
      <c r="DC202" s="83">
        <f>DC199/CX199-1</f>
        <v>-4.7140649149922775E-2</v>
      </c>
      <c r="DD202" s="83">
        <f>DD199/CY199-1</f>
        <v>-2.2997620935765295E-2</v>
      </c>
      <c r="DE202" s="83">
        <f>DE199/CZ199-1</f>
        <v>-0.1530993278566094</v>
      </c>
      <c r="DF202" s="83">
        <f>DF199/DA199-1</f>
        <v>-0.34458004307250534</v>
      </c>
      <c r="DG202" s="80">
        <f>DG199/DB199-1</f>
        <v>-0.14658596557594095</v>
      </c>
      <c r="DH202" s="80">
        <f>DH199/DC199-1</f>
        <v>-0.15594484995944846</v>
      </c>
      <c r="DI202" s="80">
        <f>DI199/DD199-1</f>
        <v>-0.15386363636363631</v>
      </c>
      <c r="DJ202" s="80">
        <f>DJ199/DE199-1</f>
        <v>-0.14790123456790127</v>
      </c>
      <c r="DK202" s="80">
        <f>DK199/DF199-1</f>
        <v>-0.14065717415115009</v>
      </c>
      <c r="DL202" s="189">
        <f>DL199/DG199-1</f>
        <v>-0.15026152482269517</v>
      </c>
      <c r="DM202" s="189">
        <f t="shared" ref="DM202:DP202" si="198">DM199/DL199-1</f>
        <v>-0.1449781691279648</v>
      </c>
      <c r="DN202" s="189">
        <f t="shared" si="198"/>
        <v>-0.13950970705980281</v>
      </c>
      <c r="DO202" s="189">
        <f t="shared" si="198"/>
        <v>-0.39439946343928134</v>
      </c>
      <c r="DP202" s="189">
        <f t="shared" si="198"/>
        <v>-0.45587744352966997</v>
      </c>
    </row>
    <row r="203" spans="1:120" x14ac:dyDescent="0.2">
      <c r="A203" s="104" t="s">
        <v>159</v>
      </c>
      <c r="B203" s="31"/>
      <c r="C203" s="31"/>
      <c r="D203" s="31"/>
      <c r="E203" s="31"/>
      <c r="F203" s="31"/>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c r="BF203" s="69"/>
      <c r="BG203" s="69"/>
      <c r="BH203" s="69"/>
      <c r="BI203" s="69"/>
      <c r="BJ203" s="69"/>
      <c r="BK203" s="114"/>
      <c r="BL203" s="69"/>
      <c r="BM203" s="69"/>
      <c r="BN203" s="69"/>
      <c r="BO203" s="69"/>
      <c r="BP203" s="114"/>
      <c r="BQ203" s="69"/>
      <c r="BR203" s="69"/>
      <c r="BS203" s="69"/>
      <c r="BT203" s="69"/>
      <c r="BU203" s="114"/>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204"/>
      <c r="DM203" s="204"/>
      <c r="DN203" s="204"/>
      <c r="DO203" s="204"/>
      <c r="DP203" s="204"/>
    </row>
    <row r="204" spans="1:120" x14ac:dyDescent="0.2">
      <c r="A204" s="36" t="s">
        <v>160</v>
      </c>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v>26</v>
      </c>
      <c r="AJ204" s="36">
        <f>AI204+AH204+AG204+AF204</f>
        <v>26</v>
      </c>
      <c r="AK204" s="36">
        <v>54</v>
      </c>
      <c r="AL204" s="36">
        <v>68</v>
      </c>
      <c r="AM204" s="36">
        <v>67</v>
      </c>
      <c r="AN204" s="36">
        <v>65</v>
      </c>
      <c r="AO204" s="36">
        <f>AN204+AM204+AL204+AK204</f>
        <v>254</v>
      </c>
      <c r="AP204" s="36">
        <v>72</v>
      </c>
      <c r="AQ204" s="36">
        <v>79</v>
      </c>
      <c r="AR204" s="36">
        <v>82</v>
      </c>
      <c r="AS204" s="36">
        <v>80</v>
      </c>
      <c r="AT204" s="36">
        <f>AS204+AR204+AQ204+AP204</f>
        <v>313</v>
      </c>
      <c r="AU204" s="36">
        <v>83</v>
      </c>
      <c r="AV204" s="36">
        <v>88</v>
      </c>
      <c r="AW204" s="36">
        <v>84</v>
      </c>
      <c r="AX204" s="36">
        <v>86</v>
      </c>
      <c r="AY204" s="36">
        <f>AX204+AW204+AV204+AU204</f>
        <v>341</v>
      </c>
      <c r="AZ204" s="36">
        <v>87</v>
      </c>
      <c r="BA204" s="36">
        <v>90</v>
      </c>
      <c r="BB204" s="36">
        <v>90</v>
      </c>
      <c r="BC204" s="36">
        <v>102</v>
      </c>
      <c r="BD204" s="36">
        <f>BC204+BB204+BA204+AZ204</f>
        <v>369</v>
      </c>
      <c r="BE204" s="36">
        <v>83</v>
      </c>
      <c r="BF204" s="36">
        <v>92</v>
      </c>
      <c r="BG204" s="36">
        <v>93</v>
      </c>
      <c r="BH204" s="36">
        <v>99</v>
      </c>
      <c r="BI204" s="36">
        <f>SUM(BE204:BH204)</f>
        <v>367</v>
      </c>
      <c r="BJ204" s="36">
        <v>89</v>
      </c>
      <c r="BK204" s="36">
        <v>107</v>
      </c>
      <c r="BL204" s="36">
        <v>106</v>
      </c>
      <c r="BM204" s="36">
        <v>123</v>
      </c>
      <c r="BN204" s="36">
        <f>SUM(BJ204:BM204)</f>
        <v>425</v>
      </c>
      <c r="BO204" s="36">
        <v>103</v>
      </c>
      <c r="BP204" s="36">
        <v>112</v>
      </c>
      <c r="BQ204" s="36">
        <v>119</v>
      </c>
      <c r="BR204" s="36">
        <v>127</v>
      </c>
      <c r="BS204" s="36">
        <f>SUM(BO204:BR204)</f>
        <v>461</v>
      </c>
      <c r="BT204" s="36">
        <v>112</v>
      </c>
      <c r="BU204" s="36">
        <v>126</v>
      </c>
      <c r="BV204" s="36">
        <v>135</v>
      </c>
      <c r="BW204" s="36">
        <v>142</v>
      </c>
      <c r="BX204" s="36">
        <f>SUM(BT204:BW204)</f>
        <v>515</v>
      </c>
      <c r="BY204" s="36">
        <v>128</v>
      </c>
      <c r="BZ204" s="36">
        <v>149</v>
      </c>
      <c r="CA204" s="36">
        <v>144</v>
      </c>
      <c r="CB204" s="36">
        <v>155</v>
      </c>
      <c r="CC204" s="36">
        <f>SUM(BY204:CB204)</f>
        <v>576</v>
      </c>
      <c r="CD204" s="36">
        <v>113</v>
      </c>
      <c r="CE204" s="36">
        <v>153</v>
      </c>
      <c r="CF204" s="36">
        <v>160</v>
      </c>
      <c r="CG204" s="36">
        <v>139</v>
      </c>
      <c r="CH204" s="36">
        <f>SUM(CD204:CG204)</f>
        <v>565</v>
      </c>
      <c r="CI204" s="36">
        <v>170.5</v>
      </c>
      <c r="CJ204" s="36">
        <v>187</v>
      </c>
      <c r="CK204" s="36">
        <v>193</v>
      </c>
      <c r="CL204" s="36">
        <v>171</v>
      </c>
      <c r="CM204" s="36">
        <f>SUM(CI204:CL204)</f>
        <v>721.5</v>
      </c>
      <c r="CN204" s="36">
        <v>185</v>
      </c>
      <c r="CO204" s="36">
        <v>206</v>
      </c>
      <c r="CP204" s="36">
        <v>202</v>
      </c>
      <c r="CQ204" s="36">
        <v>150</v>
      </c>
      <c r="CR204" s="36">
        <f>SUM(CN204:CQ204)</f>
        <v>743</v>
      </c>
      <c r="CS204" s="36">
        <v>26</v>
      </c>
      <c r="CT204" s="36">
        <v>35</v>
      </c>
      <c r="CU204" s="36">
        <v>24</v>
      </c>
      <c r="CV204" s="36">
        <v>25</v>
      </c>
      <c r="CW204" s="72">
        <f>SUM(CS204:CV204)</f>
        <v>110</v>
      </c>
      <c r="CX204" s="36">
        <v>21</v>
      </c>
      <c r="CY204" s="36"/>
      <c r="CZ204" s="36"/>
      <c r="DA204" s="36"/>
      <c r="DB204" s="72"/>
      <c r="DC204" s="72"/>
      <c r="DD204" s="72"/>
      <c r="DE204" s="72"/>
      <c r="DF204" s="72"/>
      <c r="DG204" s="36"/>
      <c r="DH204" s="36"/>
      <c r="DI204" s="36"/>
      <c r="DJ204" s="36"/>
      <c r="DK204" s="36"/>
      <c r="DL204" s="183"/>
      <c r="DM204" s="183"/>
      <c r="DN204" s="183"/>
      <c r="DO204" s="183"/>
      <c r="DP204" s="183"/>
    </row>
    <row r="205" spans="1:120" x14ac:dyDescent="0.2">
      <c r="A205" s="36" t="s">
        <v>161</v>
      </c>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v>19</v>
      </c>
      <c r="AJ205" s="36">
        <f>AI205+AH205+AG205+AF205</f>
        <v>19</v>
      </c>
      <c r="AK205" s="36">
        <v>42</v>
      </c>
      <c r="AL205" s="36">
        <v>48</v>
      </c>
      <c r="AM205" s="36">
        <v>51</v>
      </c>
      <c r="AN205" s="36">
        <v>45</v>
      </c>
      <c r="AO205" s="36">
        <f>AN205+AM205+AL205+AK205</f>
        <v>186</v>
      </c>
      <c r="AP205" s="36">
        <v>43</v>
      </c>
      <c r="AQ205" s="36">
        <v>50</v>
      </c>
      <c r="AR205" s="36">
        <v>49</v>
      </c>
      <c r="AS205" s="36">
        <v>55</v>
      </c>
      <c r="AT205" s="36">
        <f>AS205+AR205+AQ205+AP205</f>
        <v>197</v>
      </c>
      <c r="AU205" s="36">
        <v>52</v>
      </c>
      <c r="AV205" s="36">
        <v>57</v>
      </c>
      <c r="AW205" s="36">
        <v>50</v>
      </c>
      <c r="AX205" s="36">
        <v>58</v>
      </c>
      <c r="AY205" s="36">
        <f>AX205+AW205+AV205+AU205</f>
        <v>217</v>
      </c>
      <c r="AZ205" s="36">
        <v>56</v>
      </c>
      <c r="BA205" s="36">
        <v>64</v>
      </c>
      <c r="BB205" s="36">
        <v>68</v>
      </c>
      <c r="BC205" s="36">
        <v>66</v>
      </c>
      <c r="BD205" s="36">
        <f>BC205+BB205+BA205+AZ205</f>
        <v>254</v>
      </c>
      <c r="BE205" s="36">
        <v>63</v>
      </c>
      <c r="BF205" s="36">
        <v>65</v>
      </c>
      <c r="BG205" s="36">
        <v>64</v>
      </c>
      <c r="BH205" s="36">
        <v>66</v>
      </c>
      <c r="BI205" s="36">
        <f>SUM(BE205:BH205)</f>
        <v>258</v>
      </c>
      <c r="BJ205" s="36">
        <v>62</v>
      </c>
      <c r="BK205" s="36">
        <v>64</v>
      </c>
      <c r="BL205" s="36">
        <v>64</v>
      </c>
      <c r="BM205" s="36">
        <v>70</v>
      </c>
      <c r="BN205" s="36">
        <f>SUM(BJ205:BM205)</f>
        <v>260</v>
      </c>
      <c r="BO205" s="36">
        <v>65</v>
      </c>
      <c r="BP205" s="36">
        <v>66</v>
      </c>
      <c r="BQ205" s="36">
        <v>67</v>
      </c>
      <c r="BR205" s="36">
        <v>64</v>
      </c>
      <c r="BS205" s="36">
        <f>SUM(BO205:BR205)</f>
        <v>262</v>
      </c>
      <c r="BT205" s="36">
        <v>54</v>
      </c>
      <c r="BU205" s="36">
        <v>56</v>
      </c>
      <c r="BV205" s="36">
        <v>56</v>
      </c>
      <c r="BW205" s="36">
        <v>51</v>
      </c>
      <c r="BX205" s="36">
        <f>SUM(BT205:BW205)</f>
        <v>217</v>
      </c>
      <c r="BY205" s="36">
        <v>48</v>
      </c>
      <c r="BZ205" s="36">
        <v>51</v>
      </c>
      <c r="CA205" s="36">
        <v>51</v>
      </c>
      <c r="CB205" s="36">
        <v>52</v>
      </c>
      <c r="CC205" s="36">
        <f>SUM(BY205:CB205)</f>
        <v>202</v>
      </c>
      <c r="CD205" s="36">
        <v>47</v>
      </c>
      <c r="CE205" s="36">
        <v>47</v>
      </c>
      <c r="CF205" s="36">
        <v>54</v>
      </c>
      <c r="CG205" s="36">
        <v>49</v>
      </c>
      <c r="CH205" s="36">
        <f>SUM(CD205:CG205)</f>
        <v>197</v>
      </c>
      <c r="CI205" s="36">
        <v>45.5</v>
      </c>
      <c r="CJ205" s="36">
        <v>49</v>
      </c>
      <c r="CK205" s="36">
        <v>41</v>
      </c>
      <c r="CL205" s="36">
        <v>45</v>
      </c>
      <c r="CM205" s="36">
        <f>SUM(CI205:CL205)</f>
        <v>180.5</v>
      </c>
      <c r="CN205" s="36">
        <v>34</v>
      </c>
      <c r="CO205" s="36">
        <v>34</v>
      </c>
      <c r="CP205" s="36">
        <v>39</v>
      </c>
      <c r="CQ205" s="36">
        <v>29</v>
      </c>
      <c r="CR205" s="36">
        <f>SUM(CN205:CQ205)</f>
        <v>136</v>
      </c>
      <c r="CS205" s="36">
        <v>37</v>
      </c>
      <c r="CT205" s="36">
        <v>28</v>
      </c>
      <c r="CU205" s="36">
        <v>34</v>
      </c>
      <c r="CV205" s="36">
        <v>28</v>
      </c>
      <c r="CW205" s="72">
        <f>SUM(CS205:CV205)</f>
        <v>127</v>
      </c>
      <c r="CX205" s="36">
        <v>24</v>
      </c>
      <c r="CY205" s="36"/>
      <c r="CZ205" s="36"/>
      <c r="DA205" s="36"/>
      <c r="DB205" s="72"/>
      <c r="DC205" s="72"/>
      <c r="DD205" s="72"/>
      <c r="DE205" s="72"/>
      <c r="DF205" s="72"/>
      <c r="DG205" s="36"/>
      <c r="DH205" s="36"/>
      <c r="DI205" s="36"/>
      <c r="DJ205" s="36"/>
      <c r="DK205" s="36"/>
      <c r="DL205" s="183"/>
      <c r="DM205" s="183"/>
      <c r="DN205" s="183"/>
      <c r="DO205" s="183"/>
      <c r="DP205" s="183"/>
    </row>
    <row r="206" spans="1:120" x14ac:dyDescent="0.2">
      <c r="A206" s="39" t="s">
        <v>162</v>
      </c>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f>AI205+AI204</f>
        <v>45</v>
      </c>
      <c r="AJ206" s="39">
        <f>AI206+AH206+AG206+AF206</f>
        <v>45</v>
      </c>
      <c r="AK206" s="39">
        <f>AK205+AK204</f>
        <v>96</v>
      </c>
      <c r="AL206" s="39">
        <f>AL205+AL204</f>
        <v>116</v>
      </c>
      <c r="AM206" s="39">
        <f>AM205+AM204</f>
        <v>118</v>
      </c>
      <c r="AN206" s="39">
        <f>AN205+AN204</f>
        <v>110</v>
      </c>
      <c r="AO206" s="39">
        <f>AN206+AM206+AL206+AK206</f>
        <v>440</v>
      </c>
      <c r="AP206" s="39">
        <f>AP205+AP204</f>
        <v>115</v>
      </c>
      <c r="AQ206" s="39">
        <f>AQ205+AQ204</f>
        <v>129</v>
      </c>
      <c r="AR206" s="39">
        <f>AR205+AR204</f>
        <v>131</v>
      </c>
      <c r="AS206" s="39">
        <f>AS205+AS204</f>
        <v>135</v>
      </c>
      <c r="AT206" s="39">
        <f>AS206+AR206+AQ206+AP206</f>
        <v>510</v>
      </c>
      <c r="AU206" s="39">
        <f>AU205+AU204</f>
        <v>135</v>
      </c>
      <c r="AV206" s="39">
        <f>AV205+AV204</f>
        <v>145</v>
      </c>
      <c r="AW206" s="39">
        <f>AW205+AW204</f>
        <v>134</v>
      </c>
      <c r="AX206" s="39">
        <f>AX205+AX204</f>
        <v>144</v>
      </c>
      <c r="AY206" s="39">
        <f>AX206+AW206+AV206+AU206</f>
        <v>558</v>
      </c>
      <c r="AZ206" s="39">
        <f>AZ205+AZ204</f>
        <v>143</v>
      </c>
      <c r="BA206" s="39">
        <f>BA205+BA204</f>
        <v>154</v>
      </c>
      <c r="BB206" s="39">
        <f>BB205+BB204</f>
        <v>158</v>
      </c>
      <c r="BC206" s="39">
        <f>BC205+BC204</f>
        <v>168</v>
      </c>
      <c r="BD206" s="39">
        <f>BC206+BB206+BA206+AZ206</f>
        <v>623</v>
      </c>
      <c r="BE206" s="39">
        <f>BE204+BE205</f>
        <v>146</v>
      </c>
      <c r="BF206" s="39">
        <f>BF204+BF205</f>
        <v>157</v>
      </c>
      <c r="BG206" s="39">
        <f>BG204+BG205</f>
        <v>157</v>
      </c>
      <c r="BH206" s="39">
        <f>BH204+BH205</f>
        <v>165</v>
      </c>
      <c r="BI206" s="39">
        <f t="shared" ref="BI206:BX206" si="199">BI205+BI204</f>
        <v>625</v>
      </c>
      <c r="BJ206" s="39">
        <f t="shared" si="199"/>
        <v>151</v>
      </c>
      <c r="BK206" s="39">
        <f t="shared" si="199"/>
        <v>171</v>
      </c>
      <c r="BL206" s="39">
        <f t="shared" si="199"/>
        <v>170</v>
      </c>
      <c r="BM206" s="39">
        <f t="shared" si="199"/>
        <v>193</v>
      </c>
      <c r="BN206" s="39">
        <f t="shared" si="199"/>
        <v>685</v>
      </c>
      <c r="BO206" s="39">
        <f t="shared" si="199"/>
        <v>168</v>
      </c>
      <c r="BP206" s="39">
        <f t="shared" si="199"/>
        <v>178</v>
      </c>
      <c r="BQ206" s="39">
        <f t="shared" si="199"/>
        <v>186</v>
      </c>
      <c r="BR206" s="39">
        <f t="shared" si="199"/>
        <v>191</v>
      </c>
      <c r="BS206" s="39">
        <f t="shared" si="199"/>
        <v>723</v>
      </c>
      <c r="BT206" s="39">
        <f t="shared" si="199"/>
        <v>166</v>
      </c>
      <c r="BU206" s="39">
        <f t="shared" si="199"/>
        <v>182</v>
      </c>
      <c r="BV206" s="39">
        <f t="shared" si="199"/>
        <v>191</v>
      </c>
      <c r="BW206" s="39">
        <f t="shared" si="199"/>
        <v>193</v>
      </c>
      <c r="BX206" s="39">
        <f t="shared" si="199"/>
        <v>732</v>
      </c>
      <c r="BY206" s="39">
        <f>BY205+BY204-1</f>
        <v>175</v>
      </c>
      <c r="BZ206" s="39">
        <f>BZ205+BZ204-1</f>
        <v>199</v>
      </c>
      <c r="CA206" s="39">
        <f t="shared" ref="CA206:CQ206" si="200">CA205+CA204</f>
        <v>195</v>
      </c>
      <c r="CB206" s="39">
        <f t="shared" si="200"/>
        <v>207</v>
      </c>
      <c r="CC206" s="39">
        <f t="shared" si="200"/>
        <v>778</v>
      </c>
      <c r="CD206" s="39">
        <f t="shared" si="200"/>
        <v>160</v>
      </c>
      <c r="CE206" s="39">
        <f t="shared" si="200"/>
        <v>200</v>
      </c>
      <c r="CF206" s="39">
        <f t="shared" si="200"/>
        <v>214</v>
      </c>
      <c r="CG206" s="39">
        <f t="shared" si="200"/>
        <v>188</v>
      </c>
      <c r="CH206" s="39">
        <f t="shared" si="200"/>
        <v>762</v>
      </c>
      <c r="CI206" s="39">
        <f t="shared" si="200"/>
        <v>216</v>
      </c>
      <c r="CJ206" s="39">
        <f t="shared" si="200"/>
        <v>236</v>
      </c>
      <c r="CK206" s="39">
        <f t="shared" si="200"/>
        <v>234</v>
      </c>
      <c r="CL206" s="39">
        <f t="shared" si="200"/>
        <v>216</v>
      </c>
      <c r="CM206" s="39">
        <f t="shared" si="200"/>
        <v>902</v>
      </c>
      <c r="CN206" s="39">
        <f t="shared" si="200"/>
        <v>219</v>
      </c>
      <c r="CO206" s="39">
        <f t="shared" si="200"/>
        <v>240</v>
      </c>
      <c r="CP206" s="39">
        <f t="shared" si="200"/>
        <v>241</v>
      </c>
      <c r="CQ206" s="39">
        <f t="shared" si="200"/>
        <v>179</v>
      </c>
      <c r="CR206" s="39">
        <f>CR205+CR204</f>
        <v>879</v>
      </c>
      <c r="CS206" s="39">
        <f>CS205+CS204</f>
        <v>63</v>
      </c>
      <c r="CT206" s="39">
        <f>CT205+CT204</f>
        <v>63</v>
      </c>
      <c r="CU206" s="39">
        <f>CU205+CU204</f>
        <v>58</v>
      </c>
      <c r="CV206" s="39">
        <f>CV205+CV204</f>
        <v>53</v>
      </c>
      <c r="CW206" s="74">
        <f>SUM(CS206:CV206)</f>
        <v>237</v>
      </c>
      <c r="CX206" s="39">
        <f>SUM(CX204:CX205)</f>
        <v>45</v>
      </c>
      <c r="CY206" s="39"/>
      <c r="CZ206" s="39"/>
      <c r="DA206" s="39"/>
      <c r="DB206" s="74"/>
      <c r="DC206" s="74"/>
      <c r="DD206" s="74"/>
      <c r="DE206" s="74"/>
      <c r="DF206" s="74"/>
      <c r="DG206" s="39"/>
      <c r="DH206" s="39"/>
      <c r="DI206" s="39"/>
      <c r="DJ206" s="39"/>
      <c r="DK206" s="39"/>
      <c r="DL206" s="187"/>
      <c r="DM206" s="187"/>
      <c r="DN206" s="187"/>
      <c r="DO206" s="187"/>
      <c r="DP206" s="187"/>
    </row>
    <row r="207" spans="1:120" x14ac:dyDescent="0.2">
      <c r="A207" s="68" t="s">
        <v>54</v>
      </c>
      <c r="G207" s="39"/>
      <c r="H207" s="39"/>
      <c r="I207" s="39"/>
      <c r="J207" s="39"/>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f t="shared" ref="AT207:CX209" si="201">AT204/AO204-1</f>
        <v>0.23228346456692917</v>
      </c>
      <c r="AU207" s="75">
        <f t="shared" si="201"/>
        <v>0.15277777777777768</v>
      </c>
      <c r="AV207" s="75">
        <f t="shared" si="201"/>
        <v>0.11392405063291133</v>
      </c>
      <c r="AW207" s="75">
        <f t="shared" si="201"/>
        <v>2.4390243902439046E-2</v>
      </c>
      <c r="AX207" s="75">
        <f t="shared" si="201"/>
        <v>7.4999999999999956E-2</v>
      </c>
      <c r="AY207" s="75">
        <f t="shared" si="201"/>
        <v>8.9456869009584716E-2</v>
      </c>
      <c r="AZ207" s="75">
        <f t="shared" si="201"/>
        <v>4.8192771084337283E-2</v>
      </c>
      <c r="BA207" s="75">
        <f t="shared" si="201"/>
        <v>2.2727272727272707E-2</v>
      </c>
      <c r="BB207" s="75">
        <f t="shared" si="201"/>
        <v>7.1428571428571397E-2</v>
      </c>
      <c r="BC207" s="75">
        <f t="shared" si="201"/>
        <v>0.18604651162790709</v>
      </c>
      <c r="BD207" s="75">
        <f t="shared" si="201"/>
        <v>8.2111436950146555E-2</v>
      </c>
      <c r="BE207" s="76">
        <f t="shared" si="201"/>
        <v>-4.5977011494252928E-2</v>
      </c>
      <c r="BF207" s="76">
        <f t="shared" si="201"/>
        <v>2.2222222222222143E-2</v>
      </c>
      <c r="BG207" s="76">
        <f t="shared" si="201"/>
        <v>3.3333333333333437E-2</v>
      </c>
      <c r="BH207" s="76">
        <f t="shared" si="201"/>
        <v>-2.9411764705882359E-2</v>
      </c>
      <c r="BI207" s="90">
        <f t="shared" si="201"/>
        <v>-5.4200542005420349E-3</v>
      </c>
      <c r="BJ207" s="76">
        <f t="shared" si="201"/>
        <v>7.2289156626506035E-2</v>
      </c>
      <c r="BK207" s="76">
        <f t="shared" si="201"/>
        <v>0.16304347826086962</v>
      </c>
      <c r="BL207" s="76">
        <f t="shared" si="201"/>
        <v>0.13978494623655924</v>
      </c>
      <c r="BM207" s="76">
        <f t="shared" si="201"/>
        <v>0.24242424242424243</v>
      </c>
      <c r="BN207" s="90">
        <f>BN204/BI204-1</f>
        <v>0.15803814713896447</v>
      </c>
      <c r="BO207" s="76">
        <f t="shared" si="201"/>
        <v>0.15730337078651679</v>
      </c>
      <c r="BP207" s="76">
        <f t="shared" si="201"/>
        <v>4.6728971962616717E-2</v>
      </c>
      <c r="BQ207" s="76">
        <f t="shared" si="201"/>
        <v>0.12264150943396235</v>
      </c>
      <c r="BR207" s="76">
        <f t="shared" si="201"/>
        <v>3.2520325203251987E-2</v>
      </c>
      <c r="BS207" s="75">
        <f>BS204/BN204-1</f>
        <v>8.4705882352941186E-2</v>
      </c>
      <c r="BT207" s="76">
        <f t="shared" si="201"/>
        <v>8.737864077669899E-2</v>
      </c>
      <c r="BU207" s="76">
        <f t="shared" si="201"/>
        <v>0.125</v>
      </c>
      <c r="BV207" s="76">
        <f t="shared" si="201"/>
        <v>0.13445378151260501</v>
      </c>
      <c r="BW207" s="76">
        <f t="shared" si="201"/>
        <v>0.11811023622047245</v>
      </c>
      <c r="BX207" s="75">
        <f>BX204/BS204-1</f>
        <v>0.11713665943600859</v>
      </c>
      <c r="BY207" s="76">
        <f t="shared" si="201"/>
        <v>0.14285714285714279</v>
      </c>
      <c r="BZ207" s="76">
        <f t="shared" si="201"/>
        <v>0.18253968253968256</v>
      </c>
      <c r="CA207" s="76">
        <f t="shared" si="201"/>
        <v>6.6666666666666652E-2</v>
      </c>
      <c r="CB207" s="76">
        <f t="shared" si="201"/>
        <v>9.1549295774647987E-2</v>
      </c>
      <c r="CC207" s="75">
        <f>CC204/BX204-1</f>
        <v>0.11844660194174761</v>
      </c>
      <c r="CD207" s="76">
        <f t="shared" si="201"/>
        <v>-0.1171875</v>
      </c>
      <c r="CE207" s="76">
        <f t="shared" si="201"/>
        <v>2.6845637583892579E-2</v>
      </c>
      <c r="CF207" s="76">
        <f t="shared" si="201"/>
        <v>0.11111111111111116</v>
      </c>
      <c r="CG207" s="76">
        <f t="shared" si="201"/>
        <v>-0.10322580645161294</v>
      </c>
      <c r="CH207" s="75">
        <f t="shared" si="201"/>
        <v>-1.909722222222221E-2</v>
      </c>
      <c r="CI207" s="76">
        <f t="shared" si="201"/>
        <v>0.50884955752212391</v>
      </c>
      <c r="CJ207" s="76">
        <f t="shared" si="201"/>
        <v>0.22222222222222232</v>
      </c>
      <c r="CK207" s="76">
        <f t="shared" si="201"/>
        <v>0.20625000000000004</v>
      </c>
      <c r="CL207" s="76">
        <f t="shared" si="201"/>
        <v>0.2302158273381294</v>
      </c>
      <c r="CM207" s="75">
        <f t="shared" si="201"/>
        <v>0.2769911504424778</v>
      </c>
      <c r="CN207" s="75">
        <f t="shared" si="201"/>
        <v>8.5043988269794646E-2</v>
      </c>
      <c r="CO207" s="75">
        <f t="shared" si="201"/>
        <v>0.10160427807486627</v>
      </c>
      <c r="CP207" s="75">
        <f t="shared" si="201"/>
        <v>4.663212435233155E-2</v>
      </c>
      <c r="CQ207" s="75">
        <f t="shared" si="201"/>
        <v>-0.1228070175438597</v>
      </c>
      <c r="CR207" s="75">
        <f>CR204/CM204-1</f>
        <v>2.9799029799029819E-2</v>
      </c>
      <c r="CS207" s="75">
        <f t="shared" si="201"/>
        <v>-0.85945945945945945</v>
      </c>
      <c r="CT207" s="75">
        <f t="shared" si="201"/>
        <v>-0.83009708737864074</v>
      </c>
      <c r="CU207" s="75">
        <f t="shared" si="201"/>
        <v>-0.88118811881188119</v>
      </c>
      <c r="CV207" s="75">
        <f t="shared" si="201"/>
        <v>-0.83333333333333337</v>
      </c>
      <c r="CW207" s="90">
        <f>CW204/CR204-1</f>
        <v>-0.85195154777927318</v>
      </c>
      <c r="CX207" s="75">
        <f t="shared" si="201"/>
        <v>-0.19230769230769229</v>
      </c>
      <c r="CY207" s="75"/>
      <c r="CZ207" s="75"/>
      <c r="DA207" s="75"/>
      <c r="DB207" s="90"/>
      <c r="DC207" s="90"/>
      <c r="DD207" s="90"/>
      <c r="DE207" s="90"/>
      <c r="DF207" s="90"/>
      <c r="DG207" s="75"/>
      <c r="DH207" s="75"/>
      <c r="DI207" s="75"/>
      <c r="DJ207" s="75"/>
      <c r="DK207" s="75"/>
      <c r="DL207" s="192"/>
      <c r="DM207" s="192"/>
      <c r="DN207" s="192"/>
      <c r="DO207" s="192"/>
      <c r="DP207" s="192"/>
    </row>
    <row r="208" spans="1:120" x14ac:dyDescent="0.2">
      <c r="A208" s="68" t="s">
        <v>55</v>
      </c>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f t="shared" si="201"/>
        <v>5.9139784946236507E-2</v>
      </c>
      <c r="AU208" s="75">
        <f t="shared" si="201"/>
        <v>0.20930232558139528</v>
      </c>
      <c r="AV208" s="75">
        <f t="shared" si="201"/>
        <v>0.1399999999999999</v>
      </c>
      <c r="AW208" s="75">
        <f t="shared" si="201"/>
        <v>2.0408163265306145E-2</v>
      </c>
      <c r="AX208" s="75">
        <f t="shared" si="201"/>
        <v>5.4545454545454453E-2</v>
      </c>
      <c r="AY208" s="75">
        <f t="shared" si="201"/>
        <v>0.10152284263959399</v>
      </c>
      <c r="AZ208" s="75">
        <f t="shared" si="201"/>
        <v>7.6923076923076872E-2</v>
      </c>
      <c r="BA208" s="75">
        <f t="shared" si="201"/>
        <v>0.12280701754385959</v>
      </c>
      <c r="BB208" s="75">
        <f t="shared" si="201"/>
        <v>0.3600000000000001</v>
      </c>
      <c r="BC208" s="75">
        <f t="shared" si="201"/>
        <v>0.13793103448275867</v>
      </c>
      <c r="BD208" s="75">
        <f t="shared" si="201"/>
        <v>0.17050691244239635</v>
      </c>
      <c r="BE208" s="76">
        <f t="shared" si="201"/>
        <v>0.125</v>
      </c>
      <c r="BF208" s="76">
        <f t="shared" si="201"/>
        <v>1.5625E-2</v>
      </c>
      <c r="BG208" s="76">
        <f t="shared" si="201"/>
        <v>-5.8823529411764719E-2</v>
      </c>
      <c r="BH208" s="76">
        <f t="shared" si="201"/>
        <v>0</v>
      </c>
      <c r="BI208" s="90">
        <f t="shared" si="201"/>
        <v>1.5748031496062964E-2</v>
      </c>
      <c r="BJ208" s="76">
        <f t="shared" si="201"/>
        <v>-1.5873015873015928E-2</v>
      </c>
      <c r="BK208" s="76">
        <f t="shared" si="201"/>
        <v>-1.538461538461533E-2</v>
      </c>
      <c r="BL208" s="76">
        <f t="shared" si="201"/>
        <v>0</v>
      </c>
      <c r="BM208" s="76">
        <f t="shared" si="201"/>
        <v>6.0606060606060552E-2</v>
      </c>
      <c r="BN208" s="90">
        <f>BN205/BI205-1</f>
        <v>7.7519379844961378E-3</v>
      </c>
      <c r="BO208" s="76">
        <f t="shared" si="201"/>
        <v>4.8387096774193505E-2</v>
      </c>
      <c r="BP208" s="76">
        <f t="shared" si="201"/>
        <v>3.125E-2</v>
      </c>
      <c r="BQ208" s="76">
        <f t="shared" si="201"/>
        <v>4.6875E-2</v>
      </c>
      <c r="BR208" s="76">
        <f t="shared" si="201"/>
        <v>-8.5714285714285743E-2</v>
      </c>
      <c r="BS208" s="75">
        <f>BS205/BN205-1</f>
        <v>7.692307692307665E-3</v>
      </c>
      <c r="BT208" s="76">
        <f t="shared" si="201"/>
        <v>-0.16923076923076918</v>
      </c>
      <c r="BU208" s="76">
        <f t="shared" si="201"/>
        <v>-0.15151515151515149</v>
      </c>
      <c r="BV208" s="76">
        <f t="shared" si="201"/>
        <v>-0.16417910447761197</v>
      </c>
      <c r="BW208" s="76">
        <f t="shared" si="201"/>
        <v>-0.203125</v>
      </c>
      <c r="BX208" s="75">
        <f>BX205/BS205-1</f>
        <v>-0.1717557251908397</v>
      </c>
      <c r="BY208" s="76">
        <f t="shared" si="201"/>
        <v>-0.11111111111111116</v>
      </c>
      <c r="BZ208" s="76">
        <f t="shared" si="201"/>
        <v>-8.9285714285714302E-2</v>
      </c>
      <c r="CA208" s="76">
        <f t="shared" si="201"/>
        <v>-8.9285714285714302E-2</v>
      </c>
      <c r="CB208" s="76">
        <f t="shared" si="201"/>
        <v>1.9607843137254832E-2</v>
      </c>
      <c r="CC208" s="75">
        <f>CC205/BX205-1</f>
        <v>-6.9124423963133674E-2</v>
      </c>
      <c r="CD208" s="76">
        <f t="shared" si="201"/>
        <v>-2.083333333333337E-2</v>
      </c>
      <c r="CE208" s="76">
        <f t="shared" si="201"/>
        <v>-7.8431372549019662E-2</v>
      </c>
      <c r="CF208" s="76">
        <f t="shared" si="201"/>
        <v>5.8823529411764719E-2</v>
      </c>
      <c r="CG208" s="76">
        <f t="shared" si="201"/>
        <v>-5.7692307692307709E-2</v>
      </c>
      <c r="CH208" s="75">
        <f t="shared" si="201"/>
        <v>-2.4752475247524774E-2</v>
      </c>
      <c r="CI208" s="76">
        <f t="shared" si="201"/>
        <v>-3.1914893617021267E-2</v>
      </c>
      <c r="CJ208" s="76">
        <f t="shared" si="201"/>
        <v>4.2553191489361764E-2</v>
      </c>
      <c r="CK208" s="76">
        <f t="shared" si="201"/>
        <v>-0.2407407407407407</v>
      </c>
      <c r="CL208" s="76">
        <f t="shared" si="201"/>
        <v>-8.1632653061224469E-2</v>
      </c>
      <c r="CM208" s="75">
        <f t="shared" si="201"/>
        <v>-8.3756345177664948E-2</v>
      </c>
      <c r="CN208" s="75">
        <f t="shared" si="201"/>
        <v>-0.25274725274725274</v>
      </c>
      <c r="CO208" s="75">
        <f t="shared" si="201"/>
        <v>-0.30612244897959184</v>
      </c>
      <c r="CP208" s="75">
        <f t="shared" si="201"/>
        <v>-4.8780487804878092E-2</v>
      </c>
      <c r="CQ208" s="75">
        <f t="shared" si="201"/>
        <v>-0.35555555555555551</v>
      </c>
      <c r="CR208" s="75">
        <f>CR205/CM205-1</f>
        <v>-0.24653739612188363</v>
      </c>
      <c r="CS208" s="75">
        <f t="shared" si="201"/>
        <v>8.8235294117646967E-2</v>
      </c>
      <c r="CT208" s="75">
        <f t="shared" si="201"/>
        <v>-0.17647058823529416</v>
      </c>
      <c r="CU208" s="75">
        <f t="shared" si="201"/>
        <v>-0.12820512820512819</v>
      </c>
      <c r="CV208" s="75">
        <f t="shared" si="201"/>
        <v>-3.4482758620689613E-2</v>
      </c>
      <c r="CW208" s="90">
        <f>CW205/CR205-1</f>
        <v>-6.6176470588235281E-2</v>
      </c>
      <c r="CX208" s="75">
        <f t="shared" si="201"/>
        <v>-0.35135135135135132</v>
      </c>
      <c r="CY208" s="75"/>
      <c r="CZ208" s="75"/>
      <c r="DA208" s="75"/>
      <c r="DB208" s="90"/>
      <c r="DC208" s="90"/>
      <c r="DD208" s="90"/>
      <c r="DE208" s="90"/>
      <c r="DF208" s="90"/>
      <c r="DG208" s="75"/>
      <c r="DH208" s="75"/>
      <c r="DI208" s="75"/>
      <c r="DJ208" s="75"/>
      <c r="DK208" s="75"/>
      <c r="DL208" s="192"/>
      <c r="DM208" s="192"/>
      <c r="DN208" s="192"/>
      <c r="DO208" s="192"/>
      <c r="DP208" s="192"/>
    </row>
    <row r="209" spans="1:120" x14ac:dyDescent="0.2">
      <c r="A209" s="78" t="s">
        <v>56</v>
      </c>
      <c r="F209" s="98"/>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f t="shared" si="201"/>
        <v>0.15909090909090917</v>
      </c>
      <c r="AU209" s="83">
        <f t="shared" si="201"/>
        <v>0.17391304347826098</v>
      </c>
      <c r="AV209" s="83">
        <f t="shared" si="201"/>
        <v>0.12403100775193798</v>
      </c>
      <c r="AW209" s="83">
        <f t="shared" si="201"/>
        <v>2.2900763358778553E-2</v>
      </c>
      <c r="AX209" s="83">
        <f t="shared" si="201"/>
        <v>6.6666666666666652E-2</v>
      </c>
      <c r="AY209" s="83">
        <f t="shared" si="201"/>
        <v>9.4117647058823639E-2</v>
      </c>
      <c r="AZ209" s="83">
        <f t="shared" si="201"/>
        <v>5.9259259259259345E-2</v>
      </c>
      <c r="BA209" s="83">
        <f t="shared" si="201"/>
        <v>6.2068965517241281E-2</v>
      </c>
      <c r="BB209" s="83">
        <f t="shared" si="201"/>
        <v>0.17910447761194037</v>
      </c>
      <c r="BC209" s="83">
        <f t="shared" si="201"/>
        <v>0.16666666666666674</v>
      </c>
      <c r="BD209" s="83">
        <f t="shared" si="201"/>
        <v>0.11648745519713266</v>
      </c>
      <c r="BE209" s="80">
        <f t="shared" si="201"/>
        <v>2.0979020979021046E-2</v>
      </c>
      <c r="BF209" s="80">
        <f t="shared" si="201"/>
        <v>1.9480519480519431E-2</v>
      </c>
      <c r="BG209" s="80">
        <f>BG206/BB206-1</f>
        <v>-6.3291139240506666E-3</v>
      </c>
      <c r="BH209" s="80">
        <f>BH206/BC206-1</f>
        <v>-1.7857142857142905E-2</v>
      </c>
      <c r="BI209" s="80">
        <f t="shared" si="201"/>
        <v>3.2102728731941976E-3</v>
      </c>
      <c r="BJ209" s="80">
        <f t="shared" si="201"/>
        <v>3.4246575342465668E-2</v>
      </c>
      <c r="BK209" s="91">
        <f>BK206/BF206-1</f>
        <v>8.9171974522292974E-2</v>
      </c>
      <c r="BL209" s="91">
        <f>BL206/BG206-1</f>
        <v>8.2802547770700619E-2</v>
      </c>
      <c r="BM209" s="91">
        <f>BM206/BH206-1</f>
        <v>0.16969696969696968</v>
      </c>
      <c r="BN209" s="80">
        <f>BN206/BI206-1</f>
        <v>9.6000000000000085E-2</v>
      </c>
      <c r="BO209" s="80">
        <f>BO206/BJ206-1</f>
        <v>0.11258278145695355</v>
      </c>
      <c r="BP209" s="91">
        <f>BP206/BK206-1</f>
        <v>4.0935672514619936E-2</v>
      </c>
      <c r="BQ209" s="91">
        <f>BQ206/BL206-1</f>
        <v>9.4117647058823639E-2</v>
      </c>
      <c r="BR209" s="91">
        <f>BR206/BM206-1</f>
        <v>-1.0362694300518172E-2</v>
      </c>
      <c r="BS209" s="83">
        <f>BS206/BN206-1</f>
        <v>5.5474452554744591E-2</v>
      </c>
      <c r="BT209" s="80">
        <f>BT206/BO206-1</f>
        <v>-1.1904761904761862E-2</v>
      </c>
      <c r="BU209" s="80">
        <f>BU206/BP206-1</f>
        <v>2.2471910112359605E-2</v>
      </c>
      <c r="BV209" s="91">
        <f>BV206/BQ206-1</f>
        <v>2.6881720430107503E-2</v>
      </c>
      <c r="BW209" s="91">
        <f>BW206/BR206-1</f>
        <v>1.0471204188481575E-2</v>
      </c>
      <c r="BX209" s="83">
        <f>BX206/BS206-1</f>
        <v>1.2448132780082943E-2</v>
      </c>
      <c r="BY209" s="83">
        <f>BY206/BT206-1</f>
        <v>5.4216867469879526E-2</v>
      </c>
      <c r="BZ209" s="83">
        <f>BZ206/BU206-1</f>
        <v>9.3406593406593297E-2</v>
      </c>
      <c r="CA209" s="83">
        <f>CA206/BV206-1</f>
        <v>2.0942408376963373E-2</v>
      </c>
      <c r="CB209" s="83">
        <f>CB206/BW206-1</f>
        <v>7.2538860103626979E-2</v>
      </c>
      <c r="CC209" s="83">
        <f>CC206/BX206-1</f>
        <v>6.2841530054644767E-2</v>
      </c>
      <c r="CD209" s="83">
        <f>CD206/BY206-1</f>
        <v>-8.5714285714285743E-2</v>
      </c>
      <c r="CE209" s="83">
        <f>CE206/BZ206-1</f>
        <v>5.0251256281406143E-3</v>
      </c>
      <c r="CF209" s="83">
        <f>CF206/CA206-1</f>
        <v>9.7435897435897534E-2</v>
      </c>
      <c r="CG209" s="83">
        <f>CG206/CB206-1</f>
        <v>-9.1787439613526534E-2</v>
      </c>
      <c r="CH209" s="83">
        <f t="shared" si="201"/>
        <v>-2.0565552699228773E-2</v>
      </c>
      <c r="CI209" s="83">
        <f t="shared" si="201"/>
        <v>0.35000000000000009</v>
      </c>
      <c r="CJ209" s="83">
        <f t="shared" si="201"/>
        <v>0.17999999999999994</v>
      </c>
      <c r="CK209" s="83">
        <f t="shared" si="201"/>
        <v>9.3457943925233655E-2</v>
      </c>
      <c r="CL209" s="83">
        <f t="shared" si="201"/>
        <v>0.14893617021276606</v>
      </c>
      <c r="CM209" s="83">
        <f t="shared" si="201"/>
        <v>0.18372703412073488</v>
      </c>
      <c r="CN209" s="83">
        <f t="shared" si="201"/>
        <v>1.388888888888884E-2</v>
      </c>
      <c r="CO209" s="83">
        <f t="shared" si="201"/>
        <v>1.6949152542372836E-2</v>
      </c>
      <c r="CP209" s="83">
        <f t="shared" si="201"/>
        <v>2.9914529914529808E-2</v>
      </c>
      <c r="CQ209" s="83">
        <f t="shared" si="201"/>
        <v>-0.17129629629629628</v>
      </c>
      <c r="CR209" s="83">
        <f>CR206/CM206-1</f>
        <v>-2.5498891352549902E-2</v>
      </c>
      <c r="CS209" s="83">
        <f t="shared" si="201"/>
        <v>-0.71232876712328763</v>
      </c>
      <c r="CT209" s="83">
        <f t="shared" si="201"/>
        <v>-0.73750000000000004</v>
      </c>
      <c r="CU209" s="83">
        <f t="shared" si="201"/>
        <v>-0.75933609958506221</v>
      </c>
      <c r="CV209" s="83">
        <f t="shared" si="201"/>
        <v>-0.7039106145251397</v>
      </c>
      <c r="CW209" s="83">
        <f>CW206/CR206-1</f>
        <v>-0.7303754266211604</v>
      </c>
      <c r="CX209" s="83">
        <f>CX206/CS206-1</f>
        <v>-0.2857142857142857</v>
      </c>
      <c r="CY209" s="83"/>
      <c r="CZ209" s="83"/>
      <c r="DA209" s="83"/>
      <c r="DB209" s="83"/>
      <c r="DC209" s="83"/>
      <c r="DD209" s="83"/>
      <c r="DE209" s="83"/>
      <c r="DF209" s="83"/>
      <c r="DG209" s="83"/>
      <c r="DH209" s="83"/>
      <c r="DI209" s="83"/>
      <c r="DJ209" s="83"/>
      <c r="DK209" s="83"/>
      <c r="DL209" s="193"/>
      <c r="DM209" s="193"/>
      <c r="DN209" s="193"/>
      <c r="DO209" s="193"/>
      <c r="DP209" s="193"/>
    </row>
    <row r="210" spans="1:120" x14ac:dyDescent="0.2">
      <c r="A210" s="36" t="s">
        <v>163</v>
      </c>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v>3</v>
      </c>
      <c r="AJ210" s="36">
        <f>AI210+AH210+AG210+AF210</f>
        <v>3</v>
      </c>
      <c r="AK210" s="36">
        <v>11</v>
      </c>
      <c r="AL210" s="36">
        <v>14</v>
      </c>
      <c r="AM210" s="36">
        <v>9</v>
      </c>
      <c r="AN210" s="36">
        <v>10</v>
      </c>
      <c r="AO210" s="36">
        <f>AN210+AM210+AL210+AK210</f>
        <v>44</v>
      </c>
      <c r="AP210" s="36">
        <v>13</v>
      </c>
      <c r="AQ210" s="36">
        <v>15</v>
      </c>
      <c r="AR210" s="36">
        <v>17</v>
      </c>
      <c r="AS210" s="36"/>
      <c r="AT210" s="36">
        <f>AS210+AR210+AQ210+AP210</f>
        <v>45</v>
      </c>
      <c r="AU210" s="36">
        <v>19</v>
      </c>
      <c r="AV210" s="36">
        <v>19</v>
      </c>
      <c r="AW210" s="36">
        <v>24</v>
      </c>
      <c r="AX210" s="36">
        <v>24</v>
      </c>
      <c r="AY210" s="36">
        <f>AX210+AW210+AV210+AU210</f>
        <v>86</v>
      </c>
      <c r="AZ210" s="36">
        <v>24</v>
      </c>
      <c r="BA210" s="36">
        <v>33</v>
      </c>
      <c r="BB210" s="36">
        <v>34</v>
      </c>
      <c r="BC210" s="36">
        <v>33</v>
      </c>
      <c r="BD210" s="36">
        <f>BC210+BB210+BA210+AZ210</f>
        <v>124</v>
      </c>
      <c r="BE210" s="36">
        <v>31</v>
      </c>
      <c r="BF210" s="36">
        <v>39</v>
      </c>
      <c r="BG210" s="36">
        <v>34</v>
      </c>
      <c r="BH210" s="36">
        <v>35</v>
      </c>
      <c r="BI210" s="36">
        <f>SUM(BE210:BH210)</f>
        <v>139</v>
      </c>
      <c r="BJ210" s="36">
        <v>42</v>
      </c>
      <c r="BK210" s="36">
        <v>51</v>
      </c>
      <c r="BL210" s="36">
        <v>50</v>
      </c>
      <c r="BM210" s="36">
        <v>62</v>
      </c>
      <c r="BN210" s="36">
        <f>SUM(BJ210:BM210)</f>
        <v>205</v>
      </c>
      <c r="BO210" s="36">
        <v>60</v>
      </c>
      <c r="BP210" s="36">
        <v>67</v>
      </c>
      <c r="BQ210" s="36">
        <v>93</v>
      </c>
      <c r="BR210" s="36">
        <v>71</v>
      </c>
      <c r="BS210" s="36">
        <f>SUM(BO210:BR210)</f>
        <v>291</v>
      </c>
      <c r="BT210" s="36">
        <v>84</v>
      </c>
      <c r="BU210" s="36">
        <v>74</v>
      </c>
      <c r="BV210" s="36">
        <v>107</v>
      </c>
      <c r="BW210" s="36">
        <v>102</v>
      </c>
      <c r="BX210" s="36">
        <f>SUM(BT210:BW210)</f>
        <v>367</v>
      </c>
      <c r="BY210" s="36">
        <v>99</v>
      </c>
      <c r="BZ210" s="36">
        <v>112</v>
      </c>
      <c r="CA210" s="36">
        <v>97</v>
      </c>
      <c r="CB210" s="36">
        <v>112</v>
      </c>
      <c r="CC210" s="36">
        <f>SUM(BY210:CB210)</f>
        <v>420</v>
      </c>
      <c r="CD210" s="36">
        <v>132</v>
      </c>
      <c r="CE210" s="36">
        <v>125</v>
      </c>
      <c r="CF210" s="36">
        <v>110</v>
      </c>
      <c r="CG210" s="36">
        <v>129</v>
      </c>
      <c r="CH210" s="36">
        <f>SUM(CD210:CG210)</f>
        <v>496</v>
      </c>
      <c r="CI210" s="36">
        <v>128</v>
      </c>
      <c r="CJ210" s="36">
        <v>114</v>
      </c>
      <c r="CK210" s="36">
        <v>133</v>
      </c>
      <c r="CL210" s="36">
        <v>120</v>
      </c>
      <c r="CM210" s="36">
        <f>SUM(CI210:CL210)</f>
        <v>495</v>
      </c>
      <c r="CN210" s="36">
        <v>149</v>
      </c>
      <c r="CO210" s="36">
        <v>136</v>
      </c>
      <c r="CP210" s="36">
        <v>136</v>
      </c>
      <c r="CQ210" s="36">
        <v>147</v>
      </c>
      <c r="CR210" s="36">
        <f>SUM(CN210:CQ210)</f>
        <v>568</v>
      </c>
      <c r="CS210" s="36">
        <v>149</v>
      </c>
      <c r="CT210" s="36">
        <v>87</v>
      </c>
      <c r="CU210" s="36">
        <v>137</v>
      </c>
      <c r="CV210" s="36">
        <v>114</v>
      </c>
      <c r="CW210" s="72">
        <f>SUM(CS210:CV210)</f>
        <v>487</v>
      </c>
      <c r="CX210" s="36">
        <v>141</v>
      </c>
      <c r="CY210" s="36"/>
      <c r="CZ210" s="36"/>
      <c r="DA210" s="36"/>
      <c r="DB210" s="72"/>
      <c r="DC210" s="72"/>
      <c r="DD210" s="72"/>
      <c r="DE210" s="72"/>
      <c r="DF210" s="72"/>
      <c r="DG210" s="36"/>
      <c r="DH210" s="36"/>
      <c r="DI210" s="36"/>
      <c r="DJ210" s="36"/>
      <c r="DK210" s="36"/>
      <c r="DL210" s="183"/>
      <c r="DM210" s="183"/>
      <c r="DN210" s="183"/>
      <c r="DO210" s="183"/>
      <c r="DP210" s="183"/>
    </row>
    <row r="211" spans="1:120" x14ac:dyDescent="0.2">
      <c r="A211" s="36" t="s">
        <v>164</v>
      </c>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v>12</v>
      </c>
      <c r="AJ211" s="36">
        <f>AI211+AH211+AG211+AF211</f>
        <v>12</v>
      </c>
      <c r="AK211" s="36">
        <v>27</v>
      </c>
      <c r="AL211" s="36">
        <v>30</v>
      </c>
      <c r="AM211" s="36">
        <v>28</v>
      </c>
      <c r="AN211" s="36">
        <v>22</v>
      </c>
      <c r="AO211" s="36">
        <f>AN211+AM211+AL211+AK211</f>
        <v>107</v>
      </c>
      <c r="AP211" s="36">
        <v>24</v>
      </c>
      <c r="AQ211" s="36">
        <v>28</v>
      </c>
      <c r="AR211" s="36">
        <v>28</v>
      </c>
      <c r="AS211" s="36"/>
      <c r="AT211" s="36">
        <f>AS211+AR211+AQ211+AP211</f>
        <v>80</v>
      </c>
      <c r="AU211" s="36">
        <v>31</v>
      </c>
      <c r="AV211" s="36">
        <v>32</v>
      </c>
      <c r="AW211" s="36">
        <v>39</v>
      </c>
      <c r="AX211" s="36">
        <v>47</v>
      </c>
      <c r="AY211" s="36">
        <f>AX211+AW211+AV211+AU211</f>
        <v>149</v>
      </c>
      <c r="AZ211" s="36">
        <v>35</v>
      </c>
      <c r="BA211" s="36">
        <v>48</v>
      </c>
      <c r="BB211" s="36">
        <v>45</v>
      </c>
      <c r="BC211" s="36">
        <v>40</v>
      </c>
      <c r="BD211" s="36">
        <f>BC211+BB211+BA211+AZ211</f>
        <v>168</v>
      </c>
      <c r="BE211" s="36">
        <v>45</v>
      </c>
      <c r="BF211" s="36">
        <v>46</v>
      </c>
      <c r="BG211" s="36">
        <v>59</v>
      </c>
      <c r="BH211" s="36">
        <v>59</v>
      </c>
      <c r="BI211" s="36">
        <f>SUM(BE211:BH211)</f>
        <v>209</v>
      </c>
      <c r="BJ211" s="36">
        <v>42</v>
      </c>
      <c r="BK211" s="36">
        <v>51</v>
      </c>
      <c r="BL211" s="36">
        <v>46</v>
      </c>
      <c r="BM211" s="36">
        <v>59</v>
      </c>
      <c r="BN211" s="36">
        <f>SUM(BJ211:BM211)</f>
        <v>198</v>
      </c>
      <c r="BO211" s="36">
        <v>42</v>
      </c>
      <c r="BP211" s="36">
        <v>52</v>
      </c>
      <c r="BQ211" s="36">
        <v>65</v>
      </c>
      <c r="BR211" s="36">
        <v>52</v>
      </c>
      <c r="BS211" s="36">
        <f>SUM(BO211:BR211)</f>
        <v>211</v>
      </c>
      <c r="BT211" s="36">
        <v>53</v>
      </c>
      <c r="BU211" s="36">
        <v>50</v>
      </c>
      <c r="BV211" s="36">
        <v>69</v>
      </c>
      <c r="BW211" s="36">
        <v>49</v>
      </c>
      <c r="BX211" s="36">
        <f>SUM(BT211:BW211)</f>
        <v>221</v>
      </c>
      <c r="BY211" s="36">
        <v>35</v>
      </c>
      <c r="BZ211" s="36">
        <v>52</v>
      </c>
      <c r="CA211" s="36">
        <v>51</v>
      </c>
      <c r="CB211" s="36">
        <v>48</v>
      </c>
      <c r="CC211" s="36">
        <f>SUM(BY211:CB211)</f>
        <v>186</v>
      </c>
      <c r="CD211" s="36">
        <f>39</f>
        <v>39</v>
      </c>
      <c r="CE211" s="36">
        <v>53</v>
      </c>
      <c r="CF211" s="36">
        <v>45</v>
      </c>
      <c r="CG211" s="36">
        <v>54</v>
      </c>
      <c r="CH211" s="36">
        <f>SUM(CD211:CG211)</f>
        <v>191</v>
      </c>
      <c r="CI211" s="36">
        <v>46</v>
      </c>
      <c r="CJ211" s="36">
        <v>60</v>
      </c>
      <c r="CK211" s="36">
        <v>53</v>
      </c>
      <c r="CL211" s="36">
        <v>48</v>
      </c>
      <c r="CM211" s="36">
        <f>SUM(CI211:CL211)</f>
        <v>207</v>
      </c>
      <c r="CN211" s="36">
        <v>50</v>
      </c>
      <c r="CO211" s="36">
        <f>48-1</f>
        <v>47</v>
      </c>
      <c r="CP211" s="36">
        <v>62</v>
      </c>
      <c r="CQ211" s="36">
        <v>59</v>
      </c>
      <c r="CR211" s="36">
        <f>SUM(CN211:CQ211)</f>
        <v>218</v>
      </c>
      <c r="CS211" s="36">
        <v>45</v>
      </c>
      <c r="CT211" s="36">
        <v>45</v>
      </c>
      <c r="CU211" s="36">
        <v>52</v>
      </c>
      <c r="CV211" s="36">
        <v>50</v>
      </c>
      <c r="CW211" s="72">
        <f>SUM(CS211:CV211)</f>
        <v>192</v>
      </c>
      <c r="CX211" s="36">
        <v>42</v>
      </c>
      <c r="CY211" s="36"/>
      <c r="CZ211" s="36"/>
      <c r="DA211" s="36"/>
      <c r="DB211" s="72"/>
      <c r="DC211" s="72"/>
      <c r="DD211" s="72"/>
      <c r="DE211" s="72"/>
      <c r="DF211" s="72"/>
      <c r="DG211" s="36"/>
      <c r="DH211" s="36"/>
      <c r="DI211" s="36"/>
      <c r="DJ211" s="36"/>
      <c r="DK211" s="36"/>
      <c r="DL211" s="183"/>
      <c r="DM211" s="183"/>
      <c r="DN211" s="183"/>
      <c r="DO211" s="183"/>
      <c r="DP211" s="183"/>
    </row>
    <row r="212" spans="1:120" x14ac:dyDescent="0.2">
      <c r="A212" s="39" t="s">
        <v>165</v>
      </c>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f>AI211+AI210</f>
        <v>15</v>
      </c>
      <c r="AJ212" s="39">
        <f>AI212+AH212+AG212+AF212</f>
        <v>15</v>
      </c>
      <c r="AK212" s="39">
        <f>AK211+AK210</f>
        <v>38</v>
      </c>
      <c r="AL212" s="39">
        <f>AL211+AL210</f>
        <v>44</v>
      </c>
      <c r="AM212" s="39">
        <f>AM211+AM210</f>
        <v>37</v>
      </c>
      <c r="AN212" s="39">
        <f>AN211+AN210</f>
        <v>32</v>
      </c>
      <c r="AO212" s="39">
        <f>AN212+AM212+AL212+AK212</f>
        <v>151</v>
      </c>
      <c r="AP212" s="39">
        <f>AP211+AP210</f>
        <v>37</v>
      </c>
      <c r="AQ212" s="39">
        <f>AQ211+AQ210</f>
        <v>43</v>
      </c>
      <c r="AR212" s="39">
        <f>AR211+AR210</f>
        <v>45</v>
      </c>
      <c r="AS212" s="39"/>
      <c r="AT212" s="39">
        <f>AS212+AR212+AQ212+AP212</f>
        <v>125</v>
      </c>
      <c r="AU212" s="39">
        <f t="shared" ref="AU212:BD212" si="202">AU211+AU210</f>
        <v>50</v>
      </c>
      <c r="AV212" s="39">
        <f t="shared" si="202"/>
        <v>51</v>
      </c>
      <c r="AW212" s="39">
        <f t="shared" si="202"/>
        <v>63</v>
      </c>
      <c r="AX212" s="39">
        <f t="shared" si="202"/>
        <v>71</v>
      </c>
      <c r="AY212" s="39">
        <f t="shared" si="202"/>
        <v>235</v>
      </c>
      <c r="AZ212" s="39">
        <f t="shared" si="202"/>
        <v>59</v>
      </c>
      <c r="BA212" s="39">
        <f t="shared" si="202"/>
        <v>81</v>
      </c>
      <c r="BB212" s="39">
        <f t="shared" si="202"/>
        <v>79</v>
      </c>
      <c r="BC212" s="39">
        <f t="shared" si="202"/>
        <v>73</v>
      </c>
      <c r="BD212" s="39">
        <f t="shared" si="202"/>
        <v>292</v>
      </c>
      <c r="BE212" s="39">
        <f>BE210+BE211</f>
        <v>76</v>
      </c>
      <c r="BF212" s="39">
        <f>BF210+BF211</f>
        <v>85</v>
      </c>
      <c r="BG212" s="39">
        <f>BG210+BG211</f>
        <v>93</v>
      </c>
      <c r="BH212" s="39">
        <f>BH210+BH211</f>
        <v>94</v>
      </c>
      <c r="BI212" s="39">
        <f t="shared" ref="BI212:CQ212" si="203">BI211+BI210</f>
        <v>348</v>
      </c>
      <c r="BJ212" s="39">
        <f t="shared" si="203"/>
        <v>84</v>
      </c>
      <c r="BK212" s="39">
        <f t="shared" si="203"/>
        <v>102</v>
      </c>
      <c r="BL212" s="39">
        <f t="shared" si="203"/>
        <v>96</v>
      </c>
      <c r="BM212" s="39">
        <f t="shared" si="203"/>
        <v>121</v>
      </c>
      <c r="BN212" s="39">
        <f t="shared" si="203"/>
        <v>403</v>
      </c>
      <c r="BO212" s="39">
        <f t="shared" si="203"/>
        <v>102</v>
      </c>
      <c r="BP212" s="39">
        <f t="shared" si="203"/>
        <v>119</v>
      </c>
      <c r="BQ212" s="39">
        <f t="shared" si="203"/>
        <v>158</v>
      </c>
      <c r="BR212" s="39">
        <f t="shared" si="203"/>
        <v>123</v>
      </c>
      <c r="BS212" s="39">
        <f t="shared" si="203"/>
        <v>502</v>
      </c>
      <c r="BT212" s="39">
        <f t="shared" si="203"/>
        <v>137</v>
      </c>
      <c r="BU212" s="39">
        <f t="shared" si="203"/>
        <v>124</v>
      </c>
      <c r="BV212" s="39">
        <f t="shared" si="203"/>
        <v>176</v>
      </c>
      <c r="BW212" s="39">
        <f t="shared" si="203"/>
        <v>151</v>
      </c>
      <c r="BX212" s="39">
        <f t="shared" si="203"/>
        <v>588</v>
      </c>
      <c r="BY212" s="39">
        <f t="shared" si="203"/>
        <v>134</v>
      </c>
      <c r="BZ212" s="39">
        <f t="shared" si="203"/>
        <v>164</v>
      </c>
      <c r="CA212" s="39">
        <f t="shared" si="203"/>
        <v>148</v>
      </c>
      <c r="CB212" s="39">
        <f t="shared" si="203"/>
        <v>160</v>
      </c>
      <c r="CC212" s="39">
        <f t="shared" si="203"/>
        <v>606</v>
      </c>
      <c r="CD212" s="39">
        <f>CD211+CD210-1</f>
        <v>170</v>
      </c>
      <c r="CE212" s="39">
        <f t="shared" si="203"/>
        <v>178</v>
      </c>
      <c r="CF212" s="39">
        <f t="shared" si="203"/>
        <v>155</v>
      </c>
      <c r="CG212" s="39">
        <f t="shared" si="203"/>
        <v>183</v>
      </c>
      <c r="CH212" s="39">
        <f t="shared" si="203"/>
        <v>687</v>
      </c>
      <c r="CI212" s="39">
        <f t="shared" si="203"/>
        <v>174</v>
      </c>
      <c r="CJ212" s="39">
        <f t="shared" si="203"/>
        <v>174</v>
      </c>
      <c r="CK212" s="39">
        <f t="shared" si="203"/>
        <v>186</v>
      </c>
      <c r="CL212" s="39">
        <f t="shared" si="203"/>
        <v>168</v>
      </c>
      <c r="CM212" s="39">
        <f t="shared" si="203"/>
        <v>702</v>
      </c>
      <c r="CN212" s="39">
        <f t="shared" si="203"/>
        <v>199</v>
      </c>
      <c r="CO212" s="39">
        <f t="shared" si="203"/>
        <v>183</v>
      </c>
      <c r="CP212" s="39">
        <f t="shared" si="203"/>
        <v>198</v>
      </c>
      <c r="CQ212" s="39">
        <f t="shared" si="203"/>
        <v>206</v>
      </c>
      <c r="CR212" s="39">
        <f>CR211+CR210</f>
        <v>786</v>
      </c>
      <c r="CS212" s="39">
        <f>CS211+CS210+1</f>
        <v>195</v>
      </c>
      <c r="CT212" s="39">
        <f>CT211+CT210</f>
        <v>132</v>
      </c>
      <c r="CU212" s="39">
        <f>CU211+CU210</f>
        <v>189</v>
      </c>
      <c r="CV212" s="39">
        <f>CV211+CV210+1</f>
        <v>165</v>
      </c>
      <c r="CW212" s="74">
        <f>SUM(CS212:CV212)</f>
        <v>681</v>
      </c>
      <c r="CX212" s="39">
        <f>SUM(CX210:CX211)</f>
        <v>183</v>
      </c>
      <c r="CY212" s="39"/>
      <c r="CZ212" s="39"/>
      <c r="DA212" s="39"/>
      <c r="DB212" s="74"/>
      <c r="DC212" s="74"/>
      <c r="DD212" s="74"/>
      <c r="DE212" s="74"/>
      <c r="DF212" s="74"/>
      <c r="DG212" s="39"/>
      <c r="DH212" s="39"/>
      <c r="DI212" s="39"/>
      <c r="DJ212" s="39"/>
      <c r="DK212" s="39"/>
      <c r="DL212" s="187"/>
      <c r="DM212" s="187"/>
      <c r="DN212" s="187"/>
      <c r="DO212" s="187"/>
      <c r="DP212" s="187"/>
    </row>
    <row r="213" spans="1:120" x14ac:dyDescent="0.2">
      <c r="A213" s="68" t="s">
        <v>54</v>
      </c>
      <c r="G213" s="39"/>
      <c r="H213" s="39"/>
      <c r="I213" s="39"/>
      <c r="J213" s="39"/>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f>AT210/AO210-1</f>
        <v>2.2727272727272707E-2</v>
      </c>
      <c r="AU213" s="75"/>
      <c r="AV213" s="75"/>
      <c r="AW213" s="75"/>
      <c r="AX213" s="75"/>
      <c r="AY213" s="75"/>
      <c r="AZ213" s="75"/>
      <c r="BA213" s="75"/>
      <c r="BB213" s="75"/>
      <c r="BC213" s="75"/>
      <c r="BD213" s="75"/>
      <c r="BE213" s="76">
        <f t="shared" ref="BE213:CX215" si="204">BE210/AZ210-1</f>
        <v>0.29166666666666674</v>
      </c>
      <c r="BF213" s="76">
        <f t="shared" si="204"/>
        <v>0.18181818181818188</v>
      </c>
      <c r="BG213" s="76">
        <f t="shared" si="204"/>
        <v>0</v>
      </c>
      <c r="BH213" s="76">
        <f t="shared" si="204"/>
        <v>6.0606060606060552E-2</v>
      </c>
      <c r="BI213" s="90">
        <f t="shared" si="204"/>
        <v>0.12096774193548376</v>
      </c>
      <c r="BJ213" s="76">
        <f t="shared" si="204"/>
        <v>0.35483870967741926</v>
      </c>
      <c r="BK213" s="76">
        <f t="shared" si="204"/>
        <v>0.30769230769230771</v>
      </c>
      <c r="BL213" s="76">
        <f t="shared" si="204"/>
        <v>0.47058823529411775</v>
      </c>
      <c r="BM213" s="76">
        <f t="shared" si="204"/>
        <v>0.77142857142857135</v>
      </c>
      <c r="BN213" s="90">
        <f>BN210/BI210-1</f>
        <v>0.47482014388489202</v>
      </c>
      <c r="BO213" s="76">
        <f t="shared" si="204"/>
        <v>0.4285714285714286</v>
      </c>
      <c r="BP213" s="76">
        <f t="shared" si="204"/>
        <v>0.31372549019607843</v>
      </c>
      <c r="BQ213" s="76">
        <f t="shared" si="204"/>
        <v>0.8600000000000001</v>
      </c>
      <c r="BR213" s="76">
        <f t="shared" si="204"/>
        <v>0.14516129032258074</v>
      </c>
      <c r="BS213" s="75">
        <f>BS210/BN210-1</f>
        <v>0.41951219512195115</v>
      </c>
      <c r="BT213" s="76">
        <f t="shared" si="204"/>
        <v>0.39999999999999991</v>
      </c>
      <c r="BU213" s="76">
        <f t="shared" si="204"/>
        <v>0.10447761194029859</v>
      </c>
      <c r="BV213" s="76">
        <f t="shared" si="204"/>
        <v>0.15053763440860224</v>
      </c>
      <c r="BW213" s="76">
        <f t="shared" si="204"/>
        <v>0.43661971830985924</v>
      </c>
      <c r="BX213" s="75">
        <f>BX210/BS210-1</f>
        <v>0.26116838487972505</v>
      </c>
      <c r="BY213" s="76">
        <f t="shared" si="204"/>
        <v>0.1785714285714286</v>
      </c>
      <c r="BZ213" s="76">
        <f t="shared" si="204"/>
        <v>0.5135135135135136</v>
      </c>
      <c r="CA213" s="76">
        <f t="shared" si="204"/>
        <v>-9.3457943925233655E-2</v>
      </c>
      <c r="CB213" s="76">
        <f t="shared" si="204"/>
        <v>9.8039215686274606E-2</v>
      </c>
      <c r="CC213" s="75">
        <f>CC210/BX210-1</f>
        <v>0.14441416893732972</v>
      </c>
      <c r="CD213" s="76">
        <f t="shared" si="204"/>
        <v>0.33333333333333326</v>
      </c>
      <c r="CE213" s="76">
        <f t="shared" si="204"/>
        <v>0.1160714285714286</v>
      </c>
      <c r="CF213" s="76">
        <f t="shared" si="204"/>
        <v>0.134020618556701</v>
      </c>
      <c r="CG213" s="76">
        <f t="shared" si="204"/>
        <v>0.15178571428571419</v>
      </c>
      <c r="CH213" s="75">
        <f t="shared" si="204"/>
        <v>0.18095238095238098</v>
      </c>
      <c r="CI213" s="76">
        <f t="shared" si="204"/>
        <v>-3.0303030303030276E-2</v>
      </c>
      <c r="CJ213" s="76">
        <f t="shared" si="204"/>
        <v>-8.7999999999999967E-2</v>
      </c>
      <c r="CK213" s="76">
        <f t="shared" si="204"/>
        <v>0.20909090909090899</v>
      </c>
      <c r="CL213" s="76">
        <f t="shared" si="204"/>
        <v>-6.9767441860465129E-2</v>
      </c>
      <c r="CM213" s="75">
        <f t="shared" si="204"/>
        <v>-2.0161290322581182E-3</v>
      </c>
      <c r="CN213" s="75">
        <f t="shared" si="204"/>
        <v>0.1640625</v>
      </c>
      <c r="CO213" s="75">
        <f t="shared" si="204"/>
        <v>0.19298245614035081</v>
      </c>
      <c r="CP213" s="75">
        <f t="shared" si="204"/>
        <v>2.2556390977443552E-2</v>
      </c>
      <c r="CQ213" s="75">
        <f t="shared" si="204"/>
        <v>0.22500000000000009</v>
      </c>
      <c r="CR213" s="75">
        <f t="shared" si="204"/>
        <v>0.14747474747474754</v>
      </c>
      <c r="CS213" s="75">
        <f t="shared" si="204"/>
        <v>0</v>
      </c>
      <c r="CT213" s="75">
        <f t="shared" si="204"/>
        <v>-0.36029411764705888</v>
      </c>
      <c r="CU213" s="75">
        <f t="shared" si="204"/>
        <v>7.3529411764705621E-3</v>
      </c>
      <c r="CV213" s="75">
        <f t="shared" si="204"/>
        <v>-0.22448979591836737</v>
      </c>
      <c r="CW213" s="90">
        <f>CW210/CR210-1</f>
        <v>-0.14260563380281688</v>
      </c>
      <c r="CX213" s="75">
        <f t="shared" si="204"/>
        <v>-5.3691275167785268E-2</v>
      </c>
      <c r="CY213" s="75"/>
      <c r="CZ213" s="75"/>
      <c r="DA213" s="75"/>
      <c r="DB213" s="90"/>
      <c r="DC213" s="90"/>
      <c r="DD213" s="90"/>
      <c r="DE213" s="90"/>
      <c r="DF213" s="90"/>
      <c r="DG213" s="75"/>
      <c r="DH213" s="75"/>
      <c r="DI213" s="75"/>
      <c r="DJ213" s="75"/>
      <c r="DK213" s="75"/>
      <c r="DL213" s="192"/>
      <c r="DM213" s="192"/>
      <c r="DN213" s="192"/>
      <c r="DO213" s="192"/>
      <c r="DP213" s="192"/>
    </row>
    <row r="214" spans="1:120" x14ac:dyDescent="0.2">
      <c r="A214" s="68" t="s">
        <v>55</v>
      </c>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f>AT211/AO211-1</f>
        <v>-0.25233644859813087</v>
      </c>
      <c r="AU214" s="75"/>
      <c r="AV214" s="75"/>
      <c r="AW214" s="75"/>
      <c r="AX214" s="75"/>
      <c r="AY214" s="75"/>
      <c r="AZ214" s="75"/>
      <c r="BA214" s="75"/>
      <c r="BB214" s="75"/>
      <c r="BC214" s="75"/>
      <c r="BD214" s="75"/>
      <c r="BE214" s="76">
        <f t="shared" si="204"/>
        <v>0.28571428571428581</v>
      </c>
      <c r="BF214" s="76">
        <f t="shared" si="204"/>
        <v>-4.166666666666663E-2</v>
      </c>
      <c r="BG214" s="76">
        <f t="shared" si="204"/>
        <v>0.31111111111111112</v>
      </c>
      <c r="BH214" s="76">
        <f t="shared" si="204"/>
        <v>0.47500000000000009</v>
      </c>
      <c r="BI214" s="90">
        <f t="shared" si="204"/>
        <v>0.24404761904761907</v>
      </c>
      <c r="BJ214" s="76">
        <f t="shared" si="204"/>
        <v>-6.6666666666666652E-2</v>
      </c>
      <c r="BK214" s="76">
        <f t="shared" si="204"/>
        <v>0.10869565217391308</v>
      </c>
      <c r="BL214" s="76">
        <f t="shared" si="204"/>
        <v>-0.22033898305084743</v>
      </c>
      <c r="BM214" s="76">
        <f t="shared" si="204"/>
        <v>0</v>
      </c>
      <c r="BN214" s="90">
        <f>BN211/BI211-1</f>
        <v>-5.2631578947368474E-2</v>
      </c>
      <c r="BO214" s="76">
        <f t="shared" si="204"/>
        <v>0</v>
      </c>
      <c r="BP214" s="76">
        <f t="shared" si="204"/>
        <v>1.9607843137254832E-2</v>
      </c>
      <c r="BQ214" s="76">
        <f t="shared" si="204"/>
        <v>0.41304347826086962</v>
      </c>
      <c r="BR214" s="76">
        <f t="shared" si="204"/>
        <v>-0.11864406779661019</v>
      </c>
      <c r="BS214" s="75">
        <f>BS211/BN211-1</f>
        <v>6.5656565656565746E-2</v>
      </c>
      <c r="BT214" s="76">
        <f t="shared" si="204"/>
        <v>0.26190476190476186</v>
      </c>
      <c r="BU214" s="76">
        <f t="shared" si="204"/>
        <v>-3.8461538461538436E-2</v>
      </c>
      <c r="BV214" s="76">
        <f t="shared" si="204"/>
        <v>6.1538461538461542E-2</v>
      </c>
      <c r="BW214" s="76">
        <f t="shared" si="204"/>
        <v>-5.7692307692307709E-2</v>
      </c>
      <c r="BX214" s="75">
        <f>BX211/BS211-1</f>
        <v>4.7393364928909998E-2</v>
      </c>
      <c r="BY214" s="76">
        <f t="shared" si="204"/>
        <v>-0.339622641509434</v>
      </c>
      <c r="BZ214" s="76">
        <f t="shared" si="204"/>
        <v>4.0000000000000036E-2</v>
      </c>
      <c r="CA214" s="76">
        <f t="shared" si="204"/>
        <v>-0.26086956521739135</v>
      </c>
      <c r="CB214" s="76">
        <f t="shared" si="204"/>
        <v>-2.0408163265306145E-2</v>
      </c>
      <c r="CC214" s="75">
        <f>CC211/BX211-1</f>
        <v>-0.15837104072398189</v>
      </c>
      <c r="CD214" s="76">
        <f t="shared" si="204"/>
        <v>0.11428571428571432</v>
      </c>
      <c r="CE214" s="76">
        <f t="shared" si="204"/>
        <v>1.9230769230769162E-2</v>
      </c>
      <c r="CF214" s="76">
        <f t="shared" si="204"/>
        <v>-0.11764705882352944</v>
      </c>
      <c r="CG214" s="76">
        <f t="shared" si="204"/>
        <v>0.125</v>
      </c>
      <c r="CH214" s="75">
        <f t="shared" si="204"/>
        <v>2.6881720430107503E-2</v>
      </c>
      <c r="CI214" s="76">
        <f t="shared" si="204"/>
        <v>0.17948717948717952</v>
      </c>
      <c r="CJ214" s="76">
        <f t="shared" si="204"/>
        <v>0.13207547169811318</v>
      </c>
      <c r="CK214" s="76">
        <f t="shared" si="204"/>
        <v>0.17777777777777781</v>
      </c>
      <c r="CL214" s="76">
        <f t="shared" si="204"/>
        <v>-0.11111111111111116</v>
      </c>
      <c r="CM214" s="75">
        <f t="shared" si="204"/>
        <v>8.3769633507853491E-2</v>
      </c>
      <c r="CN214" s="75">
        <f t="shared" si="204"/>
        <v>8.6956521739130377E-2</v>
      </c>
      <c r="CO214" s="75">
        <f t="shared" si="204"/>
        <v>-0.21666666666666667</v>
      </c>
      <c r="CP214" s="75">
        <f t="shared" si="204"/>
        <v>0.16981132075471694</v>
      </c>
      <c r="CQ214" s="75">
        <f t="shared" si="204"/>
        <v>0.22916666666666674</v>
      </c>
      <c r="CR214" s="75">
        <f t="shared" si="204"/>
        <v>5.3140096618357502E-2</v>
      </c>
      <c r="CS214" s="75">
        <f t="shared" si="204"/>
        <v>-9.9999999999999978E-2</v>
      </c>
      <c r="CT214" s="75">
        <f t="shared" si="204"/>
        <v>-4.2553191489361653E-2</v>
      </c>
      <c r="CU214" s="75">
        <f t="shared" si="204"/>
        <v>-0.16129032258064513</v>
      </c>
      <c r="CV214" s="75">
        <f t="shared" si="204"/>
        <v>-0.15254237288135597</v>
      </c>
      <c r="CW214" s="90">
        <f>CW211/CR211-1</f>
        <v>-0.11926605504587151</v>
      </c>
      <c r="CX214" s="75">
        <f t="shared" si="204"/>
        <v>-6.6666666666666652E-2</v>
      </c>
      <c r="CY214" s="75"/>
      <c r="CZ214" s="75"/>
      <c r="DA214" s="75"/>
      <c r="DB214" s="90"/>
      <c r="DC214" s="90"/>
      <c r="DD214" s="90"/>
      <c r="DE214" s="90"/>
      <c r="DF214" s="90"/>
      <c r="DG214" s="75"/>
      <c r="DH214" s="75"/>
      <c r="DI214" s="75"/>
      <c r="DJ214" s="75"/>
      <c r="DK214" s="75"/>
      <c r="DL214" s="192"/>
      <c r="DM214" s="192"/>
      <c r="DN214" s="192"/>
      <c r="DO214" s="192"/>
      <c r="DP214" s="192"/>
    </row>
    <row r="215" spans="1:120" x14ac:dyDescent="0.2">
      <c r="A215" s="78" t="s">
        <v>56</v>
      </c>
      <c r="F215" s="98"/>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f>AT212/AO212-1</f>
        <v>-0.17218543046357615</v>
      </c>
      <c r="AU215" s="83"/>
      <c r="AV215" s="83"/>
      <c r="AW215" s="83"/>
      <c r="AX215" s="83"/>
      <c r="AY215" s="83"/>
      <c r="AZ215" s="83"/>
      <c r="BA215" s="83"/>
      <c r="BB215" s="83"/>
      <c r="BC215" s="83"/>
      <c r="BD215" s="83"/>
      <c r="BE215" s="80">
        <f t="shared" si="204"/>
        <v>0.28813559322033888</v>
      </c>
      <c r="BF215" s="80">
        <f t="shared" si="204"/>
        <v>4.9382716049382713E-2</v>
      </c>
      <c r="BG215" s="80">
        <f>BG212/BB212-1</f>
        <v>0.17721518987341778</v>
      </c>
      <c r="BH215" s="80">
        <f>BH212/BC212-1</f>
        <v>0.28767123287671237</v>
      </c>
      <c r="BI215" s="80">
        <f t="shared" si="204"/>
        <v>0.19178082191780832</v>
      </c>
      <c r="BJ215" s="80">
        <f t="shared" si="204"/>
        <v>0.10526315789473695</v>
      </c>
      <c r="BK215" s="91">
        <f>BK212/BF212-1</f>
        <v>0.19999999999999996</v>
      </c>
      <c r="BL215" s="91">
        <f>BL212/BG212-1</f>
        <v>3.2258064516129004E-2</v>
      </c>
      <c r="BM215" s="91">
        <f>BM212/BH212-1</f>
        <v>0.2872340425531914</v>
      </c>
      <c r="BN215" s="80">
        <f>BN212/BI212-1</f>
        <v>0.15804597701149414</v>
      </c>
      <c r="BO215" s="80">
        <f>BO212/BJ212-1</f>
        <v>0.21428571428571419</v>
      </c>
      <c r="BP215" s="91">
        <f>BP212/BK212-1</f>
        <v>0.16666666666666674</v>
      </c>
      <c r="BQ215" s="91">
        <f>BQ212/BL212-1</f>
        <v>0.64583333333333326</v>
      </c>
      <c r="BR215" s="91">
        <f>BR212/BM212-1</f>
        <v>1.6528925619834656E-2</v>
      </c>
      <c r="BS215" s="83">
        <f>BS212/BN212-1</f>
        <v>0.24565756823821339</v>
      </c>
      <c r="BT215" s="80">
        <f>BT212/BO212-1</f>
        <v>0.34313725490196068</v>
      </c>
      <c r="BU215" s="80">
        <f>BU212/BP212-1</f>
        <v>4.2016806722689148E-2</v>
      </c>
      <c r="BV215" s="91">
        <f>BV212/BQ212-1</f>
        <v>0.11392405063291133</v>
      </c>
      <c r="BW215" s="91">
        <f>BW212/BR212-1</f>
        <v>0.22764227642276413</v>
      </c>
      <c r="BX215" s="83">
        <f>BX212/BS212-1</f>
        <v>0.17131474103585664</v>
      </c>
      <c r="BY215" s="83">
        <f>BY212/BT212-1</f>
        <v>-2.1897810218978075E-2</v>
      </c>
      <c r="BZ215" s="83">
        <f>BZ212/BU212-1</f>
        <v>0.32258064516129026</v>
      </c>
      <c r="CA215" s="83">
        <f>CA212/BV212-1</f>
        <v>-0.15909090909090906</v>
      </c>
      <c r="CB215" s="83">
        <f>CB212/BW212-1</f>
        <v>5.9602649006622599E-2</v>
      </c>
      <c r="CC215" s="83">
        <f>CC212/BX212-1</f>
        <v>3.0612244897959107E-2</v>
      </c>
      <c r="CD215" s="83">
        <f>CD212/BY212-1</f>
        <v>0.26865671641791056</v>
      </c>
      <c r="CE215" s="83">
        <f>CE212/BZ212-1</f>
        <v>8.5365853658536661E-2</v>
      </c>
      <c r="CF215" s="83">
        <f>CF212/CA212-1</f>
        <v>4.7297297297297369E-2</v>
      </c>
      <c r="CG215" s="83">
        <f>CG212/CB212-1</f>
        <v>0.14375000000000004</v>
      </c>
      <c r="CH215" s="83">
        <f t="shared" si="204"/>
        <v>0.13366336633663356</v>
      </c>
      <c r="CI215" s="83">
        <f t="shared" si="204"/>
        <v>2.3529411764705799E-2</v>
      </c>
      <c r="CJ215" s="83">
        <f t="shared" si="204"/>
        <v>-2.2471910112359605E-2</v>
      </c>
      <c r="CK215" s="83">
        <f t="shared" si="204"/>
        <v>0.19999999999999996</v>
      </c>
      <c r="CL215" s="83">
        <f t="shared" si="204"/>
        <v>-8.1967213114754078E-2</v>
      </c>
      <c r="CM215" s="83">
        <f t="shared" si="204"/>
        <v>2.1834061135371119E-2</v>
      </c>
      <c r="CN215" s="83">
        <f t="shared" si="204"/>
        <v>0.14367816091954033</v>
      </c>
      <c r="CO215" s="83">
        <f t="shared" si="204"/>
        <v>5.1724137931034475E-2</v>
      </c>
      <c r="CP215" s="83">
        <f t="shared" si="204"/>
        <v>6.4516129032258007E-2</v>
      </c>
      <c r="CQ215" s="83">
        <f t="shared" si="204"/>
        <v>0.22619047619047628</v>
      </c>
      <c r="CR215" s="83">
        <f t="shared" si="204"/>
        <v>0.11965811965811968</v>
      </c>
      <c r="CS215" s="83">
        <f t="shared" si="204"/>
        <v>-2.010050251256279E-2</v>
      </c>
      <c r="CT215" s="83">
        <f t="shared" si="204"/>
        <v>-0.27868852459016391</v>
      </c>
      <c r="CU215" s="83">
        <f t="shared" si="204"/>
        <v>-4.5454545454545414E-2</v>
      </c>
      <c r="CV215" s="83">
        <f t="shared" si="204"/>
        <v>-0.19902912621359226</v>
      </c>
      <c r="CW215" s="83">
        <f>CW212/CR212-1</f>
        <v>-0.13358778625954193</v>
      </c>
      <c r="CX215" s="83">
        <f>CX212/CS212-1</f>
        <v>-6.1538461538461542E-2</v>
      </c>
      <c r="CY215" s="83"/>
      <c r="CZ215" s="83"/>
      <c r="DA215" s="83"/>
      <c r="DB215" s="83"/>
      <c r="DC215" s="83"/>
      <c r="DD215" s="83"/>
      <c r="DE215" s="83"/>
      <c r="DF215" s="83"/>
      <c r="DG215" s="83"/>
      <c r="DH215" s="83"/>
      <c r="DI215" s="83"/>
      <c r="DJ215" s="83"/>
      <c r="DK215" s="83"/>
      <c r="DL215" s="193"/>
      <c r="DM215" s="193"/>
      <c r="DN215" s="193"/>
      <c r="DO215" s="193"/>
      <c r="DP215" s="193"/>
    </row>
    <row r="216" spans="1:120" x14ac:dyDescent="0.2">
      <c r="A216" s="66" t="s">
        <v>166</v>
      </c>
      <c r="B216" s="31"/>
      <c r="C216" s="31"/>
      <c r="D216" s="31"/>
      <c r="E216" s="31"/>
      <c r="F216" s="31"/>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114"/>
      <c r="BL216" s="114"/>
      <c r="BM216" s="114"/>
      <c r="BN216" s="69"/>
      <c r="BO216" s="69"/>
      <c r="BP216" s="114"/>
      <c r="BQ216" s="114"/>
      <c r="BR216" s="114"/>
      <c r="BS216" s="69"/>
      <c r="BT216" s="69"/>
      <c r="BU216" s="69"/>
      <c r="BV216" s="114"/>
      <c r="BW216" s="114"/>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204"/>
      <c r="DM216" s="204"/>
      <c r="DN216" s="204"/>
      <c r="DO216" s="204"/>
      <c r="DP216" s="204"/>
    </row>
    <row r="217" spans="1:120" x14ac:dyDescent="0.2">
      <c r="A217" s="65" t="s">
        <v>167</v>
      </c>
      <c r="B217" s="36">
        <v>243.17760000000001</v>
      </c>
      <c r="C217" s="36">
        <v>243.17768000000001</v>
      </c>
      <c r="D217" s="86">
        <v>235.29410999999999</v>
      </c>
      <c r="E217" s="36">
        <v>234.53608247422682</v>
      </c>
      <c r="F217" s="36">
        <v>956.18556701030934</v>
      </c>
      <c r="G217" s="36">
        <v>328</v>
      </c>
      <c r="H217" s="36">
        <v>124</v>
      </c>
      <c r="I217" s="86">
        <v>239</v>
      </c>
      <c r="J217" s="86">
        <v>385</v>
      </c>
      <c r="K217" s="36">
        <f>J217+I217+H217+G217</f>
        <v>1076</v>
      </c>
      <c r="L217" s="86">
        <v>332</v>
      </c>
      <c r="M217" s="86">
        <v>266</v>
      </c>
      <c r="N217" s="86">
        <v>473</v>
      </c>
      <c r="O217" s="36">
        <v>327.74</v>
      </c>
      <c r="P217" s="36">
        <f>O217+N217+M217+L217</f>
        <v>1398.74</v>
      </c>
      <c r="Q217" s="36">
        <v>427</v>
      </c>
      <c r="R217" s="36">
        <v>453</v>
      </c>
      <c r="S217" s="36">
        <v>447</v>
      </c>
      <c r="T217" s="36">
        <v>527</v>
      </c>
      <c r="U217" s="36">
        <f>T217+S217+R217+Q217</f>
        <v>1854</v>
      </c>
      <c r="V217" s="36">
        <v>493</v>
      </c>
      <c r="W217" s="36">
        <v>489</v>
      </c>
      <c r="X217" s="36">
        <v>490</v>
      </c>
      <c r="Y217" s="36">
        <v>572</v>
      </c>
      <c r="Z217" s="36">
        <f>Y217+X217+W217+V217</f>
        <v>2044</v>
      </c>
      <c r="AA217" s="36">
        <v>576</v>
      </c>
      <c r="AB217" s="36">
        <v>679</v>
      </c>
      <c r="AC217" s="36">
        <v>631</v>
      </c>
      <c r="AD217" s="36">
        <v>691</v>
      </c>
      <c r="AE217" s="36">
        <f>AD217+AC217+AB217+AA217</f>
        <v>2577</v>
      </c>
      <c r="AF217" s="36">
        <v>731</v>
      </c>
      <c r="AG217" s="36">
        <v>768</v>
      </c>
      <c r="AH217" s="36">
        <v>718</v>
      </c>
      <c r="AI217" s="36">
        <v>796</v>
      </c>
      <c r="AJ217" s="36">
        <f>AI217+AH217+AG217+AF217</f>
        <v>3013</v>
      </c>
      <c r="AK217" s="36">
        <v>714</v>
      </c>
      <c r="AL217" s="36">
        <v>710</v>
      </c>
      <c r="AM217" s="36">
        <v>692</v>
      </c>
      <c r="AN217" s="36">
        <v>709</v>
      </c>
      <c r="AO217" s="36">
        <f>AN217+AM217+AL217+AK217</f>
        <v>2825</v>
      </c>
      <c r="AP217" s="36">
        <v>682</v>
      </c>
      <c r="AQ217" s="36">
        <v>823</v>
      </c>
      <c r="AR217" s="36">
        <v>729</v>
      </c>
      <c r="AS217" s="36">
        <v>810</v>
      </c>
      <c r="AT217" s="36">
        <f>AS217+AR217+AQ217+AP217</f>
        <v>3044</v>
      </c>
      <c r="AU217" s="36">
        <v>728</v>
      </c>
      <c r="AV217" s="36">
        <v>830</v>
      </c>
      <c r="AW217" s="36">
        <v>823</v>
      </c>
      <c r="AX217" s="36">
        <v>838</v>
      </c>
      <c r="AY217" s="36">
        <f>AX217+AW217+AV217+AU217</f>
        <v>3219</v>
      </c>
      <c r="AZ217" s="36">
        <v>810</v>
      </c>
      <c r="BA217" s="36">
        <v>869</v>
      </c>
      <c r="BB217" s="36">
        <v>901</v>
      </c>
      <c r="BC217" s="36">
        <v>957</v>
      </c>
      <c r="BD217" s="36">
        <f>BC217+BB217+BA217+AZ217</f>
        <v>3537</v>
      </c>
      <c r="BE217" s="36">
        <v>876</v>
      </c>
      <c r="BF217" s="36">
        <v>1002</v>
      </c>
      <c r="BG217" s="36">
        <v>249</v>
      </c>
      <c r="BH217" s="36">
        <v>25</v>
      </c>
      <c r="BI217" s="36">
        <f>SUM(BE217:BH217)</f>
        <v>2152</v>
      </c>
      <c r="BJ217" s="36">
        <v>1</v>
      </c>
      <c r="BK217" s="36">
        <v>15</v>
      </c>
      <c r="BL217" s="36">
        <v>29</v>
      </c>
      <c r="BM217" s="36">
        <v>16</v>
      </c>
      <c r="BN217" s="36">
        <f>SUM(BJ217:BM217)</f>
        <v>61</v>
      </c>
      <c r="BO217" s="36">
        <v>5</v>
      </c>
      <c r="BP217" s="36">
        <v>8</v>
      </c>
      <c r="BQ217" s="36">
        <v>5</v>
      </c>
      <c r="BR217" s="36">
        <v>21</v>
      </c>
      <c r="BS217" s="36">
        <f>SUM(BO217:BR217)</f>
        <v>39</v>
      </c>
      <c r="BT217" s="36">
        <v>6</v>
      </c>
      <c r="BU217" s="36">
        <v>10</v>
      </c>
      <c r="BV217" s="36">
        <v>10</v>
      </c>
      <c r="BW217" s="36">
        <v>14</v>
      </c>
      <c r="BX217" s="36">
        <f>SUM(BT217:BW217)</f>
        <v>40</v>
      </c>
      <c r="BY217" s="36">
        <v>17</v>
      </c>
      <c r="BZ217" s="36">
        <v>7</v>
      </c>
      <c r="CA217" s="36">
        <v>6</v>
      </c>
      <c r="CB217" s="36">
        <v>11</v>
      </c>
      <c r="CC217" s="36">
        <f>SUM(BY217:CB217)</f>
        <v>41</v>
      </c>
      <c r="CD217" s="36">
        <v>6</v>
      </c>
      <c r="CE217" s="36">
        <v>6</v>
      </c>
      <c r="CF217" s="36">
        <v>16</v>
      </c>
      <c r="CG217" s="36">
        <v>12</v>
      </c>
      <c r="CH217" s="36">
        <f>SUM(CD217:CG217)</f>
        <v>40</v>
      </c>
      <c r="CI217" s="36">
        <v>5.9</v>
      </c>
      <c r="CJ217" s="36">
        <v>5</v>
      </c>
      <c r="CK217" s="36">
        <v>5</v>
      </c>
      <c r="CL217" s="36">
        <v>4</v>
      </c>
      <c r="CM217" s="36">
        <f>SUM(CI217:CL217)</f>
        <v>19.899999999999999</v>
      </c>
      <c r="CN217" s="36">
        <v>5</v>
      </c>
      <c r="CO217" s="36">
        <v>8</v>
      </c>
      <c r="CP217" s="36">
        <v>11</v>
      </c>
      <c r="CQ217" s="36">
        <v>5</v>
      </c>
      <c r="CR217" s="36">
        <f>SUM(CN217:CQ217)</f>
        <v>29</v>
      </c>
      <c r="CS217" s="36">
        <v>5</v>
      </c>
      <c r="CT217" s="36">
        <v>4</v>
      </c>
      <c r="CU217" s="36">
        <v>4</v>
      </c>
      <c r="CV217" s="36">
        <v>4</v>
      </c>
      <c r="CW217" s="72">
        <f>SUM(CS217:CV217)</f>
        <v>17</v>
      </c>
      <c r="CX217" s="36">
        <f ca="1">CS217*(1+CX220)</f>
        <v>4</v>
      </c>
      <c r="CY217" s="36"/>
      <c r="CZ217" s="36"/>
      <c r="DA217" s="36"/>
      <c r="DB217" s="72"/>
      <c r="DC217" s="72"/>
      <c r="DD217" s="72"/>
      <c r="DE217" s="72"/>
      <c r="DF217" s="72"/>
      <c r="DG217" s="36"/>
      <c r="DH217" s="36"/>
      <c r="DI217" s="36"/>
      <c r="DJ217" s="36"/>
      <c r="DK217" s="36"/>
      <c r="DL217" s="183"/>
      <c r="DM217" s="183"/>
      <c r="DN217" s="183"/>
      <c r="DO217" s="183"/>
      <c r="DP217" s="183"/>
    </row>
    <row r="218" spans="1:120" x14ac:dyDescent="0.2">
      <c r="A218" s="65" t="s">
        <v>168</v>
      </c>
      <c r="B218" s="36">
        <v>72.740300000000005</v>
      </c>
      <c r="C218" s="36">
        <v>72.740340000000003</v>
      </c>
      <c r="D218" s="86">
        <v>79.710139999999996</v>
      </c>
      <c r="E218" s="36">
        <v>90.076335877862604</v>
      </c>
      <c r="F218" s="36">
        <v>315.26717557251914</v>
      </c>
      <c r="G218" s="36">
        <v>89</v>
      </c>
      <c r="H218" s="36">
        <v>98</v>
      </c>
      <c r="I218" s="86">
        <v>103</v>
      </c>
      <c r="J218" s="86">
        <v>123</v>
      </c>
      <c r="K218" s="36">
        <f>J218+I218+H218+G218</f>
        <v>413</v>
      </c>
      <c r="L218" s="86">
        <v>132</v>
      </c>
      <c r="M218" s="86">
        <v>156</v>
      </c>
      <c r="N218" s="86">
        <v>142.75</v>
      </c>
      <c r="O218" s="36">
        <v>180</v>
      </c>
      <c r="P218" s="36">
        <f>O218+N218+M218+L218</f>
        <v>610.75</v>
      </c>
      <c r="Q218" s="36">
        <v>196</v>
      </c>
      <c r="R218" s="36">
        <v>189</v>
      </c>
      <c r="S218" s="36">
        <v>179</v>
      </c>
      <c r="T218" s="36">
        <v>204</v>
      </c>
      <c r="U218" s="36">
        <f>T218+S218+R218+Q218</f>
        <v>768</v>
      </c>
      <c r="V218" s="36">
        <v>242</v>
      </c>
      <c r="W218" s="36">
        <v>241</v>
      </c>
      <c r="X218" s="36">
        <v>203</v>
      </c>
      <c r="Y218" s="36">
        <v>246</v>
      </c>
      <c r="Z218" s="36">
        <f>Y218+X218+W218+V218</f>
        <v>932</v>
      </c>
      <c r="AA218" s="36">
        <v>225</v>
      </c>
      <c r="AB218" s="36">
        <v>270</v>
      </c>
      <c r="AC218" s="36">
        <v>237</v>
      </c>
      <c r="AD218" s="36">
        <v>268</v>
      </c>
      <c r="AE218" s="36">
        <f>AD218+AC218+AB218+AA218</f>
        <v>1000</v>
      </c>
      <c r="AF218" s="36">
        <v>292</v>
      </c>
      <c r="AG218" s="36">
        <v>324</v>
      </c>
      <c r="AH218" s="36">
        <v>300</v>
      </c>
      <c r="AI218" s="36">
        <v>358</v>
      </c>
      <c r="AJ218" s="36">
        <f>AI218+AH218+AG218+AF218</f>
        <v>1274</v>
      </c>
      <c r="AK218" s="36">
        <v>389</v>
      </c>
      <c r="AL218" s="36">
        <v>372</v>
      </c>
      <c r="AM218" s="36">
        <v>337</v>
      </c>
      <c r="AN218" s="36">
        <v>413</v>
      </c>
      <c r="AO218" s="36">
        <f>AN218+AM218+AL218+AK218</f>
        <v>1511</v>
      </c>
      <c r="AP218" s="36">
        <v>375</v>
      </c>
      <c r="AQ218" s="36">
        <v>434</v>
      </c>
      <c r="AR218" s="36">
        <v>356</v>
      </c>
      <c r="AS218" s="36">
        <v>450</v>
      </c>
      <c r="AT218" s="36">
        <f>AS218+AR218+AQ218+AP218</f>
        <v>1615</v>
      </c>
      <c r="AU218" s="36">
        <v>437</v>
      </c>
      <c r="AV218" s="36">
        <v>427</v>
      </c>
      <c r="AW218" s="36">
        <v>393</v>
      </c>
      <c r="AX218" s="36">
        <v>511</v>
      </c>
      <c r="AY218" s="36">
        <f>AX218+AW218+AV218+AU218</f>
        <v>1768</v>
      </c>
      <c r="AZ218" s="36">
        <v>518</v>
      </c>
      <c r="BA218" s="36">
        <v>485</v>
      </c>
      <c r="BB218" s="36">
        <v>435</v>
      </c>
      <c r="BC218" s="36">
        <v>504</v>
      </c>
      <c r="BD218" s="36">
        <f>BC218+BB218+BA218+AZ218</f>
        <v>1942</v>
      </c>
      <c r="BE218" s="36">
        <v>464</v>
      </c>
      <c r="BF218" s="36">
        <v>429</v>
      </c>
      <c r="BG218" s="36">
        <v>353</v>
      </c>
      <c r="BH218" s="36">
        <v>456</v>
      </c>
      <c r="BI218" s="36">
        <f>SUM(BE218:BH218)</f>
        <v>1702</v>
      </c>
      <c r="BJ218" s="36">
        <v>336</v>
      </c>
      <c r="BK218" s="36">
        <v>266</v>
      </c>
      <c r="BL218" s="36">
        <v>252</v>
      </c>
      <c r="BM218" s="36">
        <v>282</v>
      </c>
      <c r="BN218" s="36">
        <f>SUM(BJ218:BM218)</f>
        <v>1136</v>
      </c>
      <c r="BO218" s="36">
        <v>266</v>
      </c>
      <c r="BP218" s="36">
        <v>275</v>
      </c>
      <c r="BQ218" s="36">
        <v>214</v>
      </c>
      <c r="BR218" s="36">
        <v>298</v>
      </c>
      <c r="BS218" s="36">
        <f>SUM(BO218:BR218)</f>
        <v>1053</v>
      </c>
      <c r="BT218" s="36">
        <v>240</v>
      </c>
      <c r="BU218" s="36">
        <v>201</v>
      </c>
      <c r="BV218" s="36">
        <v>191</v>
      </c>
      <c r="BW218" s="36">
        <v>259</v>
      </c>
      <c r="BX218" s="36">
        <f>SUM(BT218:BW218)</f>
        <v>891</v>
      </c>
      <c r="BY218" s="36">
        <v>220</v>
      </c>
      <c r="BZ218" s="36">
        <v>222</v>
      </c>
      <c r="CA218" s="36">
        <v>233</v>
      </c>
      <c r="CB218" s="36">
        <v>199</v>
      </c>
      <c r="CC218" s="36">
        <f>SUM(BY218:CB218)</f>
        <v>874</v>
      </c>
      <c r="CD218" s="36">
        <v>180</v>
      </c>
      <c r="CE218" s="36">
        <v>197</v>
      </c>
      <c r="CF218" s="36">
        <v>145</v>
      </c>
      <c r="CG218" s="36">
        <v>170</v>
      </c>
      <c r="CH218" s="36">
        <f>SUM(CD218:CG218)</f>
        <v>692</v>
      </c>
      <c r="CI218" s="36">
        <v>169.5</v>
      </c>
      <c r="CJ218" s="36">
        <v>180</v>
      </c>
      <c r="CK218" s="36">
        <v>156</v>
      </c>
      <c r="CL218" s="36">
        <v>183</v>
      </c>
      <c r="CM218" s="36">
        <f>SUM(CI218:CL218)</f>
        <v>688.5</v>
      </c>
      <c r="CN218" s="36">
        <v>186</v>
      </c>
      <c r="CO218" s="36">
        <f>153-1</f>
        <v>152</v>
      </c>
      <c r="CP218" s="36">
        <v>140</v>
      </c>
      <c r="CQ218" s="36">
        <v>190</v>
      </c>
      <c r="CR218" s="36">
        <f>SUM(CN218:CQ218)</f>
        <v>668</v>
      </c>
      <c r="CS218" s="36">
        <v>151</v>
      </c>
      <c r="CT218" s="36">
        <v>96</v>
      </c>
      <c r="CU218" s="36">
        <v>78</v>
      </c>
      <c r="CV218" s="36">
        <v>120</v>
      </c>
      <c r="CW218" s="72">
        <f>SUM(CS218:CV218)</f>
        <v>445</v>
      </c>
      <c r="CX218" s="36">
        <v>102</v>
      </c>
      <c r="CY218" s="36"/>
      <c r="CZ218" s="36"/>
      <c r="DA218" s="36"/>
      <c r="DB218" s="72"/>
      <c r="DC218" s="72"/>
      <c r="DD218" s="72"/>
      <c r="DE218" s="72"/>
      <c r="DF218" s="72"/>
      <c r="DG218" s="36"/>
      <c r="DH218" s="36"/>
      <c r="DI218" s="36"/>
      <c r="DJ218" s="36"/>
      <c r="DK218" s="36"/>
      <c r="DL218" s="183"/>
      <c r="DM218" s="183"/>
      <c r="DN218" s="183"/>
      <c r="DO218" s="183"/>
      <c r="DP218" s="183"/>
    </row>
    <row r="219" spans="1:120" x14ac:dyDescent="0.2">
      <c r="A219" s="104" t="s">
        <v>169</v>
      </c>
      <c r="B219" s="39">
        <f t="shared" ref="B219:U219" si="205">B218+B217</f>
        <v>315.91790000000003</v>
      </c>
      <c r="C219" s="39">
        <f t="shared" si="205"/>
        <v>315.91802000000001</v>
      </c>
      <c r="D219" s="39">
        <f t="shared" si="205"/>
        <v>315.00424999999996</v>
      </c>
      <c r="E219" s="39">
        <f t="shared" si="205"/>
        <v>324.61241835208943</v>
      </c>
      <c r="F219" s="39">
        <f t="shared" si="205"/>
        <v>1271.4527425828285</v>
      </c>
      <c r="G219" s="39">
        <f t="shared" si="205"/>
        <v>417</v>
      </c>
      <c r="H219" s="39">
        <f t="shared" si="205"/>
        <v>222</v>
      </c>
      <c r="I219" s="39">
        <f t="shared" si="205"/>
        <v>342</v>
      </c>
      <c r="J219" s="39">
        <f t="shared" si="205"/>
        <v>508</v>
      </c>
      <c r="K219" s="39">
        <f t="shared" si="205"/>
        <v>1489</v>
      </c>
      <c r="L219" s="39">
        <f t="shared" si="205"/>
        <v>464</v>
      </c>
      <c r="M219" s="39">
        <f t="shared" si="205"/>
        <v>422</v>
      </c>
      <c r="N219" s="39">
        <f t="shared" si="205"/>
        <v>615.75</v>
      </c>
      <c r="O219" s="39">
        <f t="shared" si="205"/>
        <v>507.74</v>
      </c>
      <c r="P219" s="39">
        <f t="shared" si="205"/>
        <v>2009.49</v>
      </c>
      <c r="Q219" s="39">
        <f t="shared" si="205"/>
        <v>623</v>
      </c>
      <c r="R219" s="39">
        <f t="shared" si="205"/>
        <v>642</v>
      </c>
      <c r="S219" s="39">
        <f t="shared" si="205"/>
        <v>626</v>
      </c>
      <c r="T219" s="39">
        <f t="shared" si="205"/>
        <v>731</v>
      </c>
      <c r="U219" s="39">
        <f t="shared" si="205"/>
        <v>2622</v>
      </c>
      <c r="V219" s="39">
        <f>V218+V217+1</f>
        <v>736</v>
      </c>
      <c r="W219" s="39">
        <f>W218+W217+1</f>
        <v>731</v>
      </c>
      <c r="X219" s="39">
        <f>X218+X217+1</f>
        <v>694</v>
      </c>
      <c r="Y219" s="39">
        <f>Y218+Y217+1</f>
        <v>819</v>
      </c>
      <c r="Z219" s="39">
        <f>Z218+Z217</f>
        <v>2976</v>
      </c>
      <c r="AA219" s="39">
        <f>AA218+AA217+1</f>
        <v>802</v>
      </c>
      <c r="AB219" s="39">
        <f>AB218+AB217+1</f>
        <v>950</v>
      </c>
      <c r="AC219" s="39">
        <f t="shared" ref="AC219:BD219" si="206">AC218+AC217</f>
        <v>868</v>
      </c>
      <c r="AD219" s="39">
        <f t="shared" si="206"/>
        <v>959</v>
      </c>
      <c r="AE219" s="39">
        <f t="shared" si="206"/>
        <v>3577</v>
      </c>
      <c r="AF219" s="39">
        <f t="shared" si="206"/>
        <v>1023</v>
      </c>
      <c r="AG219" s="39">
        <f t="shared" si="206"/>
        <v>1092</v>
      </c>
      <c r="AH219" s="39">
        <f t="shared" si="206"/>
        <v>1018</v>
      </c>
      <c r="AI219" s="39">
        <f t="shared" si="206"/>
        <v>1154</v>
      </c>
      <c r="AJ219" s="39">
        <f t="shared" si="206"/>
        <v>4287</v>
      </c>
      <c r="AK219" s="39">
        <f t="shared" si="206"/>
        <v>1103</v>
      </c>
      <c r="AL219" s="39">
        <f t="shared" si="206"/>
        <v>1082</v>
      </c>
      <c r="AM219" s="39">
        <f t="shared" si="206"/>
        <v>1029</v>
      </c>
      <c r="AN219" s="39">
        <f t="shared" si="206"/>
        <v>1122</v>
      </c>
      <c r="AO219" s="39">
        <f t="shared" si="206"/>
        <v>4336</v>
      </c>
      <c r="AP219" s="39">
        <f t="shared" si="206"/>
        <v>1057</v>
      </c>
      <c r="AQ219" s="39">
        <f t="shared" si="206"/>
        <v>1257</v>
      </c>
      <c r="AR219" s="39">
        <f t="shared" si="206"/>
        <v>1085</v>
      </c>
      <c r="AS219" s="39">
        <f t="shared" si="206"/>
        <v>1260</v>
      </c>
      <c r="AT219" s="39">
        <f t="shared" si="206"/>
        <v>4659</v>
      </c>
      <c r="AU219" s="39">
        <f t="shared" si="206"/>
        <v>1165</v>
      </c>
      <c r="AV219" s="39">
        <f t="shared" si="206"/>
        <v>1257</v>
      </c>
      <c r="AW219" s="39">
        <f t="shared" si="206"/>
        <v>1216</v>
      </c>
      <c r="AX219" s="39">
        <f t="shared" si="206"/>
        <v>1349</v>
      </c>
      <c r="AY219" s="39">
        <f t="shared" si="206"/>
        <v>4987</v>
      </c>
      <c r="AZ219" s="39">
        <f t="shared" si="206"/>
        <v>1328</v>
      </c>
      <c r="BA219" s="39">
        <f t="shared" si="206"/>
        <v>1354</v>
      </c>
      <c r="BB219" s="39">
        <f t="shared" si="206"/>
        <v>1336</v>
      </c>
      <c r="BC219" s="39">
        <f t="shared" si="206"/>
        <v>1461</v>
      </c>
      <c r="BD219" s="39">
        <f t="shared" si="206"/>
        <v>5479</v>
      </c>
      <c r="BE219" s="39">
        <f>BE217+BE218</f>
        <v>1340</v>
      </c>
      <c r="BF219" s="39">
        <f>BF217+BF218</f>
        <v>1431</v>
      </c>
      <c r="BG219" s="39">
        <f>BG217+BG218</f>
        <v>602</v>
      </c>
      <c r="BH219" s="39">
        <f>BH217+BH218</f>
        <v>481</v>
      </c>
      <c r="BI219" s="39">
        <f t="shared" ref="BI219:CQ219" si="207">BI218+BI217</f>
        <v>3854</v>
      </c>
      <c r="BJ219" s="39">
        <f t="shared" si="207"/>
        <v>337</v>
      </c>
      <c r="BK219" s="39">
        <f t="shared" si="207"/>
        <v>281</v>
      </c>
      <c r="BL219" s="39">
        <f t="shared" si="207"/>
        <v>281</v>
      </c>
      <c r="BM219" s="39">
        <f t="shared" si="207"/>
        <v>298</v>
      </c>
      <c r="BN219" s="39">
        <f t="shared" si="207"/>
        <v>1197</v>
      </c>
      <c r="BO219" s="39">
        <f t="shared" si="207"/>
        <v>271</v>
      </c>
      <c r="BP219" s="39">
        <f t="shared" si="207"/>
        <v>283</v>
      </c>
      <c r="BQ219" s="39">
        <f t="shared" si="207"/>
        <v>219</v>
      </c>
      <c r="BR219" s="39">
        <f t="shared" si="207"/>
        <v>319</v>
      </c>
      <c r="BS219" s="39">
        <f t="shared" si="207"/>
        <v>1092</v>
      </c>
      <c r="BT219" s="39">
        <f t="shared" si="207"/>
        <v>246</v>
      </c>
      <c r="BU219" s="39">
        <f t="shared" si="207"/>
        <v>211</v>
      </c>
      <c r="BV219" s="39">
        <f t="shared" si="207"/>
        <v>201</v>
      </c>
      <c r="BW219" s="39">
        <f t="shared" si="207"/>
        <v>273</v>
      </c>
      <c r="BX219" s="39">
        <f t="shared" si="207"/>
        <v>931</v>
      </c>
      <c r="BY219" s="39">
        <f t="shared" si="207"/>
        <v>237</v>
      </c>
      <c r="BZ219" s="39">
        <f t="shared" si="207"/>
        <v>229</v>
      </c>
      <c r="CA219" s="39">
        <f t="shared" si="207"/>
        <v>239</v>
      </c>
      <c r="CB219" s="39">
        <f t="shared" si="207"/>
        <v>210</v>
      </c>
      <c r="CC219" s="39">
        <f t="shared" si="207"/>
        <v>915</v>
      </c>
      <c r="CD219" s="39">
        <f t="shared" si="207"/>
        <v>186</v>
      </c>
      <c r="CE219" s="39">
        <f t="shared" si="207"/>
        <v>203</v>
      </c>
      <c r="CF219" s="39">
        <f t="shared" si="207"/>
        <v>161</v>
      </c>
      <c r="CG219" s="39">
        <f t="shared" si="207"/>
        <v>182</v>
      </c>
      <c r="CH219" s="39">
        <f t="shared" si="207"/>
        <v>732</v>
      </c>
      <c r="CI219" s="39">
        <f t="shared" si="207"/>
        <v>175.4</v>
      </c>
      <c r="CJ219" s="39">
        <f t="shared" si="207"/>
        <v>185</v>
      </c>
      <c r="CK219" s="39">
        <f t="shared" si="207"/>
        <v>161</v>
      </c>
      <c r="CL219" s="39">
        <f t="shared" si="207"/>
        <v>187</v>
      </c>
      <c r="CM219" s="39">
        <f t="shared" si="207"/>
        <v>708.4</v>
      </c>
      <c r="CN219" s="39">
        <f t="shared" si="207"/>
        <v>191</v>
      </c>
      <c r="CO219" s="39">
        <f t="shared" si="207"/>
        <v>160</v>
      </c>
      <c r="CP219" s="39">
        <f t="shared" si="207"/>
        <v>151</v>
      </c>
      <c r="CQ219" s="39">
        <f t="shared" si="207"/>
        <v>195</v>
      </c>
      <c r="CR219" s="39">
        <f>CR218+CR217</f>
        <v>697</v>
      </c>
      <c r="CS219" s="39">
        <f>CS218+CS217-1</f>
        <v>155</v>
      </c>
      <c r="CT219" s="39">
        <f>CT218+CT217</f>
        <v>100</v>
      </c>
      <c r="CU219" s="39">
        <f>CU218+CU217</f>
        <v>82</v>
      </c>
      <c r="CV219" s="39">
        <f>CV218+CV217</f>
        <v>124</v>
      </c>
      <c r="CW219" s="74">
        <f>SUM(CS219:CV219)</f>
        <v>461</v>
      </c>
      <c r="CX219" s="39">
        <f ca="1">SUM(CX217:CX218)</f>
        <v>106</v>
      </c>
      <c r="CY219" s="39"/>
      <c r="CZ219" s="39"/>
      <c r="DA219" s="39"/>
      <c r="DB219" s="74"/>
      <c r="DC219" s="74"/>
      <c r="DD219" s="74"/>
      <c r="DE219" s="74"/>
      <c r="DF219" s="74"/>
      <c r="DG219" s="39"/>
      <c r="DH219" s="39"/>
      <c r="DI219" s="39"/>
      <c r="DJ219" s="39"/>
      <c r="DK219" s="39"/>
      <c r="DL219" s="187"/>
      <c r="DM219" s="187"/>
      <c r="DN219" s="187"/>
      <c r="DO219" s="187"/>
      <c r="DP219" s="187"/>
    </row>
    <row r="220" spans="1:120" x14ac:dyDescent="0.2">
      <c r="A220" s="68" t="s">
        <v>54</v>
      </c>
      <c r="G220" s="76">
        <f t="shared" ref="G220:BR222" si="208">G217/B217-1</f>
        <v>0.34880844288289703</v>
      </c>
      <c r="H220" s="76">
        <f t="shared" si="208"/>
        <v>-0.49008478080718598</v>
      </c>
      <c r="I220" s="76">
        <f t="shared" si="208"/>
        <v>1.5750033011876052E-2</v>
      </c>
      <c r="J220" s="76">
        <f t="shared" si="208"/>
        <v>0.64153846153846139</v>
      </c>
      <c r="K220" s="76">
        <f t="shared" si="208"/>
        <v>0.12530458221024254</v>
      </c>
      <c r="L220" s="76">
        <f t="shared" si="208"/>
        <v>1.2195121951219523E-2</v>
      </c>
      <c r="M220" s="76">
        <f t="shared" si="208"/>
        <v>1.1451612903225805</v>
      </c>
      <c r="N220" s="76">
        <f t="shared" si="208"/>
        <v>0.97907949790794979</v>
      </c>
      <c r="O220" s="76">
        <f t="shared" si="208"/>
        <v>-0.14872727272727271</v>
      </c>
      <c r="P220" s="76">
        <f t="shared" si="208"/>
        <v>0.29994423791821556</v>
      </c>
      <c r="Q220" s="76">
        <f t="shared" si="208"/>
        <v>0.28614457831325302</v>
      </c>
      <c r="R220" s="76">
        <f t="shared" si="208"/>
        <v>0.70300751879699241</v>
      </c>
      <c r="S220" s="76">
        <f t="shared" si="208"/>
        <v>-5.4968287526427018E-2</v>
      </c>
      <c r="T220" s="76">
        <f t="shared" si="208"/>
        <v>0.60798193690120206</v>
      </c>
      <c r="U220" s="76">
        <f t="shared" si="208"/>
        <v>0.32547864506627389</v>
      </c>
      <c r="V220" s="90">
        <f t="shared" si="208"/>
        <v>0.15456674473067911</v>
      </c>
      <c r="W220" s="90">
        <f t="shared" si="208"/>
        <v>7.9470198675496651E-2</v>
      </c>
      <c r="X220" s="90">
        <f t="shared" si="208"/>
        <v>9.6196868008948444E-2</v>
      </c>
      <c r="Y220" s="90">
        <f t="shared" si="208"/>
        <v>8.5388994307400434E-2</v>
      </c>
      <c r="Z220" s="76">
        <f t="shared" si="208"/>
        <v>0.1024811218985977</v>
      </c>
      <c r="AA220" s="90">
        <f t="shared" si="208"/>
        <v>0.16835699797160242</v>
      </c>
      <c r="AB220" s="90">
        <f t="shared" si="208"/>
        <v>0.38854805725971375</v>
      </c>
      <c r="AC220" s="90">
        <f t="shared" si="208"/>
        <v>0.28775510204081622</v>
      </c>
      <c r="AD220" s="90">
        <f t="shared" si="208"/>
        <v>0.20804195804195813</v>
      </c>
      <c r="AE220" s="76">
        <f t="shared" si="208"/>
        <v>0.2607632093933463</v>
      </c>
      <c r="AF220" s="90">
        <f t="shared" si="208"/>
        <v>0.26909722222222232</v>
      </c>
      <c r="AG220" s="90">
        <f t="shared" si="208"/>
        <v>0.13107511045655373</v>
      </c>
      <c r="AH220" s="90">
        <f t="shared" si="208"/>
        <v>0.13787638668779723</v>
      </c>
      <c r="AI220" s="90">
        <f t="shared" si="208"/>
        <v>0.15195369030390737</v>
      </c>
      <c r="AJ220" s="76">
        <f t="shared" si="208"/>
        <v>0.16918897943344979</v>
      </c>
      <c r="AK220" s="90">
        <f t="shared" si="208"/>
        <v>-2.3255813953488413E-2</v>
      </c>
      <c r="AL220" s="90">
        <f t="shared" si="208"/>
        <v>-7.552083333333337E-2</v>
      </c>
      <c r="AM220" s="90">
        <f t="shared" si="208"/>
        <v>-3.6211699164345412E-2</v>
      </c>
      <c r="AN220" s="90">
        <f t="shared" si="208"/>
        <v>-0.10929648241206025</v>
      </c>
      <c r="AO220" s="76">
        <f t="shared" si="208"/>
        <v>-6.2396282774643264E-2</v>
      </c>
      <c r="AP220" s="90">
        <f t="shared" si="208"/>
        <v>-4.4817927170868299E-2</v>
      </c>
      <c r="AQ220" s="90">
        <f t="shared" si="208"/>
        <v>0.1591549295774648</v>
      </c>
      <c r="AR220" s="90">
        <f t="shared" si="208"/>
        <v>5.3468208092485536E-2</v>
      </c>
      <c r="AS220" s="90">
        <f t="shared" si="208"/>
        <v>0.14245416078984485</v>
      </c>
      <c r="AT220" s="76">
        <f t="shared" si="208"/>
        <v>7.7522123893805306E-2</v>
      </c>
      <c r="AU220" s="90">
        <f t="shared" si="208"/>
        <v>6.7448680351906098E-2</v>
      </c>
      <c r="AV220" s="90">
        <f t="shared" si="208"/>
        <v>8.5054678007290274E-3</v>
      </c>
      <c r="AW220" s="90">
        <f t="shared" si="208"/>
        <v>0.12894375857338813</v>
      </c>
      <c r="AX220" s="90">
        <f t="shared" si="208"/>
        <v>3.4567901234567877E-2</v>
      </c>
      <c r="AY220" s="76">
        <f t="shared" si="208"/>
        <v>5.7490144546649136E-2</v>
      </c>
      <c r="AZ220" s="90">
        <f t="shared" si="208"/>
        <v>0.11263736263736268</v>
      </c>
      <c r="BA220" s="90">
        <f t="shared" si="208"/>
        <v>4.6987951807228923E-2</v>
      </c>
      <c r="BB220" s="90">
        <f t="shared" si="208"/>
        <v>9.4775212636694972E-2</v>
      </c>
      <c r="BC220" s="90">
        <f t="shared" si="208"/>
        <v>0.14200477326968963</v>
      </c>
      <c r="BD220" s="76">
        <f t="shared" si="208"/>
        <v>9.8788443616029786E-2</v>
      </c>
      <c r="BE220" s="76">
        <f t="shared" si="208"/>
        <v>8.1481481481481488E-2</v>
      </c>
      <c r="BF220" s="76">
        <f t="shared" si="208"/>
        <v>0.1530494821634063</v>
      </c>
      <c r="BG220" s="76">
        <f t="shared" si="208"/>
        <v>-0.72364039955604875</v>
      </c>
      <c r="BH220" s="76">
        <f t="shared" si="208"/>
        <v>-0.97387669801462906</v>
      </c>
      <c r="BI220" s="90">
        <f>BI217/BD217-1</f>
        <v>-0.39157478088775799</v>
      </c>
      <c r="BJ220" s="76">
        <f t="shared" si="208"/>
        <v>-0.99885844748858443</v>
      </c>
      <c r="BK220" s="76">
        <f t="shared" si="208"/>
        <v>-0.98502994011976053</v>
      </c>
      <c r="BL220" s="76">
        <f t="shared" si="208"/>
        <v>-0.88353413654618473</v>
      </c>
      <c r="BM220" s="76">
        <f t="shared" si="208"/>
        <v>-0.36</v>
      </c>
      <c r="BN220" s="90">
        <f>BN217/BI217-1</f>
        <v>-0.97165427509293678</v>
      </c>
      <c r="BO220" s="76">
        <f t="shared" si="208"/>
        <v>4</v>
      </c>
      <c r="BP220" s="76">
        <f t="shared" si="208"/>
        <v>-0.46666666666666667</v>
      </c>
      <c r="BQ220" s="76">
        <f t="shared" si="208"/>
        <v>-0.82758620689655171</v>
      </c>
      <c r="BR220" s="76">
        <f t="shared" si="208"/>
        <v>0.3125</v>
      </c>
      <c r="BS220" s="90">
        <f>BS217/BN217-1</f>
        <v>-0.36065573770491799</v>
      </c>
      <c r="BT220" s="76">
        <f t="shared" ref="BT220:CX222" si="209">BT217/BO217-1</f>
        <v>0.19999999999999996</v>
      </c>
      <c r="BU220" s="76">
        <f t="shared" si="209"/>
        <v>0.25</v>
      </c>
      <c r="BV220" s="76">
        <f t="shared" si="209"/>
        <v>1</v>
      </c>
      <c r="BW220" s="76">
        <f t="shared" si="209"/>
        <v>-0.33333333333333337</v>
      </c>
      <c r="BX220" s="90">
        <f>BX217/BS217-1</f>
        <v>2.564102564102555E-2</v>
      </c>
      <c r="BY220" s="76">
        <f t="shared" si="209"/>
        <v>1.8333333333333335</v>
      </c>
      <c r="BZ220" s="76">
        <f t="shared" si="209"/>
        <v>-0.30000000000000004</v>
      </c>
      <c r="CA220" s="76">
        <f t="shared" si="209"/>
        <v>-0.4</v>
      </c>
      <c r="CB220" s="76">
        <f t="shared" si="209"/>
        <v>-0.2142857142857143</v>
      </c>
      <c r="CC220" s="90">
        <f>CC217/BX217-1</f>
        <v>2.4999999999999911E-2</v>
      </c>
      <c r="CD220" s="76">
        <f t="shared" si="209"/>
        <v>-0.64705882352941169</v>
      </c>
      <c r="CE220" s="76">
        <f t="shared" si="209"/>
        <v>-0.1428571428571429</v>
      </c>
      <c r="CF220" s="76">
        <f t="shared" si="209"/>
        <v>1.6666666666666665</v>
      </c>
      <c r="CG220" s="76">
        <f t="shared" si="209"/>
        <v>9.0909090909090828E-2</v>
      </c>
      <c r="CH220" s="90">
        <f>CH217/CC217-1</f>
        <v>-2.4390243902439046E-2</v>
      </c>
      <c r="CI220" s="90">
        <f t="shared" si="209"/>
        <v>-1.6666666666666607E-2</v>
      </c>
      <c r="CJ220" s="90">
        <f t="shared" si="209"/>
        <v>-0.16666666666666663</v>
      </c>
      <c r="CK220" s="90">
        <f t="shared" si="209"/>
        <v>-0.6875</v>
      </c>
      <c r="CL220" s="90">
        <f t="shared" si="209"/>
        <v>-0.66666666666666674</v>
      </c>
      <c r="CM220" s="90">
        <f t="shared" si="209"/>
        <v>-0.50250000000000006</v>
      </c>
      <c r="CN220" s="90">
        <f t="shared" si="209"/>
        <v>-0.15254237288135597</v>
      </c>
      <c r="CO220" s="90">
        <f t="shared" si="209"/>
        <v>0.60000000000000009</v>
      </c>
      <c r="CP220" s="90">
        <f t="shared" si="209"/>
        <v>1.2000000000000002</v>
      </c>
      <c r="CQ220" s="90">
        <f t="shared" si="209"/>
        <v>0.25</v>
      </c>
      <c r="CR220" s="90">
        <f>CR217/CM217-1</f>
        <v>0.45728643216080411</v>
      </c>
      <c r="CS220" s="90">
        <f t="shared" si="209"/>
        <v>0</v>
      </c>
      <c r="CT220" s="90">
        <f t="shared" si="209"/>
        <v>-0.5</v>
      </c>
      <c r="CU220" s="90">
        <f t="shared" si="209"/>
        <v>-0.63636363636363635</v>
      </c>
      <c r="CV220" s="90">
        <f t="shared" si="209"/>
        <v>-0.19999999999999996</v>
      </c>
      <c r="CW220" s="90">
        <f>CW217/CR217-1</f>
        <v>-0.41379310344827591</v>
      </c>
      <c r="CX220" s="90">
        <f ca="1">CX217/CS217-1</f>
        <v>-0.19999999999999996</v>
      </c>
      <c r="CY220" s="90"/>
      <c r="CZ220" s="90"/>
      <c r="DA220" s="90"/>
      <c r="DB220" s="90"/>
      <c r="DC220" s="90"/>
      <c r="DD220" s="90"/>
      <c r="DE220" s="90"/>
      <c r="DF220" s="90"/>
      <c r="DG220" s="90"/>
      <c r="DH220" s="90"/>
      <c r="DI220" s="90"/>
      <c r="DJ220" s="90"/>
      <c r="DK220" s="90"/>
      <c r="DL220" s="188"/>
      <c r="DM220" s="188"/>
      <c r="DN220" s="188"/>
      <c r="DO220" s="188"/>
      <c r="DP220" s="188"/>
    </row>
    <row r="221" spans="1:120" x14ac:dyDescent="0.2">
      <c r="A221" s="68" t="s">
        <v>55</v>
      </c>
      <c r="G221" s="76">
        <f t="shared" si="208"/>
        <v>0.22353083503917359</v>
      </c>
      <c r="H221" s="76">
        <f t="shared" si="208"/>
        <v>0.34725793143117012</v>
      </c>
      <c r="I221" s="76">
        <f t="shared" si="208"/>
        <v>0.29218189806215378</v>
      </c>
      <c r="J221" s="76">
        <f t="shared" si="208"/>
        <v>0.36550847457627111</v>
      </c>
      <c r="K221" s="76">
        <f t="shared" si="208"/>
        <v>0.30999999999999983</v>
      </c>
      <c r="L221" s="76">
        <f t="shared" si="208"/>
        <v>0.48314606741573041</v>
      </c>
      <c r="M221" s="76">
        <f t="shared" si="208"/>
        <v>0.59183673469387754</v>
      </c>
      <c r="N221" s="76">
        <f t="shared" si="208"/>
        <v>0.38592233009708732</v>
      </c>
      <c r="O221" s="76">
        <f t="shared" si="208"/>
        <v>0.46341463414634143</v>
      </c>
      <c r="P221" s="76">
        <f t="shared" si="208"/>
        <v>0.47881355932203395</v>
      </c>
      <c r="Q221" s="76">
        <f t="shared" si="208"/>
        <v>0.48484848484848486</v>
      </c>
      <c r="R221" s="76">
        <f t="shared" si="208"/>
        <v>0.21153846153846145</v>
      </c>
      <c r="S221" s="76">
        <f t="shared" si="208"/>
        <v>0.25394045534150611</v>
      </c>
      <c r="T221" s="76">
        <f t="shared" si="208"/>
        <v>0.1333333333333333</v>
      </c>
      <c r="U221" s="76">
        <f t="shared" si="208"/>
        <v>0.2574703233729021</v>
      </c>
      <c r="V221" s="90">
        <f t="shared" si="208"/>
        <v>0.23469387755102034</v>
      </c>
      <c r="W221" s="90">
        <f t="shared" si="208"/>
        <v>0.27513227513227512</v>
      </c>
      <c r="X221" s="90">
        <f t="shared" si="208"/>
        <v>0.13407821229050287</v>
      </c>
      <c r="Y221" s="90">
        <f t="shared" si="208"/>
        <v>0.20588235294117641</v>
      </c>
      <c r="Z221" s="76">
        <f t="shared" si="208"/>
        <v>0.21354166666666674</v>
      </c>
      <c r="AA221" s="90">
        <f t="shared" si="208"/>
        <v>-7.0247933884297509E-2</v>
      </c>
      <c r="AB221" s="90">
        <f t="shared" si="208"/>
        <v>0.1203319502074689</v>
      </c>
      <c r="AC221" s="90">
        <f t="shared" si="208"/>
        <v>0.16748768472906406</v>
      </c>
      <c r="AD221" s="90">
        <f t="shared" si="208"/>
        <v>8.9430894308943021E-2</v>
      </c>
      <c r="AE221" s="76">
        <f t="shared" si="208"/>
        <v>7.296137339055786E-2</v>
      </c>
      <c r="AF221" s="90">
        <f t="shared" si="208"/>
        <v>0.2977777777777777</v>
      </c>
      <c r="AG221" s="90">
        <f t="shared" si="208"/>
        <v>0.19999999999999996</v>
      </c>
      <c r="AH221" s="90">
        <f t="shared" si="208"/>
        <v>0.26582278481012667</v>
      </c>
      <c r="AI221" s="90">
        <f t="shared" si="208"/>
        <v>0.33582089552238803</v>
      </c>
      <c r="AJ221" s="76">
        <f t="shared" si="208"/>
        <v>0.27400000000000002</v>
      </c>
      <c r="AK221" s="90">
        <f t="shared" si="208"/>
        <v>0.33219178082191791</v>
      </c>
      <c r="AL221" s="90">
        <f t="shared" si="208"/>
        <v>0.14814814814814814</v>
      </c>
      <c r="AM221" s="90">
        <f t="shared" si="208"/>
        <v>0.12333333333333329</v>
      </c>
      <c r="AN221" s="90">
        <f t="shared" si="208"/>
        <v>0.15363128491620115</v>
      </c>
      <c r="AO221" s="76">
        <f t="shared" si="208"/>
        <v>0.18602825745682883</v>
      </c>
      <c r="AP221" s="90">
        <f t="shared" si="208"/>
        <v>-3.5989717223650408E-2</v>
      </c>
      <c r="AQ221" s="90">
        <f t="shared" si="208"/>
        <v>0.16666666666666674</v>
      </c>
      <c r="AR221" s="90">
        <f t="shared" si="208"/>
        <v>5.6379821958457033E-2</v>
      </c>
      <c r="AS221" s="90">
        <f t="shared" si="208"/>
        <v>8.9588377723970991E-2</v>
      </c>
      <c r="AT221" s="76">
        <f t="shared" si="208"/>
        <v>6.8828590337524753E-2</v>
      </c>
      <c r="AU221" s="90">
        <f t="shared" si="208"/>
        <v>0.16533333333333333</v>
      </c>
      <c r="AV221" s="90">
        <f t="shared" si="208"/>
        <v>-1.6129032258064502E-2</v>
      </c>
      <c r="AW221" s="90">
        <f t="shared" si="208"/>
        <v>0.10393258426966301</v>
      </c>
      <c r="AX221" s="90">
        <f t="shared" si="208"/>
        <v>0.13555555555555565</v>
      </c>
      <c r="AY221" s="76">
        <f t="shared" si="208"/>
        <v>9.473684210526323E-2</v>
      </c>
      <c r="AZ221" s="90">
        <f t="shared" si="208"/>
        <v>0.18535469107551483</v>
      </c>
      <c r="BA221" s="90">
        <f t="shared" si="208"/>
        <v>0.13583138173302101</v>
      </c>
      <c r="BB221" s="90">
        <f t="shared" si="208"/>
        <v>0.10687022900763354</v>
      </c>
      <c r="BC221" s="90">
        <f t="shared" si="208"/>
        <v>-1.3698630136986356E-2</v>
      </c>
      <c r="BD221" s="76">
        <f t="shared" si="208"/>
        <v>9.8416289592760275E-2</v>
      </c>
      <c r="BE221" s="76">
        <f t="shared" si="208"/>
        <v>-0.10424710424710426</v>
      </c>
      <c r="BF221" s="76">
        <f t="shared" si="208"/>
        <v>-0.11546391752577323</v>
      </c>
      <c r="BG221" s="76">
        <f t="shared" si="208"/>
        <v>-0.18850574712643675</v>
      </c>
      <c r="BH221" s="76">
        <f t="shared" si="208"/>
        <v>-9.5238095238095233E-2</v>
      </c>
      <c r="BI221" s="90">
        <f>BI218/BD218-1</f>
        <v>-0.12358393408856849</v>
      </c>
      <c r="BJ221" s="76">
        <f t="shared" si="208"/>
        <v>-0.27586206896551724</v>
      </c>
      <c r="BK221" s="76">
        <f t="shared" si="208"/>
        <v>-0.37995337995337997</v>
      </c>
      <c r="BL221" s="76">
        <f t="shared" si="208"/>
        <v>-0.28611898016997173</v>
      </c>
      <c r="BM221" s="76">
        <f t="shared" si="208"/>
        <v>-0.38157894736842102</v>
      </c>
      <c r="BN221" s="90">
        <f>BN218/BI218-1</f>
        <v>-0.33254994124559345</v>
      </c>
      <c r="BO221" s="76">
        <f t="shared" si="208"/>
        <v>-0.20833333333333337</v>
      </c>
      <c r="BP221" s="76">
        <f t="shared" si="208"/>
        <v>3.3834586466165328E-2</v>
      </c>
      <c r="BQ221" s="76">
        <f t="shared" si="208"/>
        <v>-0.15079365079365081</v>
      </c>
      <c r="BR221" s="76">
        <f t="shared" si="208"/>
        <v>5.6737588652482351E-2</v>
      </c>
      <c r="BS221" s="90">
        <f>BS218/BN218-1</f>
        <v>-7.3063380281690127E-2</v>
      </c>
      <c r="BT221" s="76">
        <f t="shared" si="209"/>
        <v>-9.7744360902255689E-2</v>
      </c>
      <c r="BU221" s="76">
        <f t="shared" si="209"/>
        <v>-0.26909090909090905</v>
      </c>
      <c r="BV221" s="76">
        <f t="shared" si="209"/>
        <v>-0.10747663551401865</v>
      </c>
      <c r="BW221" s="76">
        <f t="shared" si="209"/>
        <v>-0.13087248322147649</v>
      </c>
      <c r="BX221" s="90">
        <f>BX218/BS218-1</f>
        <v>-0.15384615384615385</v>
      </c>
      <c r="BY221" s="76">
        <f t="shared" si="209"/>
        <v>-8.333333333333337E-2</v>
      </c>
      <c r="BZ221" s="76">
        <f t="shared" si="209"/>
        <v>0.10447761194029859</v>
      </c>
      <c r="CA221" s="76">
        <f t="shared" si="209"/>
        <v>0.21989528795811508</v>
      </c>
      <c r="CB221" s="76">
        <f t="shared" si="209"/>
        <v>-0.23166023166023164</v>
      </c>
      <c r="CC221" s="90">
        <f>CC218/BX218-1</f>
        <v>-1.9079685746352437E-2</v>
      </c>
      <c r="CD221" s="76">
        <f t="shared" si="209"/>
        <v>-0.18181818181818177</v>
      </c>
      <c r="CE221" s="76">
        <f t="shared" si="209"/>
        <v>-0.11261261261261257</v>
      </c>
      <c r="CF221" s="76">
        <f t="shared" si="209"/>
        <v>-0.37768240343347637</v>
      </c>
      <c r="CG221" s="76">
        <f t="shared" si="209"/>
        <v>-0.14572864321608037</v>
      </c>
      <c r="CH221" s="90">
        <f>CH218/CC218-1</f>
        <v>-0.20823798627002288</v>
      </c>
      <c r="CI221" s="90">
        <f t="shared" si="209"/>
        <v>-5.8333333333333348E-2</v>
      </c>
      <c r="CJ221" s="90">
        <f t="shared" si="209"/>
        <v>-8.6294416243654859E-2</v>
      </c>
      <c r="CK221" s="90">
        <f t="shared" si="209"/>
        <v>7.5862068965517171E-2</v>
      </c>
      <c r="CL221" s="90">
        <f t="shared" si="209"/>
        <v>7.6470588235294068E-2</v>
      </c>
      <c r="CM221" s="90">
        <f t="shared" si="209"/>
        <v>-5.0578034682080553E-3</v>
      </c>
      <c r="CN221" s="90">
        <f t="shared" si="209"/>
        <v>9.7345132743362761E-2</v>
      </c>
      <c r="CO221" s="90">
        <f t="shared" si="209"/>
        <v>-0.15555555555555556</v>
      </c>
      <c r="CP221" s="90">
        <f t="shared" si="209"/>
        <v>-0.10256410256410253</v>
      </c>
      <c r="CQ221" s="90">
        <f t="shared" si="209"/>
        <v>3.8251366120218622E-2</v>
      </c>
      <c r="CR221" s="90">
        <f>CR218/CM218-1</f>
        <v>-2.977487291212777E-2</v>
      </c>
      <c r="CS221" s="90">
        <f t="shared" si="209"/>
        <v>-0.18817204301075274</v>
      </c>
      <c r="CT221" s="90">
        <f t="shared" si="209"/>
        <v>-0.36842105263157898</v>
      </c>
      <c r="CU221" s="90">
        <f t="shared" si="209"/>
        <v>-0.44285714285714284</v>
      </c>
      <c r="CV221" s="90">
        <f t="shared" si="209"/>
        <v>-0.36842105263157898</v>
      </c>
      <c r="CW221" s="90">
        <f>CW218/CR218-1</f>
        <v>-0.33383233532934131</v>
      </c>
      <c r="CX221" s="90">
        <f t="shared" si="209"/>
        <v>-0.32450331125827814</v>
      </c>
      <c r="CY221" s="90"/>
      <c r="CZ221" s="90"/>
      <c r="DA221" s="90"/>
      <c r="DB221" s="90"/>
      <c r="DC221" s="90"/>
      <c r="DD221" s="90"/>
      <c r="DE221" s="90"/>
      <c r="DF221" s="90"/>
      <c r="DG221" s="90"/>
      <c r="DH221" s="90"/>
      <c r="DI221" s="90"/>
      <c r="DJ221" s="90"/>
      <c r="DK221" s="90"/>
      <c r="DL221" s="188"/>
      <c r="DM221" s="188"/>
      <c r="DN221" s="188"/>
      <c r="DO221" s="188"/>
      <c r="DP221" s="188"/>
    </row>
    <row r="222" spans="1:120" x14ac:dyDescent="0.2">
      <c r="A222" s="78" t="s">
        <v>56</v>
      </c>
      <c r="B222" s="79"/>
      <c r="C222" s="79"/>
      <c r="D222" s="79"/>
      <c r="E222" s="79"/>
      <c r="F222" s="79"/>
      <c r="G222" s="80">
        <f t="shared" si="208"/>
        <v>0.31996319296880604</v>
      </c>
      <c r="H222" s="80">
        <f t="shared" si="208"/>
        <v>-0.29728604908324008</v>
      </c>
      <c r="I222" s="80">
        <f t="shared" si="208"/>
        <v>8.5699637385844962E-2</v>
      </c>
      <c r="J222" s="80">
        <f t="shared" si="208"/>
        <v>0.56494321005612314</v>
      </c>
      <c r="K222" s="80">
        <f t="shared" si="208"/>
        <v>0.17110133167454267</v>
      </c>
      <c r="L222" s="80">
        <f t="shared" si="208"/>
        <v>0.11270983213429253</v>
      </c>
      <c r="M222" s="80">
        <f t="shared" si="208"/>
        <v>0.9009009009009008</v>
      </c>
      <c r="N222" s="80">
        <f t="shared" si="208"/>
        <v>0.80043859649122817</v>
      </c>
      <c r="O222" s="80">
        <f t="shared" si="208"/>
        <v>-5.1181102362207742E-4</v>
      </c>
      <c r="P222" s="80">
        <f t="shared" si="208"/>
        <v>0.34955674949630633</v>
      </c>
      <c r="Q222" s="80">
        <f t="shared" si="208"/>
        <v>0.34267241379310343</v>
      </c>
      <c r="R222" s="80">
        <f t="shared" si="208"/>
        <v>0.52132701421800953</v>
      </c>
      <c r="S222" s="80">
        <f t="shared" si="208"/>
        <v>1.6646366220056885E-2</v>
      </c>
      <c r="T222" s="80">
        <f t="shared" si="208"/>
        <v>0.43971323905936099</v>
      </c>
      <c r="U222" s="80">
        <f t="shared" si="208"/>
        <v>0.30480868280011353</v>
      </c>
      <c r="V222" s="80">
        <f t="shared" si="208"/>
        <v>0.18138041733547361</v>
      </c>
      <c r="W222" s="80">
        <f t="shared" si="208"/>
        <v>0.13862928348909653</v>
      </c>
      <c r="X222" s="80">
        <f t="shared" si="208"/>
        <v>0.10862619808306717</v>
      </c>
      <c r="Y222" s="80">
        <f t="shared" si="208"/>
        <v>0.12038303693570462</v>
      </c>
      <c r="Z222" s="80">
        <f t="shared" si="208"/>
        <v>0.13501144164759715</v>
      </c>
      <c r="AA222" s="80">
        <f t="shared" si="208"/>
        <v>8.9673913043478271E-2</v>
      </c>
      <c r="AB222" s="80">
        <f t="shared" si="208"/>
        <v>0.29958960328317374</v>
      </c>
      <c r="AC222" s="80">
        <f t="shared" si="208"/>
        <v>0.25072046109510082</v>
      </c>
      <c r="AD222" s="80">
        <f t="shared" si="208"/>
        <v>0.170940170940171</v>
      </c>
      <c r="AE222" s="80">
        <f t="shared" si="208"/>
        <v>0.20194892473118276</v>
      </c>
      <c r="AF222" s="80">
        <f t="shared" si="208"/>
        <v>0.27556109725685785</v>
      </c>
      <c r="AG222" s="80">
        <f t="shared" si="208"/>
        <v>0.14947368421052643</v>
      </c>
      <c r="AH222" s="80">
        <f t="shared" si="208"/>
        <v>0.17281105990783407</v>
      </c>
      <c r="AI222" s="80">
        <f t="shared" si="208"/>
        <v>0.20333680917622532</v>
      </c>
      <c r="AJ222" s="80">
        <f t="shared" si="208"/>
        <v>0.19849035504612811</v>
      </c>
      <c r="AK222" s="80">
        <f t="shared" si="208"/>
        <v>7.82013685239491E-2</v>
      </c>
      <c r="AL222" s="80">
        <f t="shared" si="208"/>
        <v>-9.157509157509125E-3</v>
      </c>
      <c r="AM222" s="80">
        <f t="shared" si="208"/>
        <v>1.080550098231825E-2</v>
      </c>
      <c r="AN222" s="80">
        <f t="shared" si="208"/>
        <v>-2.7729636048526851E-2</v>
      </c>
      <c r="AO222" s="80">
        <f t="shared" si="208"/>
        <v>1.1429904362024734E-2</v>
      </c>
      <c r="AP222" s="80">
        <f t="shared" si="208"/>
        <v>-4.1704442429737032E-2</v>
      </c>
      <c r="AQ222" s="80">
        <f t="shared" si="208"/>
        <v>0.16173752310536038</v>
      </c>
      <c r="AR222" s="80">
        <f t="shared" si="208"/>
        <v>5.4421768707483054E-2</v>
      </c>
      <c r="AS222" s="80">
        <f t="shared" si="208"/>
        <v>0.12299465240641716</v>
      </c>
      <c r="AT222" s="80">
        <f t="shared" si="208"/>
        <v>7.4492619926199266E-2</v>
      </c>
      <c r="AU222" s="80">
        <f t="shared" si="208"/>
        <v>0.10217596972563858</v>
      </c>
      <c r="AV222" s="80">
        <f t="shared" si="208"/>
        <v>0</v>
      </c>
      <c r="AW222" s="80">
        <f t="shared" si="208"/>
        <v>0.12073732718894004</v>
      </c>
      <c r="AX222" s="80">
        <f t="shared" si="208"/>
        <v>7.0634920634920606E-2</v>
      </c>
      <c r="AY222" s="80">
        <f t="shared" si="208"/>
        <v>7.0401373685340163E-2</v>
      </c>
      <c r="AZ222" s="80">
        <f t="shared" si="208"/>
        <v>0.13991416309012883</v>
      </c>
      <c r="BA222" s="80">
        <f t="shared" si="208"/>
        <v>7.7167859984089038E-2</v>
      </c>
      <c r="BB222" s="80">
        <f t="shared" si="208"/>
        <v>9.8684210526315708E-2</v>
      </c>
      <c r="BC222" s="80">
        <f t="shared" si="208"/>
        <v>8.3024462564862844E-2</v>
      </c>
      <c r="BD222" s="80">
        <f t="shared" si="208"/>
        <v>9.8656506917986775E-2</v>
      </c>
      <c r="BE222" s="80">
        <f t="shared" si="208"/>
        <v>9.0361445783131433E-3</v>
      </c>
      <c r="BF222" s="80">
        <f t="shared" si="208"/>
        <v>5.686853766617439E-2</v>
      </c>
      <c r="BG222" s="80">
        <f>BG219/BB219-1</f>
        <v>-0.54940119760479034</v>
      </c>
      <c r="BH222" s="80">
        <f>BH219/BC219-1</f>
        <v>-0.67077344284736484</v>
      </c>
      <c r="BI222" s="80">
        <f>BI219/BD219-1</f>
        <v>-0.29658696842489507</v>
      </c>
      <c r="BJ222" s="80">
        <f>BJ219/BE219-1</f>
        <v>-0.74850746268656709</v>
      </c>
      <c r="BK222" s="91">
        <f>BK219/BF219-1</f>
        <v>-0.80363382250174697</v>
      </c>
      <c r="BL222" s="91">
        <f>BL219/BG219-1</f>
        <v>-0.53322259136212624</v>
      </c>
      <c r="BM222" s="91">
        <f>BM219/BH219-1</f>
        <v>-0.38045738045738042</v>
      </c>
      <c r="BN222" s="80">
        <f>BN219/BI219-1</f>
        <v>-0.6894135962636222</v>
      </c>
      <c r="BO222" s="91">
        <f>BO219/BJ219-1</f>
        <v>-0.19584569732937684</v>
      </c>
      <c r="BP222" s="91">
        <f>BP219/BK219-1</f>
        <v>7.1174377224199059E-3</v>
      </c>
      <c r="BQ222" s="91">
        <f>BQ219/BL219-1</f>
        <v>-0.22064056939501775</v>
      </c>
      <c r="BR222" s="91">
        <f>BR219/BM219-1</f>
        <v>7.0469798657718075E-2</v>
      </c>
      <c r="BS222" s="80">
        <f>BS219/BN219-1</f>
        <v>-8.7719298245614086E-2</v>
      </c>
      <c r="BT222" s="91">
        <f>BT219/BO219-1</f>
        <v>-9.2250922509225064E-2</v>
      </c>
      <c r="BU222" s="91">
        <f>BU219/BP219-1</f>
        <v>-0.25441696113074208</v>
      </c>
      <c r="BV222" s="91">
        <f>BV219/BQ219-1</f>
        <v>-8.2191780821917804E-2</v>
      </c>
      <c r="BW222" s="91">
        <f>BW219/BR219-1</f>
        <v>-0.14420062695924762</v>
      </c>
      <c r="BX222" s="80">
        <f>BX219/BS219-1</f>
        <v>-0.14743589743589747</v>
      </c>
      <c r="BY222" s="80">
        <f>BY219/BT219-1</f>
        <v>-3.6585365853658569E-2</v>
      </c>
      <c r="BZ222" s="80">
        <f>BZ219/BU219-1</f>
        <v>8.5308056872037907E-2</v>
      </c>
      <c r="CA222" s="80">
        <f>CA219/BV219-1</f>
        <v>0.18905472636815923</v>
      </c>
      <c r="CB222" s="80">
        <f>CB219/BW219-1</f>
        <v>-0.23076923076923073</v>
      </c>
      <c r="CC222" s="80">
        <f>CC219/BX219-1</f>
        <v>-1.7185821697099923E-2</v>
      </c>
      <c r="CD222" s="80">
        <f>CD219/BY219-1</f>
        <v>-0.21518987341772156</v>
      </c>
      <c r="CE222" s="80">
        <f>CE219/BZ219-1</f>
        <v>-0.11353711790393017</v>
      </c>
      <c r="CF222" s="80">
        <f>CF219/CA219-1</f>
        <v>-0.32635983263598323</v>
      </c>
      <c r="CG222" s="80">
        <f>CG219/CB219-1</f>
        <v>-0.1333333333333333</v>
      </c>
      <c r="CH222" s="80">
        <f>CH219/CC219-1</f>
        <v>-0.19999999999999996</v>
      </c>
      <c r="CI222" s="80">
        <f>CI219/CD219-1</f>
        <v>-5.6989247311827973E-2</v>
      </c>
      <c r="CJ222" s="80">
        <f>CJ219/CE219-1</f>
        <v>-8.8669950738916259E-2</v>
      </c>
      <c r="CK222" s="80">
        <f>CK219/CF219-1</f>
        <v>0</v>
      </c>
      <c r="CL222" s="80">
        <f>CL219/CG219-1</f>
        <v>2.7472527472527375E-2</v>
      </c>
      <c r="CM222" s="80">
        <f t="shared" si="209"/>
        <v>-3.2240437158470026E-2</v>
      </c>
      <c r="CN222" s="80">
        <f t="shared" si="209"/>
        <v>8.8939566704675066E-2</v>
      </c>
      <c r="CO222" s="80">
        <f t="shared" si="209"/>
        <v>-0.13513513513513509</v>
      </c>
      <c r="CP222" s="80">
        <f t="shared" si="209"/>
        <v>-6.2111801242236031E-2</v>
      </c>
      <c r="CQ222" s="80">
        <f t="shared" si="209"/>
        <v>4.2780748663101553E-2</v>
      </c>
      <c r="CR222" s="80">
        <f>CR219/CM219-1</f>
        <v>-1.6092603049124743E-2</v>
      </c>
      <c r="CS222" s="80">
        <f t="shared" si="209"/>
        <v>-0.18848167539267013</v>
      </c>
      <c r="CT222" s="80">
        <f t="shared" si="209"/>
        <v>-0.375</v>
      </c>
      <c r="CU222" s="80">
        <f t="shared" si="209"/>
        <v>-0.45695364238410596</v>
      </c>
      <c r="CV222" s="80">
        <f t="shared" si="209"/>
        <v>-0.36410256410256414</v>
      </c>
      <c r="CW222" s="80">
        <f>CW219/CR219-1</f>
        <v>-0.33859397417503589</v>
      </c>
      <c r="CX222" s="80">
        <f ca="1">CX219/CS219-1</f>
        <v>-0.31612903225806455</v>
      </c>
      <c r="CY222" s="80"/>
      <c r="CZ222" s="80"/>
      <c r="DA222" s="80"/>
      <c r="DB222" s="80"/>
      <c r="DC222" s="80"/>
      <c r="DD222" s="80"/>
      <c r="DE222" s="80"/>
      <c r="DF222" s="80"/>
      <c r="DG222" s="80"/>
      <c r="DH222" s="80"/>
      <c r="DI222" s="80"/>
      <c r="DJ222" s="80"/>
      <c r="DK222" s="80"/>
      <c r="DL222" s="189"/>
      <c r="DM222" s="189"/>
      <c r="DN222" s="189"/>
      <c r="DO222" s="189"/>
      <c r="DP222" s="189"/>
    </row>
    <row r="223" spans="1:120" x14ac:dyDescent="0.2">
      <c r="A223" s="115" t="s">
        <v>170</v>
      </c>
      <c r="B223" s="36">
        <v>163.75</v>
      </c>
      <c r="C223" s="36">
        <v>163.75</v>
      </c>
      <c r="D223" s="86">
        <v>244.56</v>
      </c>
      <c r="E223" s="36">
        <v>138.54870495495496</v>
      </c>
      <c r="F223" s="135">
        <v>710.62077702702697</v>
      </c>
      <c r="G223" s="135">
        <v>185</v>
      </c>
      <c r="H223" s="135">
        <v>217</v>
      </c>
      <c r="I223" s="136">
        <v>223</v>
      </c>
      <c r="J223" s="136">
        <v>295</v>
      </c>
      <c r="K223" s="135">
        <f>J223+I223+H223+G223</f>
        <v>920</v>
      </c>
      <c r="L223" s="136">
        <v>286</v>
      </c>
      <c r="M223" s="136">
        <v>147</v>
      </c>
      <c r="N223" s="136">
        <v>229</v>
      </c>
      <c r="O223" s="135">
        <v>237</v>
      </c>
      <c r="P223" s="135">
        <f>O223+N223+M223+L223</f>
        <v>899</v>
      </c>
      <c r="Q223" s="135">
        <v>216</v>
      </c>
      <c r="R223" s="135">
        <v>259</v>
      </c>
      <c r="S223" s="135">
        <v>260</v>
      </c>
      <c r="T223" s="135">
        <v>264</v>
      </c>
      <c r="U223" s="135">
        <f>T223+S223+R223+Q223</f>
        <v>999</v>
      </c>
      <c r="V223" s="135">
        <v>234</v>
      </c>
      <c r="W223" s="135">
        <v>260</v>
      </c>
      <c r="X223" s="135">
        <v>268</v>
      </c>
      <c r="Y223" s="135">
        <v>270</v>
      </c>
      <c r="Z223" s="135">
        <f>Y223+X223+W223+V223</f>
        <v>1032</v>
      </c>
      <c r="AA223" s="135">
        <v>231</v>
      </c>
      <c r="AB223" s="135">
        <v>271</v>
      </c>
      <c r="AC223" s="135">
        <v>320</v>
      </c>
      <c r="AD223" s="135">
        <v>319</v>
      </c>
      <c r="AE223" s="135">
        <f>AD223+AC223+AB223+AA223</f>
        <v>1141</v>
      </c>
      <c r="AF223" s="135">
        <v>305</v>
      </c>
      <c r="AG223" s="135">
        <v>301</v>
      </c>
      <c r="AH223" s="135">
        <v>301</v>
      </c>
      <c r="AI223" s="135">
        <v>329</v>
      </c>
      <c r="AJ223" s="135">
        <f>AI223+AH223+AG223+AF223</f>
        <v>1236</v>
      </c>
      <c r="AK223" s="135">
        <v>299</v>
      </c>
      <c r="AL223" s="135">
        <v>315</v>
      </c>
      <c r="AM223" s="135">
        <v>314</v>
      </c>
      <c r="AN223" s="135">
        <v>319</v>
      </c>
      <c r="AO223" s="135">
        <f>AN223+AM223+AL223+AK223</f>
        <v>1247</v>
      </c>
      <c r="AP223" s="135">
        <v>304</v>
      </c>
      <c r="AQ223" s="135">
        <v>332</v>
      </c>
      <c r="AR223" s="135">
        <v>322</v>
      </c>
      <c r="AS223" s="135">
        <v>363</v>
      </c>
      <c r="AT223" s="135">
        <f>AS223+AR223+AQ223+AP223</f>
        <v>1321</v>
      </c>
      <c r="AU223" s="135">
        <v>291</v>
      </c>
      <c r="AV223" s="135">
        <v>63</v>
      </c>
      <c r="AW223" s="135">
        <v>37</v>
      </c>
      <c r="AX223" s="135">
        <v>9</v>
      </c>
      <c r="AY223" s="135">
        <f>AX223+AW223+AV223+AU223</f>
        <v>400</v>
      </c>
      <c r="AZ223" s="135">
        <v>36</v>
      </c>
      <c r="BA223" s="135">
        <v>14</v>
      </c>
      <c r="BB223" s="135">
        <v>36</v>
      </c>
      <c r="BC223" s="135">
        <v>20</v>
      </c>
      <c r="BD223" s="135">
        <f>BC223+BB223+BA223+AZ223</f>
        <v>106</v>
      </c>
      <c r="BE223" s="36">
        <v>5</v>
      </c>
      <c r="BF223" s="36">
        <v>9</v>
      </c>
      <c r="BG223" s="36">
        <v>3</v>
      </c>
      <c r="BH223" s="36">
        <v>12</v>
      </c>
      <c r="BI223" s="36">
        <f>SUM(BE223:BH223)</f>
        <v>29</v>
      </c>
      <c r="BJ223" s="36">
        <v>11</v>
      </c>
      <c r="BK223" s="36">
        <v>5</v>
      </c>
      <c r="BL223" s="36">
        <v>11</v>
      </c>
      <c r="BM223" s="36">
        <v>9</v>
      </c>
      <c r="BN223" s="36">
        <f>SUM(BJ223:BM223)</f>
        <v>36</v>
      </c>
      <c r="BO223" s="36">
        <v>6</v>
      </c>
      <c r="BP223" s="36">
        <v>8</v>
      </c>
      <c r="BQ223" s="36">
        <v>6</v>
      </c>
      <c r="BR223" s="36">
        <v>8</v>
      </c>
      <c r="BS223" s="135">
        <f>SUM(BO223:BR223)</f>
        <v>28</v>
      </c>
      <c r="BT223" s="36">
        <v>8</v>
      </c>
      <c r="BU223" s="36">
        <v>9</v>
      </c>
      <c r="BV223" s="36">
        <v>7</v>
      </c>
      <c r="BW223" s="36">
        <v>6</v>
      </c>
      <c r="BX223" s="36">
        <f>SUM(BT223:BW223)</f>
        <v>30</v>
      </c>
      <c r="BY223" s="36">
        <v>6</v>
      </c>
      <c r="BZ223" s="36">
        <v>4</v>
      </c>
      <c r="CA223" s="36">
        <v>4</v>
      </c>
      <c r="CB223" s="36">
        <v>3</v>
      </c>
      <c r="CC223" s="36">
        <f>SUM(BY223:CB223)</f>
        <v>17</v>
      </c>
      <c r="CD223" s="36">
        <v>3</v>
      </c>
      <c r="CE223" s="36">
        <v>3</v>
      </c>
      <c r="CF223" s="36">
        <v>9</v>
      </c>
      <c r="CG223" s="36">
        <v>3</v>
      </c>
      <c r="CH223" s="36">
        <f>SUM(CD223:CG223)</f>
        <v>18</v>
      </c>
      <c r="CI223" s="36">
        <v>7</v>
      </c>
      <c r="CJ223" s="36">
        <v>7</v>
      </c>
      <c r="CK223" s="36">
        <v>4</v>
      </c>
      <c r="CL223" s="36">
        <v>4</v>
      </c>
      <c r="CM223" s="36">
        <f>SUM(CI223:CL223)</f>
        <v>22</v>
      </c>
      <c r="CN223" s="36">
        <v>4</v>
      </c>
      <c r="CO223" s="36">
        <v>6</v>
      </c>
      <c r="CP223" s="36">
        <v>6</v>
      </c>
      <c r="CQ223" s="36">
        <v>8</v>
      </c>
      <c r="CR223" s="36">
        <f>SUM(CN223:CQ223)</f>
        <v>24</v>
      </c>
      <c r="CS223" s="36">
        <v>7</v>
      </c>
      <c r="CT223" s="36">
        <v>4</v>
      </c>
      <c r="CU223" s="36">
        <v>5</v>
      </c>
      <c r="CV223" s="36">
        <v>4</v>
      </c>
      <c r="CW223" s="72">
        <f>SUM(CS223:CV223)</f>
        <v>20</v>
      </c>
      <c r="CX223" s="36">
        <v>3</v>
      </c>
      <c r="CY223" s="36"/>
      <c r="CZ223" s="36"/>
      <c r="DA223" s="36"/>
      <c r="DB223" s="72"/>
      <c r="DC223" s="72"/>
      <c r="DD223" s="72"/>
      <c r="DE223" s="72"/>
      <c r="DF223" s="72"/>
      <c r="DG223" s="36"/>
      <c r="DH223" s="36"/>
      <c r="DI223" s="36"/>
      <c r="DJ223" s="36"/>
      <c r="DK223" s="36"/>
      <c r="DL223" s="183"/>
      <c r="DM223" s="183"/>
      <c r="DN223" s="183"/>
      <c r="DO223" s="183"/>
      <c r="DP223" s="183"/>
    </row>
    <row r="224" spans="1:120" x14ac:dyDescent="0.2">
      <c r="A224" s="115" t="s">
        <v>171</v>
      </c>
      <c r="B224" s="36">
        <v>266.96800000000002</v>
      </c>
      <c r="C224" s="36">
        <v>266.96800000000002</v>
      </c>
      <c r="D224" s="86">
        <v>264.2276</v>
      </c>
      <c r="E224" s="36">
        <v>316.25411113034448</v>
      </c>
      <c r="F224" s="36">
        <v>1114.4192487450234</v>
      </c>
      <c r="G224" s="36">
        <v>237</v>
      </c>
      <c r="H224" s="36">
        <v>308</v>
      </c>
      <c r="I224" s="86">
        <v>326</v>
      </c>
      <c r="J224" s="86">
        <v>386</v>
      </c>
      <c r="K224" s="36">
        <f>J224+I224+H224+G224</f>
        <v>1257</v>
      </c>
      <c r="L224" s="36">
        <v>347</v>
      </c>
      <c r="M224" s="36">
        <v>394</v>
      </c>
      <c r="N224" s="36">
        <v>393</v>
      </c>
      <c r="O224" s="36">
        <v>453</v>
      </c>
      <c r="P224" s="36">
        <f>O224+N224+M224+L224</f>
        <v>1587</v>
      </c>
      <c r="Q224" s="36">
        <v>413</v>
      </c>
      <c r="R224" s="36">
        <v>466</v>
      </c>
      <c r="S224" s="36">
        <v>446</v>
      </c>
      <c r="T224" s="36">
        <v>499</v>
      </c>
      <c r="U224" s="36">
        <f>T224+S224+R224+Q224</f>
        <v>1824</v>
      </c>
      <c r="V224" s="36">
        <v>485</v>
      </c>
      <c r="W224" s="36">
        <v>525</v>
      </c>
      <c r="X224" s="36">
        <v>484</v>
      </c>
      <c r="Y224" s="36">
        <v>512</v>
      </c>
      <c r="Z224" s="36">
        <f>Y224+X224+W224+V224</f>
        <v>2006</v>
      </c>
      <c r="AA224" s="36">
        <v>470</v>
      </c>
      <c r="AB224" s="36">
        <v>513</v>
      </c>
      <c r="AC224" s="36">
        <v>494</v>
      </c>
      <c r="AD224" s="36">
        <v>546</v>
      </c>
      <c r="AE224" s="36">
        <f>AD224+AC224+AB224+AA224</f>
        <v>2023</v>
      </c>
      <c r="AF224" s="36">
        <v>493</v>
      </c>
      <c r="AG224" s="36">
        <v>546</v>
      </c>
      <c r="AH224" s="36">
        <v>513</v>
      </c>
      <c r="AI224" s="36">
        <v>563</v>
      </c>
      <c r="AJ224" s="36">
        <f>AI224+AH224+AG224+AF224</f>
        <v>2115</v>
      </c>
      <c r="AK224" s="36">
        <v>548</v>
      </c>
      <c r="AL224" s="36">
        <v>626</v>
      </c>
      <c r="AM224" s="36">
        <v>574</v>
      </c>
      <c r="AN224" s="36">
        <v>562</v>
      </c>
      <c r="AO224" s="36">
        <f>AN224+AM224+AL224+AK224</f>
        <v>2310</v>
      </c>
      <c r="AP224" s="36">
        <v>535</v>
      </c>
      <c r="AQ224" s="36">
        <v>573</v>
      </c>
      <c r="AR224" s="36">
        <v>539</v>
      </c>
      <c r="AS224" s="36">
        <v>592</v>
      </c>
      <c r="AT224" s="36">
        <f>AS224+AR224+AQ224+AP224</f>
        <v>2239</v>
      </c>
      <c r="AU224" s="36">
        <v>490</v>
      </c>
      <c r="AV224" s="36">
        <v>423</v>
      </c>
      <c r="AW224" s="36">
        <v>386</v>
      </c>
      <c r="AX224" s="36">
        <v>406</v>
      </c>
      <c r="AY224" s="36">
        <f>AX224+AW224+AV224+AU224</f>
        <v>1705</v>
      </c>
      <c r="AZ224" s="36">
        <v>389</v>
      </c>
      <c r="BA224" s="36">
        <v>392</v>
      </c>
      <c r="BB224" s="36">
        <v>368</v>
      </c>
      <c r="BC224" s="36">
        <v>407</v>
      </c>
      <c r="BD224" s="36">
        <f>BC224+BB224+BA224+AZ224</f>
        <v>1556</v>
      </c>
      <c r="BE224" s="36">
        <v>332</v>
      </c>
      <c r="BF224" s="36">
        <v>329</v>
      </c>
      <c r="BG224" s="36">
        <v>292</v>
      </c>
      <c r="BH224" s="36">
        <v>303</v>
      </c>
      <c r="BI224" s="36">
        <f>SUM(BE224:BH224)</f>
        <v>1256</v>
      </c>
      <c r="BJ224" s="36">
        <v>256</v>
      </c>
      <c r="BK224" s="36">
        <v>250</v>
      </c>
      <c r="BL224" s="36">
        <v>227</v>
      </c>
      <c r="BM224" s="36">
        <v>237</v>
      </c>
      <c r="BN224" s="36">
        <f>SUM(BJ224:BM224)</f>
        <v>970</v>
      </c>
      <c r="BO224" s="36">
        <v>199</v>
      </c>
      <c r="BP224" s="36">
        <v>206</v>
      </c>
      <c r="BQ224" s="36">
        <v>188</v>
      </c>
      <c r="BR224" s="36">
        <v>184</v>
      </c>
      <c r="BS224" s="36">
        <f>SUM(BO224:BR224)</f>
        <v>777</v>
      </c>
      <c r="BT224" s="36">
        <v>177</v>
      </c>
      <c r="BU224" s="36">
        <v>180</v>
      </c>
      <c r="BV224" s="36">
        <v>143</v>
      </c>
      <c r="BW224" s="36">
        <v>137</v>
      </c>
      <c r="BX224" s="36">
        <f>SUM(BT224:BW224)</f>
        <v>637</v>
      </c>
      <c r="BY224" s="36">
        <v>121</v>
      </c>
      <c r="BZ224" s="36">
        <v>128</v>
      </c>
      <c r="CA224" s="36">
        <v>128</v>
      </c>
      <c r="CB224" s="36">
        <v>118</v>
      </c>
      <c r="CC224" s="36">
        <f>SUM(BY224:CB224)</f>
        <v>495</v>
      </c>
      <c r="CD224" s="36">
        <v>109</v>
      </c>
      <c r="CE224" s="36">
        <v>116</v>
      </c>
      <c r="CF224" s="36">
        <v>119</v>
      </c>
      <c r="CG224" s="36">
        <v>121</v>
      </c>
      <c r="CH224" s="36">
        <f>SUM(CD224:CG224)</f>
        <v>465</v>
      </c>
      <c r="CI224" s="36">
        <v>113</v>
      </c>
      <c r="CJ224" s="36">
        <v>118</v>
      </c>
      <c r="CK224" s="36">
        <v>99</v>
      </c>
      <c r="CL224" s="36">
        <v>101</v>
      </c>
      <c r="CM224" s="36">
        <f>SUM(CI224:CL224)</f>
        <v>431</v>
      </c>
      <c r="CN224" s="36">
        <v>99</v>
      </c>
      <c r="CO224" s="36">
        <v>103</v>
      </c>
      <c r="CP224" s="36">
        <v>110</v>
      </c>
      <c r="CQ224" s="36">
        <v>105</v>
      </c>
      <c r="CR224" s="36">
        <f>SUM(CN224:CQ224)</f>
        <v>417</v>
      </c>
      <c r="CS224" s="36">
        <v>95</v>
      </c>
      <c r="CT224" s="36">
        <v>94</v>
      </c>
      <c r="CU224" s="36">
        <v>86</v>
      </c>
      <c r="CV224" s="36">
        <v>91</v>
      </c>
      <c r="CW224" s="72">
        <f>SUM(CS224:CV224)</f>
        <v>366</v>
      </c>
      <c r="CX224" s="36">
        <v>87</v>
      </c>
      <c r="CY224" s="36"/>
      <c r="CZ224" s="36"/>
      <c r="DA224" s="36"/>
      <c r="DB224" s="72"/>
      <c r="DC224" s="72"/>
      <c r="DD224" s="72"/>
      <c r="DE224" s="72"/>
      <c r="DF224" s="72"/>
      <c r="DG224" s="36"/>
      <c r="DH224" s="36"/>
      <c r="DI224" s="36"/>
      <c r="DJ224" s="36"/>
      <c r="DK224" s="36"/>
      <c r="DL224" s="183"/>
      <c r="DM224" s="183"/>
      <c r="DN224" s="183"/>
      <c r="DO224" s="183"/>
      <c r="DP224" s="183"/>
    </row>
    <row r="225" spans="1:120" x14ac:dyDescent="0.2">
      <c r="A225" s="116" t="s">
        <v>172</v>
      </c>
      <c r="B225" s="39">
        <f t="shared" ref="B225:S225" si="210">B224+B223</f>
        <v>430.71800000000002</v>
      </c>
      <c r="C225" s="39">
        <f t="shared" si="210"/>
        <v>430.71800000000002</v>
      </c>
      <c r="D225" s="39">
        <f t="shared" si="210"/>
        <v>508.7876</v>
      </c>
      <c r="E225" s="39">
        <f t="shared" si="210"/>
        <v>454.80281608529947</v>
      </c>
      <c r="F225" s="39">
        <f t="shared" si="210"/>
        <v>1825.0400257720503</v>
      </c>
      <c r="G225" s="39">
        <f t="shared" si="210"/>
        <v>422</v>
      </c>
      <c r="H225" s="39">
        <f t="shared" si="210"/>
        <v>525</v>
      </c>
      <c r="I225" s="39">
        <f t="shared" si="210"/>
        <v>549</v>
      </c>
      <c r="J225" s="39">
        <f t="shared" si="210"/>
        <v>681</v>
      </c>
      <c r="K225" s="39">
        <f t="shared" si="210"/>
        <v>2177</v>
      </c>
      <c r="L225" s="39">
        <f t="shared" si="210"/>
        <v>633</v>
      </c>
      <c r="M225" s="39">
        <f t="shared" si="210"/>
        <v>541</v>
      </c>
      <c r="N225" s="39">
        <f t="shared" si="210"/>
        <v>622</v>
      </c>
      <c r="O225" s="39">
        <f t="shared" si="210"/>
        <v>690</v>
      </c>
      <c r="P225" s="39">
        <f t="shared" si="210"/>
        <v>2486</v>
      </c>
      <c r="Q225" s="39">
        <f t="shared" si="210"/>
        <v>629</v>
      </c>
      <c r="R225" s="39">
        <f t="shared" si="210"/>
        <v>725</v>
      </c>
      <c r="S225" s="39">
        <f t="shared" si="210"/>
        <v>706</v>
      </c>
      <c r="T225" s="39">
        <f>T224+T223+1</f>
        <v>764</v>
      </c>
      <c r="U225" s="39">
        <f>U224+U223</f>
        <v>2823</v>
      </c>
      <c r="V225" s="39">
        <f>V224+V223+1</f>
        <v>720</v>
      </c>
      <c r="W225" s="39">
        <f>W224+W223+1</f>
        <v>786</v>
      </c>
      <c r="X225" s="39">
        <f>X224+X223+1</f>
        <v>753</v>
      </c>
      <c r="Y225" s="39">
        <f>Y224+Y223+1</f>
        <v>783</v>
      </c>
      <c r="Z225" s="39">
        <f>Z224+Z223</f>
        <v>3038</v>
      </c>
      <c r="AA225" s="39">
        <f>AA224+AA223+1</f>
        <v>702</v>
      </c>
      <c r="AB225" s="39">
        <f>AB224+AB223+1</f>
        <v>785</v>
      </c>
      <c r="AC225" s="39">
        <f t="shared" ref="AC225:BD225" si="211">AC224+AC223</f>
        <v>814</v>
      </c>
      <c r="AD225" s="39">
        <f t="shared" si="211"/>
        <v>865</v>
      </c>
      <c r="AE225" s="39">
        <f t="shared" si="211"/>
        <v>3164</v>
      </c>
      <c r="AF225" s="39">
        <f t="shared" si="211"/>
        <v>798</v>
      </c>
      <c r="AG225" s="39">
        <f t="shared" si="211"/>
        <v>847</v>
      </c>
      <c r="AH225" s="39">
        <f t="shared" si="211"/>
        <v>814</v>
      </c>
      <c r="AI225" s="39">
        <f t="shared" si="211"/>
        <v>892</v>
      </c>
      <c r="AJ225" s="39">
        <f t="shared" si="211"/>
        <v>3351</v>
      </c>
      <c r="AK225" s="39">
        <f t="shared" si="211"/>
        <v>847</v>
      </c>
      <c r="AL225" s="39">
        <f t="shared" si="211"/>
        <v>941</v>
      </c>
      <c r="AM225" s="39">
        <f t="shared" si="211"/>
        <v>888</v>
      </c>
      <c r="AN225" s="39">
        <f t="shared" si="211"/>
        <v>881</v>
      </c>
      <c r="AO225" s="39">
        <f t="shared" si="211"/>
        <v>3557</v>
      </c>
      <c r="AP225" s="39">
        <f t="shared" si="211"/>
        <v>839</v>
      </c>
      <c r="AQ225" s="39">
        <f t="shared" si="211"/>
        <v>905</v>
      </c>
      <c r="AR225" s="39">
        <f t="shared" si="211"/>
        <v>861</v>
      </c>
      <c r="AS225" s="39">
        <f t="shared" si="211"/>
        <v>955</v>
      </c>
      <c r="AT225" s="39">
        <f t="shared" si="211"/>
        <v>3560</v>
      </c>
      <c r="AU225" s="39">
        <f t="shared" si="211"/>
        <v>781</v>
      </c>
      <c r="AV225" s="39">
        <f t="shared" si="211"/>
        <v>486</v>
      </c>
      <c r="AW225" s="39">
        <f t="shared" si="211"/>
        <v>423</v>
      </c>
      <c r="AX225" s="39">
        <f t="shared" si="211"/>
        <v>415</v>
      </c>
      <c r="AY225" s="39">
        <f t="shared" si="211"/>
        <v>2105</v>
      </c>
      <c r="AZ225" s="39">
        <f t="shared" si="211"/>
        <v>425</v>
      </c>
      <c r="BA225" s="39">
        <f t="shared" si="211"/>
        <v>406</v>
      </c>
      <c r="BB225" s="39">
        <f t="shared" si="211"/>
        <v>404</v>
      </c>
      <c r="BC225" s="39">
        <f t="shared" si="211"/>
        <v>427</v>
      </c>
      <c r="BD225" s="39">
        <f t="shared" si="211"/>
        <v>1662</v>
      </c>
      <c r="BE225" s="39">
        <f>BE223+BE224</f>
        <v>337</v>
      </c>
      <c r="BF225" s="39">
        <f>BF223+BF224</f>
        <v>338</v>
      </c>
      <c r="BG225" s="39">
        <f>BG223+BG224</f>
        <v>295</v>
      </c>
      <c r="BH225" s="39">
        <f>BH223+BH224</f>
        <v>315</v>
      </c>
      <c r="BI225" s="39">
        <f t="shared" ref="BI225:CQ225" si="212">BI224+BI223</f>
        <v>1285</v>
      </c>
      <c r="BJ225" s="39">
        <f t="shared" si="212"/>
        <v>267</v>
      </c>
      <c r="BK225" s="39">
        <f t="shared" si="212"/>
        <v>255</v>
      </c>
      <c r="BL225" s="39">
        <f t="shared" si="212"/>
        <v>238</v>
      </c>
      <c r="BM225" s="39">
        <f t="shared" si="212"/>
        <v>246</v>
      </c>
      <c r="BN225" s="39">
        <f t="shared" si="212"/>
        <v>1006</v>
      </c>
      <c r="BO225" s="39">
        <f t="shared" si="212"/>
        <v>205</v>
      </c>
      <c r="BP225" s="39">
        <f t="shared" si="212"/>
        <v>214</v>
      </c>
      <c r="BQ225" s="39">
        <f t="shared" si="212"/>
        <v>194</v>
      </c>
      <c r="BR225" s="39">
        <f t="shared" si="212"/>
        <v>192</v>
      </c>
      <c r="BS225" s="39">
        <f t="shared" si="212"/>
        <v>805</v>
      </c>
      <c r="BT225" s="39">
        <f t="shared" si="212"/>
        <v>185</v>
      </c>
      <c r="BU225" s="39">
        <f t="shared" si="212"/>
        <v>189</v>
      </c>
      <c r="BV225" s="39">
        <f t="shared" si="212"/>
        <v>150</v>
      </c>
      <c r="BW225" s="39">
        <f t="shared" si="212"/>
        <v>143</v>
      </c>
      <c r="BX225" s="39">
        <f t="shared" si="212"/>
        <v>667</v>
      </c>
      <c r="BY225" s="39">
        <f t="shared" si="212"/>
        <v>127</v>
      </c>
      <c r="BZ225" s="39">
        <f t="shared" si="212"/>
        <v>132</v>
      </c>
      <c r="CA225" s="39">
        <f t="shared" si="212"/>
        <v>132</v>
      </c>
      <c r="CB225" s="39">
        <f t="shared" si="212"/>
        <v>121</v>
      </c>
      <c r="CC225" s="39">
        <f t="shared" si="212"/>
        <v>512</v>
      </c>
      <c r="CD225" s="39">
        <f t="shared" si="212"/>
        <v>112</v>
      </c>
      <c r="CE225" s="39">
        <f t="shared" si="212"/>
        <v>119</v>
      </c>
      <c r="CF225" s="39">
        <f t="shared" si="212"/>
        <v>128</v>
      </c>
      <c r="CG225" s="39">
        <f t="shared" si="212"/>
        <v>124</v>
      </c>
      <c r="CH225" s="39">
        <f t="shared" si="212"/>
        <v>483</v>
      </c>
      <c r="CI225" s="39">
        <f t="shared" si="212"/>
        <v>120</v>
      </c>
      <c r="CJ225" s="39">
        <f t="shared" si="212"/>
        <v>125</v>
      </c>
      <c r="CK225" s="39">
        <f t="shared" si="212"/>
        <v>103</v>
      </c>
      <c r="CL225" s="39">
        <f t="shared" si="212"/>
        <v>105</v>
      </c>
      <c r="CM225" s="39">
        <f t="shared" si="212"/>
        <v>453</v>
      </c>
      <c r="CN225" s="39">
        <f t="shared" si="212"/>
        <v>103</v>
      </c>
      <c r="CO225" s="39">
        <f t="shared" si="212"/>
        <v>109</v>
      </c>
      <c r="CP225" s="39">
        <f t="shared" si="212"/>
        <v>116</v>
      </c>
      <c r="CQ225" s="39">
        <f t="shared" si="212"/>
        <v>113</v>
      </c>
      <c r="CR225" s="39">
        <f>CR224+CR223</f>
        <v>441</v>
      </c>
      <c r="CS225" s="39">
        <f>CS224+CS223</f>
        <v>102</v>
      </c>
      <c r="CT225" s="39">
        <f>CT224+CT223</f>
        <v>98</v>
      </c>
      <c r="CU225" s="39">
        <f>CU224+CU223</f>
        <v>91</v>
      </c>
      <c r="CV225" s="39">
        <f>CV224+CV223-1</f>
        <v>94</v>
      </c>
      <c r="CW225" s="74">
        <f>SUM(CS225:CV225)</f>
        <v>385</v>
      </c>
      <c r="CX225" s="39">
        <f>SUM(CX223:CX224)</f>
        <v>90</v>
      </c>
      <c r="CY225" s="39"/>
      <c r="CZ225" s="39"/>
      <c r="DA225" s="39"/>
      <c r="DB225" s="74"/>
      <c r="DC225" s="74"/>
      <c r="DD225" s="74"/>
      <c r="DE225" s="74"/>
      <c r="DF225" s="74"/>
      <c r="DG225" s="39"/>
      <c r="DH225" s="39"/>
      <c r="DI225" s="39"/>
      <c r="DJ225" s="39"/>
      <c r="DK225" s="39"/>
      <c r="DL225" s="187"/>
      <c r="DM225" s="187"/>
      <c r="DN225" s="187"/>
      <c r="DO225" s="187"/>
      <c r="DP225" s="187"/>
    </row>
    <row r="226" spans="1:120" x14ac:dyDescent="0.2">
      <c r="A226" s="68" t="s">
        <v>54</v>
      </c>
      <c r="G226" s="76">
        <f t="shared" ref="G226:BR228" si="213">G223/B223-1</f>
        <v>0.12977099236641232</v>
      </c>
      <c r="H226" s="76">
        <f t="shared" si="213"/>
        <v>0.32519083969465656</v>
      </c>
      <c r="I226" s="76">
        <f t="shared" si="213"/>
        <v>-8.8158325155381134E-2</v>
      </c>
      <c r="J226" s="76">
        <f t="shared" si="213"/>
        <v>1.1292151384302769</v>
      </c>
      <c r="K226" s="76">
        <f t="shared" si="213"/>
        <v>0.29464269796464126</v>
      </c>
      <c r="L226" s="76">
        <f t="shared" si="213"/>
        <v>0.54594594594594592</v>
      </c>
      <c r="M226" s="76">
        <f t="shared" si="213"/>
        <v>-0.32258064516129037</v>
      </c>
      <c r="N226" s="76">
        <f t="shared" si="213"/>
        <v>2.6905829596412634E-2</v>
      </c>
      <c r="O226" s="76">
        <f t="shared" si="213"/>
        <v>-0.19661016949152543</v>
      </c>
      <c r="P226" s="76">
        <f t="shared" si="213"/>
        <v>-2.2826086956521774E-2</v>
      </c>
      <c r="Q226" s="90">
        <f t="shared" si="213"/>
        <v>-0.24475524475524479</v>
      </c>
      <c r="R226" s="90">
        <f t="shared" si="213"/>
        <v>0.76190476190476186</v>
      </c>
      <c r="S226" s="90">
        <f t="shared" si="213"/>
        <v>0.13537117903930129</v>
      </c>
      <c r="T226" s="90">
        <f t="shared" si="213"/>
        <v>0.11392405063291133</v>
      </c>
      <c r="U226" s="76">
        <f t="shared" si="213"/>
        <v>0.11123470522803114</v>
      </c>
      <c r="V226" s="90">
        <f t="shared" si="213"/>
        <v>8.3333333333333259E-2</v>
      </c>
      <c r="W226" s="90">
        <f t="shared" si="213"/>
        <v>3.8610038610038533E-3</v>
      </c>
      <c r="X226" s="90">
        <f t="shared" si="213"/>
        <v>3.076923076923066E-2</v>
      </c>
      <c r="Y226" s="90">
        <f t="shared" si="213"/>
        <v>2.2727272727272707E-2</v>
      </c>
      <c r="Z226" s="76">
        <f t="shared" si="213"/>
        <v>3.3033033033033066E-2</v>
      </c>
      <c r="AA226" s="90">
        <f t="shared" si="213"/>
        <v>-1.2820512820512775E-2</v>
      </c>
      <c r="AB226" s="90">
        <f t="shared" si="213"/>
        <v>4.2307692307692379E-2</v>
      </c>
      <c r="AC226" s="90">
        <f t="shared" si="213"/>
        <v>0.19402985074626855</v>
      </c>
      <c r="AD226" s="90">
        <f t="shared" si="213"/>
        <v>0.18148148148148158</v>
      </c>
      <c r="AE226" s="76">
        <f t="shared" si="213"/>
        <v>0.10562015503875966</v>
      </c>
      <c r="AF226" s="90">
        <f t="shared" si="213"/>
        <v>0.32034632034632038</v>
      </c>
      <c r="AG226" s="90">
        <f t="shared" si="213"/>
        <v>0.11070110701107017</v>
      </c>
      <c r="AH226" s="90">
        <f t="shared" si="213"/>
        <v>-5.9374999999999956E-2</v>
      </c>
      <c r="AI226" s="90">
        <f t="shared" si="213"/>
        <v>3.1347962382445083E-2</v>
      </c>
      <c r="AJ226" s="76">
        <f t="shared" si="213"/>
        <v>8.3260297984224296E-2</v>
      </c>
      <c r="AK226" s="90">
        <f t="shared" si="213"/>
        <v>-1.9672131147540961E-2</v>
      </c>
      <c r="AL226" s="90">
        <f t="shared" si="213"/>
        <v>4.6511627906976827E-2</v>
      </c>
      <c r="AM226" s="90">
        <f t="shared" si="213"/>
        <v>4.3189368770764069E-2</v>
      </c>
      <c r="AN226" s="90">
        <f t="shared" si="213"/>
        <v>-3.039513677811545E-2</v>
      </c>
      <c r="AO226" s="76">
        <f t="shared" si="213"/>
        <v>8.8996763754045638E-3</v>
      </c>
      <c r="AP226" s="90">
        <f t="shared" si="213"/>
        <v>1.6722408026755842E-2</v>
      </c>
      <c r="AQ226" s="90">
        <f t="shared" si="213"/>
        <v>5.3968253968253999E-2</v>
      </c>
      <c r="AR226" s="90">
        <f t="shared" si="213"/>
        <v>2.5477707006369421E-2</v>
      </c>
      <c r="AS226" s="90">
        <f t="shared" si="213"/>
        <v>0.13793103448275867</v>
      </c>
      <c r="AT226" s="76">
        <f t="shared" si="213"/>
        <v>5.9342421812349722E-2</v>
      </c>
      <c r="AU226" s="90">
        <f t="shared" si="213"/>
        <v>-4.2763157894736836E-2</v>
      </c>
      <c r="AV226" s="90">
        <f t="shared" si="213"/>
        <v>-0.81024096385542166</v>
      </c>
      <c r="AW226" s="90">
        <f t="shared" si="213"/>
        <v>-0.88509316770186341</v>
      </c>
      <c r="AX226" s="90">
        <f t="shared" si="213"/>
        <v>-0.97520661157024791</v>
      </c>
      <c r="AY226" s="76">
        <f t="shared" si="213"/>
        <v>-0.69719909159727478</v>
      </c>
      <c r="AZ226" s="90">
        <f t="shared" si="213"/>
        <v>-0.87628865979381443</v>
      </c>
      <c r="BA226" s="90">
        <f t="shared" si="213"/>
        <v>-0.77777777777777779</v>
      </c>
      <c r="BB226" s="90">
        <f t="shared" si="213"/>
        <v>-2.7027027027026973E-2</v>
      </c>
      <c r="BC226" s="90">
        <f t="shared" si="213"/>
        <v>1.2222222222222223</v>
      </c>
      <c r="BD226" s="76">
        <f t="shared" si="213"/>
        <v>-0.73499999999999999</v>
      </c>
      <c r="BE226" s="76">
        <f t="shared" si="213"/>
        <v>-0.86111111111111116</v>
      </c>
      <c r="BF226" s="76">
        <f t="shared" si="213"/>
        <v>-0.3571428571428571</v>
      </c>
      <c r="BG226" s="76">
        <f t="shared" si="213"/>
        <v>-0.91666666666666663</v>
      </c>
      <c r="BH226" s="76">
        <f t="shared" si="213"/>
        <v>-0.4</v>
      </c>
      <c r="BI226" s="90">
        <f t="shared" si="213"/>
        <v>-0.72641509433962259</v>
      </c>
      <c r="BJ226" s="76">
        <f t="shared" si="213"/>
        <v>1.2000000000000002</v>
      </c>
      <c r="BK226" s="76">
        <f t="shared" si="213"/>
        <v>-0.44444444444444442</v>
      </c>
      <c r="BL226" s="76">
        <f t="shared" si="213"/>
        <v>2.6666666666666665</v>
      </c>
      <c r="BM226" s="76">
        <f t="shared" si="213"/>
        <v>-0.25</v>
      </c>
      <c r="BN226" s="90">
        <f t="shared" si="213"/>
        <v>0.24137931034482762</v>
      </c>
      <c r="BO226" s="76">
        <f t="shared" si="213"/>
        <v>-0.45454545454545459</v>
      </c>
      <c r="BP226" s="76">
        <f t="shared" si="213"/>
        <v>0.60000000000000009</v>
      </c>
      <c r="BQ226" s="76">
        <f t="shared" si="213"/>
        <v>-0.45454545454545459</v>
      </c>
      <c r="BR226" s="76">
        <f t="shared" si="213"/>
        <v>-0.11111111111111116</v>
      </c>
      <c r="BS226" s="90">
        <f>BS223/BN223-1</f>
        <v>-0.22222222222222221</v>
      </c>
      <c r="BT226" s="76">
        <f t="shared" ref="BT226:CX228" si="214">BT223/BO223-1</f>
        <v>0.33333333333333326</v>
      </c>
      <c r="BU226" s="76">
        <f t="shared" si="214"/>
        <v>0.125</v>
      </c>
      <c r="BV226" s="76">
        <f t="shared" si="214"/>
        <v>0.16666666666666674</v>
      </c>
      <c r="BW226" s="76">
        <f t="shared" si="214"/>
        <v>-0.25</v>
      </c>
      <c r="BX226" s="90">
        <f>BX223/BS223-1</f>
        <v>7.1428571428571397E-2</v>
      </c>
      <c r="BY226" s="76">
        <f t="shared" si="214"/>
        <v>-0.25</v>
      </c>
      <c r="BZ226" s="76">
        <f t="shared" si="214"/>
        <v>-0.55555555555555558</v>
      </c>
      <c r="CA226" s="76">
        <f t="shared" si="214"/>
        <v>-0.4285714285714286</v>
      </c>
      <c r="CB226" s="76">
        <f t="shared" si="214"/>
        <v>-0.5</v>
      </c>
      <c r="CC226" s="90">
        <f>CC223/BX223-1</f>
        <v>-0.43333333333333335</v>
      </c>
      <c r="CD226" s="76">
        <f t="shared" si="214"/>
        <v>-0.5</v>
      </c>
      <c r="CE226" s="76">
        <f t="shared" si="214"/>
        <v>-0.25</v>
      </c>
      <c r="CF226" s="76">
        <f t="shared" si="214"/>
        <v>1.25</v>
      </c>
      <c r="CG226" s="76">
        <f t="shared" si="214"/>
        <v>0</v>
      </c>
      <c r="CH226" s="90">
        <f>CH223/CC223-1</f>
        <v>5.8823529411764719E-2</v>
      </c>
      <c r="CI226" s="76">
        <f t="shared" si="214"/>
        <v>1.3333333333333335</v>
      </c>
      <c r="CJ226" s="76">
        <f t="shared" si="214"/>
        <v>1.3333333333333335</v>
      </c>
      <c r="CK226" s="76">
        <f t="shared" si="214"/>
        <v>-0.55555555555555558</v>
      </c>
      <c r="CL226" s="76">
        <f t="shared" si="214"/>
        <v>0.33333333333333326</v>
      </c>
      <c r="CM226" s="90">
        <f t="shared" si="214"/>
        <v>0.22222222222222232</v>
      </c>
      <c r="CN226" s="90">
        <f t="shared" si="214"/>
        <v>-0.4285714285714286</v>
      </c>
      <c r="CO226" s="90">
        <f t="shared" si="214"/>
        <v>-0.1428571428571429</v>
      </c>
      <c r="CP226" s="90">
        <f t="shared" si="214"/>
        <v>0.5</v>
      </c>
      <c r="CQ226" s="90">
        <f t="shared" si="214"/>
        <v>1</v>
      </c>
      <c r="CR226" s="90">
        <f>CR223/CM223-1</f>
        <v>9.0909090909090828E-2</v>
      </c>
      <c r="CS226" s="90">
        <f t="shared" si="214"/>
        <v>0.75</v>
      </c>
      <c r="CT226" s="90">
        <f t="shared" si="214"/>
        <v>-0.33333333333333337</v>
      </c>
      <c r="CU226" s="90">
        <f t="shared" si="214"/>
        <v>-0.16666666666666663</v>
      </c>
      <c r="CV226" s="90">
        <f t="shared" si="214"/>
        <v>-0.5</v>
      </c>
      <c r="CW226" s="90">
        <f>CW223/CR223-1</f>
        <v>-0.16666666666666663</v>
      </c>
      <c r="CX226" s="90">
        <f t="shared" si="214"/>
        <v>-0.5714285714285714</v>
      </c>
      <c r="CY226" s="90"/>
      <c r="CZ226" s="90"/>
      <c r="DA226" s="90"/>
      <c r="DB226" s="90"/>
      <c r="DC226" s="90"/>
      <c r="DD226" s="90"/>
      <c r="DE226" s="90"/>
      <c r="DF226" s="90"/>
      <c r="DG226" s="90"/>
      <c r="DH226" s="90"/>
      <c r="DI226" s="90"/>
      <c r="DJ226" s="90"/>
      <c r="DK226" s="90"/>
      <c r="DL226" s="188"/>
      <c r="DM226" s="188"/>
      <c r="DN226" s="188"/>
      <c r="DO226" s="188"/>
      <c r="DP226" s="188"/>
    </row>
    <row r="227" spans="1:120" x14ac:dyDescent="0.2">
      <c r="A227" s="68" t="s">
        <v>55</v>
      </c>
      <c r="G227" s="76">
        <f t="shared" si="213"/>
        <v>-0.11225315393605229</v>
      </c>
      <c r="H227" s="76">
        <f t="shared" si="213"/>
        <v>0.15369632315483495</v>
      </c>
      <c r="I227" s="76">
        <f t="shared" si="213"/>
        <v>0.23378481279018537</v>
      </c>
      <c r="J227" s="76">
        <f t="shared" si="213"/>
        <v>0.22053749315818272</v>
      </c>
      <c r="K227" s="76">
        <f t="shared" si="213"/>
        <v>0.12794175209692438</v>
      </c>
      <c r="L227" s="76">
        <f t="shared" si="213"/>
        <v>0.46413502109704652</v>
      </c>
      <c r="M227" s="76">
        <f t="shared" si="213"/>
        <v>0.27922077922077926</v>
      </c>
      <c r="N227" s="76">
        <f t="shared" si="213"/>
        <v>0.20552147239263796</v>
      </c>
      <c r="O227" s="76">
        <f t="shared" si="213"/>
        <v>0.17357512953367871</v>
      </c>
      <c r="P227" s="76">
        <f t="shared" si="213"/>
        <v>0.26252983293556076</v>
      </c>
      <c r="Q227" s="90">
        <f t="shared" si="213"/>
        <v>0.19020172910662825</v>
      </c>
      <c r="R227" s="90">
        <f t="shared" si="213"/>
        <v>0.18274111675126914</v>
      </c>
      <c r="S227" s="90">
        <f t="shared" si="213"/>
        <v>0.13486005089058528</v>
      </c>
      <c r="T227" s="90">
        <f t="shared" si="213"/>
        <v>0.10154525386313473</v>
      </c>
      <c r="U227" s="76">
        <f t="shared" si="213"/>
        <v>0.14933837429111541</v>
      </c>
      <c r="V227" s="90">
        <f t="shared" si="213"/>
        <v>0.17433414043583539</v>
      </c>
      <c r="W227" s="90">
        <f t="shared" si="213"/>
        <v>0.12660944206008584</v>
      </c>
      <c r="X227" s="90">
        <f t="shared" si="213"/>
        <v>8.5201793721973118E-2</v>
      </c>
      <c r="Y227" s="90">
        <f t="shared" si="213"/>
        <v>2.6052104208416749E-2</v>
      </c>
      <c r="Z227" s="76">
        <f t="shared" si="213"/>
        <v>9.9780701754385914E-2</v>
      </c>
      <c r="AA227" s="90">
        <f t="shared" si="213"/>
        <v>-3.0927835051546393E-2</v>
      </c>
      <c r="AB227" s="90">
        <f t="shared" si="213"/>
        <v>-2.2857142857142909E-2</v>
      </c>
      <c r="AC227" s="90">
        <f t="shared" si="213"/>
        <v>2.0661157024793431E-2</v>
      </c>
      <c r="AD227" s="90">
        <f t="shared" si="213"/>
        <v>6.640625E-2</v>
      </c>
      <c r="AE227" s="76">
        <f t="shared" si="213"/>
        <v>8.4745762711864181E-3</v>
      </c>
      <c r="AF227" s="90">
        <f t="shared" si="213"/>
        <v>4.8936170212765973E-2</v>
      </c>
      <c r="AG227" s="90">
        <f t="shared" si="213"/>
        <v>6.4327485380117011E-2</v>
      </c>
      <c r="AH227" s="90">
        <f t="shared" si="213"/>
        <v>3.8461538461538547E-2</v>
      </c>
      <c r="AI227" s="90">
        <f t="shared" si="213"/>
        <v>3.1135531135531025E-2</v>
      </c>
      <c r="AJ227" s="76">
        <f t="shared" si="213"/>
        <v>4.5477014335145727E-2</v>
      </c>
      <c r="AK227" s="90">
        <f t="shared" si="213"/>
        <v>0.11156186612576069</v>
      </c>
      <c r="AL227" s="90">
        <f t="shared" si="213"/>
        <v>0.14652014652014644</v>
      </c>
      <c r="AM227" s="90">
        <f t="shared" si="213"/>
        <v>0.11890838206627685</v>
      </c>
      <c r="AN227" s="90">
        <f t="shared" si="213"/>
        <v>-1.7761989342806039E-3</v>
      </c>
      <c r="AO227" s="76">
        <f t="shared" si="213"/>
        <v>9.219858156028371E-2</v>
      </c>
      <c r="AP227" s="90">
        <f t="shared" si="213"/>
        <v>-2.3722627737226332E-2</v>
      </c>
      <c r="AQ227" s="90">
        <f t="shared" si="213"/>
        <v>-8.4664536741214103E-2</v>
      </c>
      <c r="AR227" s="90">
        <f t="shared" si="213"/>
        <v>-6.0975609756097615E-2</v>
      </c>
      <c r="AS227" s="90">
        <f t="shared" si="213"/>
        <v>5.3380782918149405E-2</v>
      </c>
      <c r="AT227" s="76">
        <f t="shared" si="213"/>
        <v>-3.0735930735930728E-2</v>
      </c>
      <c r="AU227" s="90">
        <f t="shared" si="213"/>
        <v>-8.411214953271029E-2</v>
      </c>
      <c r="AV227" s="90">
        <f t="shared" si="213"/>
        <v>-0.26178010471204194</v>
      </c>
      <c r="AW227" s="90">
        <f t="shared" si="213"/>
        <v>-0.28385899814471238</v>
      </c>
      <c r="AX227" s="90">
        <f t="shared" si="213"/>
        <v>-0.31418918918918914</v>
      </c>
      <c r="AY227" s="76">
        <f t="shared" si="213"/>
        <v>-0.23849933005806168</v>
      </c>
      <c r="AZ227" s="90">
        <f t="shared" si="213"/>
        <v>-0.20612244897959187</v>
      </c>
      <c r="BA227" s="90">
        <f t="shared" si="213"/>
        <v>-7.328605200945626E-2</v>
      </c>
      <c r="BB227" s="90">
        <f t="shared" si="213"/>
        <v>-4.6632124352331661E-2</v>
      </c>
      <c r="BC227" s="90">
        <f t="shared" si="213"/>
        <v>2.4630541871921707E-3</v>
      </c>
      <c r="BD227" s="76">
        <f t="shared" si="213"/>
        <v>-8.7390029325513208E-2</v>
      </c>
      <c r="BE227" s="76">
        <f t="shared" si="213"/>
        <v>-0.14652956298200515</v>
      </c>
      <c r="BF227" s="76">
        <f t="shared" si="213"/>
        <v>-0.1607142857142857</v>
      </c>
      <c r="BG227" s="76">
        <f t="shared" si="213"/>
        <v>-0.20652173913043481</v>
      </c>
      <c r="BH227" s="76">
        <f t="shared" si="213"/>
        <v>-0.25552825552825553</v>
      </c>
      <c r="BI227" s="90">
        <f t="shared" si="213"/>
        <v>-0.19280205655526994</v>
      </c>
      <c r="BJ227" s="76">
        <f t="shared" si="213"/>
        <v>-0.22891566265060237</v>
      </c>
      <c r="BK227" s="76">
        <f t="shared" si="213"/>
        <v>-0.24012158054711241</v>
      </c>
      <c r="BL227" s="76">
        <f t="shared" si="213"/>
        <v>-0.2226027397260274</v>
      </c>
      <c r="BM227" s="76">
        <f t="shared" si="213"/>
        <v>-0.21782178217821779</v>
      </c>
      <c r="BN227" s="90">
        <f t="shared" si="213"/>
        <v>-0.22770700636942676</v>
      </c>
      <c r="BO227" s="76">
        <f t="shared" si="213"/>
        <v>-0.22265625</v>
      </c>
      <c r="BP227" s="76">
        <f t="shared" si="213"/>
        <v>-0.17600000000000005</v>
      </c>
      <c r="BQ227" s="76">
        <f t="shared" si="213"/>
        <v>-0.17180616740088106</v>
      </c>
      <c r="BR227" s="76">
        <f t="shared" si="213"/>
        <v>-0.22362869198312241</v>
      </c>
      <c r="BS227" s="90">
        <f>BS224/BN224-1</f>
        <v>-0.19896907216494841</v>
      </c>
      <c r="BT227" s="76">
        <f t="shared" si="214"/>
        <v>-0.11055276381909551</v>
      </c>
      <c r="BU227" s="76">
        <f t="shared" si="214"/>
        <v>-0.12621359223300976</v>
      </c>
      <c r="BV227" s="76">
        <f t="shared" si="214"/>
        <v>-0.23936170212765961</v>
      </c>
      <c r="BW227" s="76">
        <f t="shared" si="214"/>
        <v>-0.25543478260869568</v>
      </c>
      <c r="BX227" s="90">
        <f>BX224/BS224-1</f>
        <v>-0.18018018018018023</v>
      </c>
      <c r="BY227" s="76">
        <f t="shared" si="214"/>
        <v>-0.31638418079096042</v>
      </c>
      <c r="BZ227" s="76">
        <f t="shared" si="214"/>
        <v>-0.28888888888888886</v>
      </c>
      <c r="CA227" s="76">
        <f t="shared" si="214"/>
        <v>-0.1048951048951049</v>
      </c>
      <c r="CB227" s="76">
        <f t="shared" si="214"/>
        <v>-0.13868613138686137</v>
      </c>
      <c r="CC227" s="90">
        <f>CC224/BX224-1</f>
        <v>-0.22291993720565151</v>
      </c>
      <c r="CD227" s="76">
        <f t="shared" si="214"/>
        <v>-9.9173553719008267E-2</v>
      </c>
      <c r="CE227" s="76">
        <f t="shared" si="214"/>
        <v>-9.375E-2</v>
      </c>
      <c r="CF227" s="76">
        <f t="shared" si="214"/>
        <v>-7.03125E-2</v>
      </c>
      <c r="CG227" s="76">
        <f t="shared" si="214"/>
        <v>2.5423728813559254E-2</v>
      </c>
      <c r="CH227" s="90">
        <f>CH224/CC224-1</f>
        <v>-6.0606060606060552E-2</v>
      </c>
      <c r="CI227" s="76">
        <f t="shared" si="214"/>
        <v>3.669724770642202E-2</v>
      </c>
      <c r="CJ227" s="76">
        <f t="shared" si="214"/>
        <v>1.7241379310344751E-2</v>
      </c>
      <c r="CK227" s="76">
        <f t="shared" si="214"/>
        <v>-0.16806722689075626</v>
      </c>
      <c r="CL227" s="76">
        <f t="shared" si="214"/>
        <v>-0.16528925619834711</v>
      </c>
      <c r="CM227" s="90">
        <f t="shared" si="214"/>
        <v>-7.3118279569892475E-2</v>
      </c>
      <c r="CN227" s="90">
        <f t="shared" si="214"/>
        <v>-0.12389380530973448</v>
      </c>
      <c r="CO227" s="90">
        <f t="shared" si="214"/>
        <v>-0.1271186440677966</v>
      </c>
      <c r="CP227" s="90">
        <f t="shared" si="214"/>
        <v>0.11111111111111116</v>
      </c>
      <c r="CQ227" s="90">
        <f t="shared" si="214"/>
        <v>3.9603960396039639E-2</v>
      </c>
      <c r="CR227" s="90">
        <f>CR224/CM224-1</f>
        <v>-3.2482598607888602E-2</v>
      </c>
      <c r="CS227" s="90">
        <f t="shared" si="214"/>
        <v>-4.0404040404040442E-2</v>
      </c>
      <c r="CT227" s="90">
        <f t="shared" si="214"/>
        <v>-8.737864077669899E-2</v>
      </c>
      <c r="CU227" s="90">
        <f t="shared" si="214"/>
        <v>-0.21818181818181814</v>
      </c>
      <c r="CV227" s="90">
        <f t="shared" si="214"/>
        <v>-0.1333333333333333</v>
      </c>
      <c r="CW227" s="90">
        <f>CW224/CR224-1</f>
        <v>-0.12230215827338131</v>
      </c>
      <c r="CX227" s="90">
        <f t="shared" si="214"/>
        <v>-8.4210526315789513E-2</v>
      </c>
      <c r="CY227" s="90"/>
      <c r="CZ227" s="90"/>
      <c r="DA227" s="90"/>
      <c r="DB227" s="90"/>
      <c r="DC227" s="90"/>
      <c r="DD227" s="90"/>
      <c r="DE227" s="90"/>
      <c r="DF227" s="90"/>
      <c r="DG227" s="90"/>
      <c r="DH227" s="90"/>
      <c r="DI227" s="90"/>
      <c r="DJ227" s="90"/>
      <c r="DK227" s="90"/>
      <c r="DL227" s="188"/>
      <c r="DM227" s="188"/>
      <c r="DN227" s="188"/>
      <c r="DO227" s="188"/>
      <c r="DP227" s="188"/>
    </row>
    <row r="228" spans="1:120" x14ac:dyDescent="0.2">
      <c r="A228" s="78" t="s">
        <v>56</v>
      </c>
      <c r="B228" s="79"/>
      <c r="C228" s="79"/>
      <c r="D228" s="79"/>
      <c r="E228" s="79"/>
      <c r="F228" s="79"/>
      <c r="G228" s="80">
        <f t="shared" si="213"/>
        <v>-2.0240621473911036E-2</v>
      </c>
      <c r="H228" s="80">
        <f t="shared" si="213"/>
        <v>0.21889496143648501</v>
      </c>
      <c r="I228" s="80">
        <f t="shared" si="213"/>
        <v>7.9035731216719807E-2</v>
      </c>
      <c r="J228" s="80">
        <f t="shared" si="213"/>
        <v>0.49735220608721264</v>
      </c>
      <c r="K228" s="80">
        <f t="shared" si="213"/>
        <v>0.19285055081411673</v>
      </c>
      <c r="L228" s="80">
        <f t="shared" si="213"/>
        <v>0.5</v>
      </c>
      <c r="M228" s="80">
        <f t="shared" si="213"/>
        <v>3.0476190476190546E-2</v>
      </c>
      <c r="N228" s="80">
        <f t="shared" si="213"/>
        <v>0.13296903460837894</v>
      </c>
      <c r="O228" s="80">
        <f t="shared" si="213"/>
        <v>1.3215859030837107E-2</v>
      </c>
      <c r="P228" s="80">
        <f t="shared" si="213"/>
        <v>0.14193844740468542</v>
      </c>
      <c r="Q228" s="80">
        <f t="shared" si="213"/>
        <v>-6.3191153238546516E-3</v>
      </c>
      <c r="R228" s="80">
        <f t="shared" si="213"/>
        <v>0.34011090573012948</v>
      </c>
      <c r="S228" s="80">
        <f t="shared" si="213"/>
        <v>0.135048231511254</v>
      </c>
      <c r="T228" s="80">
        <f t="shared" si="213"/>
        <v>0.1072463768115941</v>
      </c>
      <c r="U228" s="80">
        <f t="shared" si="213"/>
        <v>0.13555913113435247</v>
      </c>
      <c r="V228" s="80">
        <f t="shared" si="213"/>
        <v>0.14467408585055641</v>
      </c>
      <c r="W228" s="80">
        <f t="shared" si="213"/>
        <v>8.4137931034482749E-2</v>
      </c>
      <c r="X228" s="80">
        <f t="shared" si="213"/>
        <v>6.6572237960339953E-2</v>
      </c>
      <c r="Y228" s="80">
        <f t="shared" si="213"/>
        <v>2.4869109947643908E-2</v>
      </c>
      <c r="Z228" s="80">
        <f t="shared" si="213"/>
        <v>7.6160113354587278E-2</v>
      </c>
      <c r="AA228" s="80">
        <f t="shared" si="213"/>
        <v>-2.5000000000000022E-2</v>
      </c>
      <c r="AB228" s="80">
        <f t="shared" si="213"/>
        <v>-1.2722646310432406E-3</v>
      </c>
      <c r="AC228" s="80">
        <f t="shared" si="213"/>
        <v>8.1009296148738308E-2</v>
      </c>
      <c r="AD228" s="80">
        <f t="shared" si="213"/>
        <v>0.10472541507024258</v>
      </c>
      <c r="AE228" s="80">
        <f t="shared" si="213"/>
        <v>4.1474654377880116E-2</v>
      </c>
      <c r="AF228" s="80">
        <f t="shared" si="213"/>
        <v>0.13675213675213671</v>
      </c>
      <c r="AG228" s="80">
        <f t="shared" si="213"/>
        <v>7.8980891719745205E-2</v>
      </c>
      <c r="AH228" s="80">
        <f t="shared" si="213"/>
        <v>0</v>
      </c>
      <c r="AI228" s="80">
        <f t="shared" si="213"/>
        <v>3.1213872832369871E-2</v>
      </c>
      <c r="AJ228" s="80">
        <f t="shared" si="213"/>
        <v>5.9102402022755962E-2</v>
      </c>
      <c r="AK228" s="80">
        <f t="shared" si="213"/>
        <v>6.1403508771929793E-2</v>
      </c>
      <c r="AL228" s="80">
        <f t="shared" si="213"/>
        <v>0.11097992916174726</v>
      </c>
      <c r="AM228" s="80">
        <f t="shared" si="213"/>
        <v>9.0909090909090828E-2</v>
      </c>
      <c r="AN228" s="80">
        <f t="shared" si="213"/>
        <v>-1.2331838565022402E-2</v>
      </c>
      <c r="AO228" s="80">
        <f t="shared" si="213"/>
        <v>6.1474186809907572E-2</v>
      </c>
      <c r="AP228" s="80">
        <f t="shared" si="213"/>
        <v>-9.445100354191216E-3</v>
      </c>
      <c r="AQ228" s="80">
        <f t="shared" si="213"/>
        <v>-3.8257173219978791E-2</v>
      </c>
      <c r="AR228" s="80">
        <f t="shared" si="213"/>
        <v>-3.0405405405405372E-2</v>
      </c>
      <c r="AS228" s="80">
        <f t="shared" si="213"/>
        <v>8.399545970488087E-2</v>
      </c>
      <c r="AT228" s="80">
        <f t="shared" si="213"/>
        <v>8.4340736575772013E-4</v>
      </c>
      <c r="AU228" s="80">
        <f t="shared" si="213"/>
        <v>-6.912991656734202E-2</v>
      </c>
      <c r="AV228" s="80">
        <f t="shared" si="213"/>
        <v>-0.46298342541436466</v>
      </c>
      <c r="AW228" s="80">
        <f t="shared" si="213"/>
        <v>-0.50871080139372826</v>
      </c>
      <c r="AX228" s="80">
        <f t="shared" si="213"/>
        <v>-0.5654450261780104</v>
      </c>
      <c r="AY228" s="80">
        <f t="shared" si="213"/>
        <v>-0.4087078651685393</v>
      </c>
      <c r="AZ228" s="80">
        <f t="shared" si="213"/>
        <v>-0.45582586427656846</v>
      </c>
      <c r="BA228" s="80">
        <f t="shared" si="213"/>
        <v>-0.16460905349794241</v>
      </c>
      <c r="BB228" s="80">
        <f t="shared" si="213"/>
        <v>-4.4917257683215084E-2</v>
      </c>
      <c r="BC228" s="80">
        <f t="shared" si="213"/>
        <v>2.8915662650602414E-2</v>
      </c>
      <c r="BD228" s="80">
        <f t="shared" si="213"/>
        <v>-0.21045130641330168</v>
      </c>
      <c r="BE228" s="80">
        <f t="shared" si="213"/>
        <v>-0.20705882352941174</v>
      </c>
      <c r="BF228" s="80">
        <f t="shared" si="213"/>
        <v>-0.16748768472906406</v>
      </c>
      <c r="BG228" s="80">
        <f>BG225/BB225-1</f>
        <v>-0.26980198019801982</v>
      </c>
      <c r="BH228" s="80">
        <f>BH225/BC225-1</f>
        <v>-0.26229508196721307</v>
      </c>
      <c r="BI228" s="80">
        <f t="shared" si="213"/>
        <v>-0.22683513838748492</v>
      </c>
      <c r="BJ228" s="80">
        <f t="shared" si="213"/>
        <v>-0.20771513353115723</v>
      </c>
      <c r="BK228" s="91">
        <f t="shared" si="213"/>
        <v>-0.24556213017751483</v>
      </c>
      <c r="BL228" s="91">
        <f t="shared" si="213"/>
        <v>-0.1932203389830508</v>
      </c>
      <c r="BM228" s="91">
        <f t="shared" si="213"/>
        <v>-0.21904761904761905</v>
      </c>
      <c r="BN228" s="80">
        <f t="shared" si="213"/>
        <v>-0.21712062256809339</v>
      </c>
      <c r="BO228" s="80">
        <f t="shared" si="213"/>
        <v>-0.23220973782771537</v>
      </c>
      <c r="BP228" s="91">
        <f t="shared" si="213"/>
        <v>-0.16078431372549018</v>
      </c>
      <c r="BQ228" s="91">
        <f t="shared" si="213"/>
        <v>-0.18487394957983194</v>
      </c>
      <c r="BR228" s="91">
        <f t="shared" si="213"/>
        <v>-0.21951219512195119</v>
      </c>
      <c r="BS228" s="80">
        <f>BS225/BN225-1</f>
        <v>-0.1998011928429424</v>
      </c>
      <c r="BT228" s="80">
        <f>BT225/BO225-1</f>
        <v>-9.7560975609756073E-2</v>
      </c>
      <c r="BU228" s="80">
        <f>BU225/BP225-1</f>
        <v>-0.11682242990654201</v>
      </c>
      <c r="BV228" s="91">
        <f>BV225/BQ225-1</f>
        <v>-0.22680412371134018</v>
      </c>
      <c r="BW228" s="91">
        <f>BW225/BR225-1</f>
        <v>-0.25520833333333337</v>
      </c>
      <c r="BX228" s="80">
        <f>BX225/BS225-1</f>
        <v>-0.17142857142857137</v>
      </c>
      <c r="BY228" s="80">
        <f>BY225/BT225-1</f>
        <v>-0.31351351351351353</v>
      </c>
      <c r="BZ228" s="80">
        <f>BZ225/BU225-1</f>
        <v>-0.30158730158730163</v>
      </c>
      <c r="CA228" s="80">
        <f>CA225/BV225-1</f>
        <v>-0.12</v>
      </c>
      <c r="CB228" s="80">
        <f>CB225/BW225-1</f>
        <v>-0.15384615384615385</v>
      </c>
      <c r="CC228" s="80">
        <f>CC225/BX225-1</f>
        <v>-0.23238380809595205</v>
      </c>
      <c r="CD228" s="80">
        <f>CD225/BY225-1</f>
        <v>-0.11811023622047245</v>
      </c>
      <c r="CE228" s="80">
        <f>CE225/BZ225-1</f>
        <v>-9.8484848484848508E-2</v>
      </c>
      <c r="CF228" s="80">
        <f>CF225/CA225-1</f>
        <v>-3.0303030303030276E-2</v>
      </c>
      <c r="CG228" s="80">
        <f>CG225/CB225-1</f>
        <v>2.4793388429751984E-2</v>
      </c>
      <c r="CH228" s="80">
        <f>CH225/CC225-1</f>
        <v>-5.6640625E-2</v>
      </c>
      <c r="CI228" s="80">
        <f>CI225/CD225-1</f>
        <v>7.1428571428571397E-2</v>
      </c>
      <c r="CJ228" s="80">
        <f t="shared" si="214"/>
        <v>5.0420168067226934E-2</v>
      </c>
      <c r="CK228" s="80">
        <f t="shared" si="214"/>
        <v>-0.1953125</v>
      </c>
      <c r="CL228" s="80">
        <f t="shared" si="214"/>
        <v>-0.15322580645161288</v>
      </c>
      <c r="CM228" s="80">
        <f t="shared" si="214"/>
        <v>-6.2111801242236031E-2</v>
      </c>
      <c r="CN228" s="80">
        <f t="shared" si="214"/>
        <v>-0.14166666666666672</v>
      </c>
      <c r="CO228" s="80">
        <f t="shared" si="214"/>
        <v>-0.128</v>
      </c>
      <c r="CP228" s="80">
        <f t="shared" si="214"/>
        <v>0.12621359223300965</v>
      </c>
      <c r="CQ228" s="80">
        <f t="shared" si="214"/>
        <v>7.6190476190476142E-2</v>
      </c>
      <c r="CR228" s="80">
        <f>CR225/CM225-1</f>
        <v>-2.6490066225165587E-2</v>
      </c>
      <c r="CS228" s="80">
        <f t="shared" si="214"/>
        <v>-9.7087378640776656E-3</v>
      </c>
      <c r="CT228" s="80">
        <f t="shared" si="214"/>
        <v>-0.1009174311926605</v>
      </c>
      <c r="CU228" s="80">
        <f t="shared" si="214"/>
        <v>-0.21551724137931039</v>
      </c>
      <c r="CV228" s="80">
        <f t="shared" si="214"/>
        <v>-0.16814159292035402</v>
      </c>
      <c r="CW228" s="80">
        <f>CW225/CR225-1</f>
        <v>-0.12698412698412698</v>
      </c>
      <c r="CX228" s="80">
        <f>CX225/CS225-1</f>
        <v>-0.11764705882352944</v>
      </c>
      <c r="CY228" s="80"/>
      <c r="CZ228" s="80"/>
      <c r="DA228" s="80"/>
      <c r="DB228" s="80"/>
      <c r="DC228" s="80"/>
      <c r="DD228" s="80"/>
      <c r="DE228" s="80"/>
      <c r="DF228" s="80"/>
      <c r="DG228" s="80"/>
      <c r="DH228" s="80"/>
      <c r="DI228" s="80"/>
      <c r="DJ228" s="80"/>
      <c r="DK228" s="80"/>
      <c r="DL228" s="189"/>
      <c r="DM228" s="189"/>
      <c r="DN228" s="189"/>
      <c r="DO228" s="189"/>
      <c r="DP228" s="189"/>
    </row>
    <row r="229" spans="1:120" x14ac:dyDescent="0.2">
      <c r="A229" s="137" t="s">
        <v>173</v>
      </c>
      <c r="B229" s="86"/>
      <c r="C229" s="86"/>
      <c r="D229" s="86"/>
      <c r="E229" s="86"/>
      <c r="F229" s="36"/>
      <c r="G229" s="36">
        <v>0</v>
      </c>
      <c r="H229" s="36">
        <v>0</v>
      </c>
      <c r="I229" s="86">
        <v>0</v>
      </c>
      <c r="J229" s="86">
        <v>0</v>
      </c>
      <c r="K229" s="36">
        <f>J229+I229+H229+G229</f>
        <v>0</v>
      </c>
      <c r="L229" s="86">
        <v>0</v>
      </c>
      <c r="M229" s="86">
        <v>0</v>
      </c>
      <c r="N229" s="86">
        <v>0</v>
      </c>
      <c r="O229" s="36">
        <v>0</v>
      </c>
      <c r="P229" s="36">
        <f>O229+N229+M229+L229</f>
        <v>0</v>
      </c>
      <c r="Q229" s="36">
        <v>0</v>
      </c>
      <c r="R229" s="36">
        <f>M229*(1+R232)</f>
        <v>0</v>
      </c>
      <c r="S229" s="36">
        <v>0</v>
      </c>
      <c r="T229" s="36">
        <v>0</v>
      </c>
      <c r="U229" s="36">
        <f>T229+S229+R229+Q229</f>
        <v>0</v>
      </c>
      <c r="V229" s="36">
        <v>0</v>
      </c>
      <c r="W229" s="36">
        <v>0</v>
      </c>
      <c r="X229" s="36">
        <v>0</v>
      </c>
      <c r="Y229" s="36">
        <v>0</v>
      </c>
      <c r="Z229" s="36">
        <f>Y229+X229+W229+V229</f>
        <v>0</v>
      </c>
      <c r="AA229" s="36">
        <v>0</v>
      </c>
      <c r="AB229" s="36">
        <v>0</v>
      </c>
      <c r="AC229" s="36">
        <f>X229*(1+AC232)</f>
        <v>0</v>
      </c>
      <c r="AD229" s="36">
        <f>Y229*(1+AD232)</f>
        <v>0</v>
      </c>
      <c r="AE229" s="36">
        <f>AD229+AC229+AB229+AA229</f>
        <v>0</v>
      </c>
      <c r="AF229" s="36">
        <f>AA229*(1+AF232)</f>
        <v>0</v>
      </c>
      <c r="AG229" s="36">
        <f>AB229*(1+AG232)</f>
        <v>0</v>
      </c>
      <c r="AH229" s="36">
        <f>AC229*(1+AH232)</f>
        <v>0</v>
      </c>
      <c r="AI229" s="36">
        <v>0</v>
      </c>
      <c r="AJ229" s="36">
        <f>AI229+AH229+AG229+AF229</f>
        <v>0</v>
      </c>
      <c r="AK229" s="36">
        <f>AF229*(1+AK232)</f>
        <v>0</v>
      </c>
      <c r="AL229" s="36">
        <v>0</v>
      </c>
      <c r="AM229" s="36">
        <v>0</v>
      </c>
      <c r="AN229" s="36">
        <v>0</v>
      </c>
      <c r="AO229" s="36">
        <f>AN229+AM229+AL229+AK229</f>
        <v>0</v>
      </c>
      <c r="AP229" s="36">
        <v>0</v>
      </c>
      <c r="AQ229" s="36">
        <v>0</v>
      </c>
      <c r="AR229" s="36">
        <v>0</v>
      </c>
      <c r="AS229" s="36">
        <v>0</v>
      </c>
      <c r="AT229" s="36">
        <f>AS229+AR229+AQ229+AP229</f>
        <v>0</v>
      </c>
      <c r="AU229" s="36">
        <v>0</v>
      </c>
      <c r="AV229" s="36">
        <v>0</v>
      </c>
      <c r="AW229" s="36">
        <v>0</v>
      </c>
      <c r="AX229" s="36">
        <v>0</v>
      </c>
      <c r="AY229" s="36">
        <f>AX229+AW229+AV229+AU229</f>
        <v>0</v>
      </c>
      <c r="AZ229" s="36">
        <v>0</v>
      </c>
      <c r="BA229" s="36">
        <v>0</v>
      </c>
      <c r="BB229" s="36">
        <f>AW229*(1+BB232)</f>
        <v>0</v>
      </c>
      <c r="BC229" s="36">
        <v>0</v>
      </c>
      <c r="BD229" s="36">
        <f>BC229+BB229+BA229+AZ229</f>
        <v>0</v>
      </c>
      <c r="BE229" s="36">
        <f>AZ229*(1+BE232)</f>
        <v>0</v>
      </c>
      <c r="BF229" s="36">
        <v>0</v>
      </c>
      <c r="BG229" s="36">
        <v>0</v>
      </c>
      <c r="BH229" s="36">
        <v>0</v>
      </c>
      <c r="BI229" s="36">
        <f>SUM(BE229:BH229)</f>
        <v>0</v>
      </c>
      <c r="BJ229" s="36">
        <f>BE229*(1+BJ232)</f>
        <v>0</v>
      </c>
      <c r="BK229" s="36">
        <v>0</v>
      </c>
      <c r="BL229" s="36">
        <v>0</v>
      </c>
      <c r="BM229" s="36">
        <f>BH229*(1+BM232)</f>
        <v>0</v>
      </c>
      <c r="BN229" s="36">
        <f>SUM(BJ229:BM229)</f>
        <v>0</v>
      </c>
      <c r="BO229" s="36">
        <v>0</v>
      </c>
      <c r="BP229" s="36">
        <v>0</v>
      </c>
      <c r="BQ229" s="36">
        <v>0</v>
      </c>
      <c r="BR229" s="36">
        <v>0</v>
      </c>
      <c r="BS229" s="36">
        <f>SUM(BO229:BR229)</f>
        <v>0</v>
      </c>
      <c r="BT229" s="36">
        <v>0</v>
      </c>
      <c r="BU229" s="36">
        <v>0</v>
      </c>
      <c r="BV229" s="36">
        <v>0</v>
      </c>
      <c r="BW229" s="36">
        <v>0</v>
      </c>
      <c r="BX229" s="36">
        <f>SUM(BT229:BW229)</f>
        <v>0</v>
      </c>
      <c r="BY229" s="36">
        <v>0</v>
      </c>
      <c r="BZ229" s="36">
        <v>0</v>
      </c>
      <c r="CA229" s="36">
        <v>0</v>
      </c>
      <c r="CB229" s="36">
        <f>BW229*(1+CB232)</f>
        <v>0</v>
      </c>
      <c r="CC229" s="36">
        <f>SUM(BY229:CB229)</f>
        <v>0</v>
      </c>
      <c r="CD229" s="36">
        <v>0</v>
      </c>
      <c r="CE229" s="36">
        <v>0</v>
      </c>
      <c r="CF229" s="36">
        <v>0</v>
      </c>
      <c r="CG229" s="36">
        <v>0</v>
      </c>
      <c r="CH229" s="36">
        <f>SUM(CD229:CG229)</f>
        <v>0</v>
      </c>
      <c r="CI229" s="36">
        <f>CD229*(1+CI232)</f>
        <v>0</v>
      </c>
      <c r="CJ229" s="36">
        <v>0</v>
      </c>
      <c r="CK229" s="36">
        <v>0</v>
      </c>
      <c r="CL229" s="36">
        <v>0</v>
      </c>
      <c r="CM229" s="36">
        <f>SUM(CI229:CL229)</f>
        <v>0</v>
      </c>
      <c r="CN229" s="36">
        <v>0</v>
      </c>
      <c r="CO229" s="36">
        <v>0</v>
      </c>
      <c r="CP229" s="36">
        <v>0</v>
      </c>
      <c r="CQ229" s="36">
        <v>0</v>
      </c>
      <c r="CR229" s="36">
        <f>SUM(CN229:CQ229)</f>
        <v>0</v>
      </c>
      <c r="CS229" s="36">
        <v>0</v>
      </c>
      <c r="CT229" s="36">
        <v>0</v>
      </c>
      <c r="CU229" s="36">
        <v>0</v>
      </c>
      <c r="CV229" s="36">
        <v>0</v>
      </c>
      <c r="CW229" s="72">
        <f>SUM(CS229:CV229)</f>
        <v>0</v>
      </c>
      <c r="CX229" s="36"/>
      <c r="CY229" s="36"/>
      <c r="CZ229" s="36"/>
      <c r="DA229" s="36"/>
      <c r="DB229" s="72"/>
      <c r="DC229" s="72"/>
      <c r="DD229" s="72"/>
      <c r="DE229" s="72"/>
      <c r="DF229" s="72"/>
      <c r="DG229" s="36"/>
      <c r="DH229" s="36"/>
      <c r="DI229" s="36"/>
      <c r="DJ229" s="36"/>
      <c r="DK229" s="36"/>
      <c r="DL229" s="183"/>
      <c r="DM229" s="183"/>
      <c r="DN229" s="183"/>
      <c r="DO229" s="183"/>
      <c r="DP229" s="183"/>
    </row>
    <row r="230" spans="1:120" x14ac:dyDescent="0.2">
      <c r="A230" s="137" t="s">
        <v>174</v>
      </c>
      <c r="B230" s="86"/>
      <c r="C230" s="86"/>
      <c r="D230" s="86"/>
      <c r="E230" s="86"/>
      <c r="F230" s="36"/>
      <c r="G230" s="36">
        <v>3</v>
      </c>
      <c r="H230" s="36">
        <v>7</v>
      </c>
      <c r="I230" s="86">
        <v>8</v>
      </c>
      <c r="J230" s="86">
        <v>10</v>
      </c>
      <c r="K230" s="36">
        <f>J230+I230+H230+G230</f>
        <v>28</v>
      </c>
      <c r="L230" s="86">
        <v>11</v>
      </c>
      <c r="M230" s="86">
        <v>16</v>
      </c>
      <c r="N230" s="86">
        <v>19.25</v>
      </c>
      <c r="O230" s="36">
        <v>23.25</v>
      </c>
      <c r="P230" s="36">
        <f>O230+N230+M230+L230</f>
        <v>69.5</v>
      </c>
      <c r="Q230" s="36">
        <v>30</v>
      </c>
      <c r="R230" s="36">
        <v>62</v>
      </c>
      <c r="S230" s="36">
        <v>61</v>
      </c>
      <c r="T230" s="36">
        <v>77</v>
      </c>
      <c r="U230" s="36">
        <f>T230+S230+R230+Q230</f>
        <v>230</v>
      </c>
      <c r="V230" s="36">
        <v>57</v>
      </c>
      <c r="W230" s="36">
        <v>50</v>
      </c>
      <c r="X230" s="36">
        <v>56</v>
      </c>
      <c r="Y230" s="36">
        <v>55</v>
      </c>
      <c r="Z230" s="36">
        <f>Y230+X230+W230+V230</f>
        <v>218</v>
      </c>
      <c r="AA230" s="36">
        <v>59</v>
      </c>
      <c r="AB230" s="36">
        <v>66</v>
      </c>
      <c r="AC230" s="36">
        <v>66</v>
      </c>
      <c r="AD230" s="36">
        <v>74</v>
      </c>
      <c r="AE230" s="36">
        <f>AD230+AC230+AB230+AA230</f>
        <v>265</v>
      </c>
      <c r="AF230" s="36">
        <v>80</v>
      </c>
      <c r="AG230" s="36">
        <v>89</v>
      </c>
      <c r="AH230" s="36">
        <v>76</v>
      </c>
      <c r="AI230" s="36">
        <v>84</v>
      </c>
      <c r="AJ230" s="36">
        <f>AI230+AH230+AG230+AF230</f>
        <v>329</v>
      </c>
      <c r="AK230" s="36">
        <v>93</v>
      </c>
      <c r="AL230" s="36">
        <v>104</v>
      </c>
      <c r="AM230" s="36">
        <v>97</v>
      </c>
      <c r="AN230" s="36">
        <v>83</v>
      </c>
      <c r="AO230" s="36">
        <f>AN230+AM230+AL230+AK230</f>
        <v>377</v>
      </c>
      <c r="AP230" s="36">
        <v>81</v>
      </c>
      <c r="AQ230" s="36">
        <v>88</v>
      </c>
      <c r="AR230" s="36">
        <v>90</v>
      </c>
      <c r="AS230" s="36">
        <v>98</v>
      </c>
      <c r="AT230" s="36">
        <f>AS230+AR230+AQ230+AP230</f>
        <v>357</v>
      </c>
      <c r="AU230" s="36">
        <v>95</v>
      </c>
      <c r="AV230" s="36">
        <v>95</v>
      </c>
      <c r="AW230" s="36">
        <v>94</v>
      </c>
      <c r="AX230" s="36">
        <v>115</v>
      </c>
      <c r="AY230" s="36">
        <f>AX230+AW230+AV230+AU230</f>
        <v>399</v>
      </c>
      <c r="AZ230" s="36">
        <v>114</v>
      </c>
      <c r="BA230" s="36">
        <v>100</v>
      </c>
      <c r="BB230" s="36">
        <v>108</v>
      </c>
      <c r="BC230" s="36">
        <v>110</v>
      </c>
      <c r="BD230" s="36">
        <f>BC230+BB230+BA230+AZ230</f>
        <v>432</v>
      </c>
      <c r="BE230" s="36">
        <v>112</v>
      </c>
      <c r="BF230" s="36">
        <v>117</v>
      </c>
      <c r="BG230" s="36">
        <v>109</v>
      </c>
      <c r="BH230" s="36">
        <v>115</v>
      </c>
      <c r="BI230" s="36">
        <f>SUM(BE230:BH230)</f>
        <v>453</v>
      </c>
      <c r="BJ230" s="36">
        <v>121</v>
      </c>
      <c r="BK230" s="36">
        <v>121</v>
      </c>
      <c r="BL230" s="36">
        <v>112</v>
      </c>
      <c r="BM230" s="36">
        <v>131</v>
      </c>
      <c r="BN230" s="36">
        <f>SUM(BJ230:BM230)</f>
        <v>485</v>
      </c>
      <c r="BO230" s="36">
        <v>128</v>
      </c>
      <c r="BP230" s="36">
        <v>141</v>
      </c>
      <c r="BQ230" s="36">
        <v>132</v>
      </c>
      <c r="BR230" s="36">
        <v>118</v>
      </c>
      <c r="BS230" s="36">
        <f>SUM(BO230:BR230)</f>
        <v>519</v>
      </c>
      <c r="BT230" s="36">
        <v>123</v>
      </c>
      <c r="BU230" s="36">
        <v>115</v>
      </c>
      <c r="BV230" s="36">
        <v>123</v>
      </c>
      <c r="BW230" s="36">
        <v>110</v>
      </c>
      <c r="BX230" s="36">
        <f>SUM(BT230:BW230)</f>
        <v>471</v>
      </c>
      <c r="BY230" s="36">
        <v>111</v>
      </c>
      <c r="BZ230" s="36">
        <v>117</v>
      </c>
      <c r="CA230" s="36">
        <v>114</v>
      </c>
      <c r="CB230" s="36">
        <v>108</v>
      </c>
      <c r="CC230" s="36">
        <f>SUM(BY230:CB230)</f>
        <v>450</v>
      </c>
      <c r="CD230" s="36">
        <v>103</v>
      </c>
      <c r="CE230" s="36">
        <v>89</v>
      </c>
      <c r="CF230" s="36">
        <v>80</v>
      </c>
      <c r="CG230" s="36">
        <v>91</v>
      </c>
      <c r="CH230" s="36">
        <f>SUM(CD230:CG230)</f>
        <v>363</v>
      </c>
      <c r="CI230" s="36">
        <v>83</v>
      </c>
      <c r="CJ230" s="36">
        <v>84</v>
      </c>
      <c r="CK230" s="36">
        <v>83</v>
      </c>
      <c r="CL230" s="36">
        <v>86</v>
      </c>
      <c r="CM230" s="36">
        <f>SUM(CI230:CL230)</f>
        <v>336</v>
      </c>
      <c r="CN230" s="36">
        <v>75</v>
      </c>
      <c r="CO230" s="36">
        <v>75</v>
      </c>
      <c r="CP230" s="36">
        <v>72</v>
      </c>
      <c r="CQ230" s="36">
        <v>67</v>
      </c>
      <c r="CR230" s="36">
        <f>SUM(CN230:CQ230)</f>
        <v>289</v>
      </c>
      <c r="CS230" s="36">
        <v>70</v>
      </c>
      <c r="CT230" s="36">
        <v>65</v>
      </c>
      <c r="CU230" s="36">
        <v>68</v>
      </c>
      <c r="CV230" s="36">
        <v>54</v>
      </c>
      <c r="CW230" s="72">
        <f>SUM(CS230:CV230)</f>
        <v>257</v>
      </c>
      <c r="CX230" s="36">
        <v>56</v>
      </c>
      <c r="CY230" s="36"/>
      <c r="CZ230" s="36"/>
      <c r="DA230" s="36"/>
      <c r="DB230" s="72"/>
      <c r="DC230" s="72"/>
      <c r="DD230" s="72"/>
      <c r="DE230" s="72"/>
      <c r="DF230" s="72"/>
      <c r="DG230" s="36"/>
      <c r="DH230" s="36"/>
      <c r="DI230" s="36"/>
      <c r="DJ230" s="36"/>
      <c r="DK230" s="36"/>
      <c r="DL230" s="183"/>
      <c r="DM230" s="183"/>
      <c r="DN230" s="183"/>
      <c r="DO230" s="183"/>
      <c r="DP230" s="183"/>
    </row>
    <row r="231" spans="1:120" x14ac:dyDescent="0.2">
      <c r="A231" s="138" t="s">
        <v>175</v>
      </c>
      <c r="B231" s="88"/>
      <c r="C231" s="88"/>
      <c r="D231" s="88"/>
      <c r="E231" s="88"/>
      <c r="F231" s="39"/>
      <c r="G231" s="39">
        <f t="shared" ref="G231:U231" si="215">G230+G229</f>
        <v>3</v>
      </c>
      <c r="H231" s="39">
        <f t="shared" si="215"/>
        <v>7</v>
      </c>
      <c r="I231" s="39">
        <f t="shared" si="215"/>
        <v>8</v>
      </c>
      <c r="J231" s="39">
        <f t="shared" si="215"/>
        <v>10</v>
      </c>
      <c r="K231" s="39">
        <f t="shared" si="215"/>
        <v>28</v>
      </c>
      <c r="L231" s="39">
        <f t="shared" si="215"/>
        <v>11</v>
      </c>
      <c r="M231" s="39">
        <f t="shared" si="215"/>
        <v>16</v>
      </c>
      <c r="N231" s="39">
        <f t="shared" si="215"/>
        <v>19.25</v>
      </c>
      <c r="O231" s="39">
        <f t="shared" si="215"/>
        <v>23.25</v>
      </c>
      <c r="P231" s="39">
        <f t="shared" si="215"/>
        <v>69.5</v>
      </c>
      <c r="Q231" s="39">
        <f t="shared" si="215"/>
        <v>30</v>
      </c>
      <c r="R231" s="39">
        <f t="shared" si="215"/>
        <v>62</v>
      </c>
      <c r="S231" s="39">
        <f t="shared" si="215"/>
        <v>61</v>
      </c>
      <c r="T231" s="39">
        <f t="shared" si="215"/>
        <v>77</v>
      </c>
      <c r="U231" s="39">
        <f t="shared" si="215"/>
        <v>230</v>
      </c>
      <c r="V231" s="39">
        <f>V230+V229+1</f>
        <v>58</v>
      </c>
      <c r="W231" s="39">
        <f>W230+W229+1</f>
        <v>51</v>
      </c>
      <c r="X231" s="39">
        <f>X230+X229+1</f>
        <v>57</v>
      </c>
      <c r="Y231" s="39">
        <f>Y230+Y229+1</f>
        <v>56</v>
      </c>
      <c r="Z231" s="39">
        <f>Z230+Z229</f>
        <v>218</v>
      </c>
      <c r="AA231" s="39">
        <f>AA230+AA229+1</f>
        <v>60</v>
      </c>
      <c r="AB231" s="39">
        <f>AB230+AB229+1</f>
        <v>67</v>
      </c>
      <c r="AC231" s="39">
        <f t="shared" ref="AC231:BD231" si="216">AC230+AC229</f>
        <v>66</v>
      </c>
      <c r="AD231" s="39">
        <f t="shared" si="216"/>
        <v>74</v>
      </c>
      <c r="AE231" s="39">
        <f t="shared" si="216"/>
        <v>265</v>
      </c>
      <c r="AF231" s="39">
        <f t="shared" si="216"/>
        <v>80</v>
      </c>
      <c r="AG231" s="39">
        <f t="shared" si="216"/>
        <v>89</v>
      </c>
      <c r="AH231" s="39">
        <f t="shared" si="216"/>
        <v>76</v>
      </c>
      <c r="AI231" s="39">
        <f t="shared" si="216"/>
        <v>84</v>
      </c>
      <c r="AJ231" s="39">
        <f t="shared" si="216"/>
        <v>329</v>
      </c>
      <c r="AK231" s="39">
        <f t="shared" si="216"/>
        <v>93</v>
      </c>
      <c r="AL231" s="39">
        <f t="shared" si="216"/>
        <v>104</v>
      </c>
      <c r="AM231" s="39">
        <f t="shared" si="216"/>
        <v>97</v>
      </c>
      <c r="AN231" s="39">
        <f t="shared" si="216"/>
        <v>83</v>
      </c>
      <c r="AO231" s="39">
        <f t="shared" si="216"/>
        <v>377</v>
      </c>
      <c r="AP231" s="39">
        <f t="shared" si="216"/>
        <v>81</v>
      </c>
      <c r="AQ231" s="39">
        <f t="shared" si="216"/>
        <v>88</v>
      </c>
      <c r="AR231" s="39">
        <f t="shared" si="216"/>
        <v>90</v>
      </c>
      <c r="AS231" s="39">
        <f t="shared" si="216"/>
        <v>98</v>
      </c>
      <c r="AT231" s="39">
        <f t="shared" si="216"/>
        <v>357</v>
      </c>
      <c r="AU231" s="39">
        <f t="shared" si="216"/>
        <v>95</v>
      </c>
      <c r="AV231" s="39">
        <f t="shared" si="216"/>
        <v>95</v>
      </c>
      <c r="AW231" s="39">
        <f t="shared" si="216"/>
        <v>94</v>
      </c>
      <c r="AX231" s="39">
        <f t="shared" si="216"/>
        <v>115</v>
      </c>
      <c r="AY231" s="39">
        <f t="shared" si="216"/>
        <v>399</v>
      </c>
      <c r="AZ231" s="39">
        <f t="shared" si="216"/>
        <v>114</v>
      </c>
      <c r="BA231" s="39">
        <f t="shared" si="216"/>
        <v>100</v>
      </c>
      <c r="BB231" s="39">
        <f t="shared" si="216"/>
        <v>108</v>
      </c>
      <c r="BC231" s="39">
        <f t="shared" si="216"/>
        <v>110</v>
      </c>
      <c r="BD231" s="39">
        <f t="shared" si="216"/>
        <v>432</v>
      </c>
      <c r="BE231" s="39">
        <f>BE229+BE230</f>
        <v>112</v>
      </c>
      <c r="BF231" s="39">
        <f>BF229+BF230</f>
        <v>117</v>
      </c>
      <c r="BG231" s="39">
        <f>BG229+BG230</f>
        <v>109</v>
      </c>
      <c r="BH231" s="39">
        <f>BH229+BH230</f>
        <v>115</v>
      </c>
      <c r="BI231" s="39">
        <f t="shared" ref="BI231:CQ231" si="217">BI230+BI229</f>
        <v>453</v>
      </c>
      <c r="BJ231" s="39">
        <f t="shared" si="217"/>
        <v>121</v>
      </c>
      <c r="BK231" s="39">
        <f t="shared" si="217"/>
        <v>121</v>
      </c>
      <c r="BL231" s="39">
        <f t="shared" si="217"/>
        <v>112</v>
      </c>
      <c r="BM231" s="39">
        <f t="shared" si="217"/>
        <v>131</v>
      </c>
      <c r="BN231" s="39">
        <f t="shared" si="217"/>
        <v>485</v>
      </c>
      <c r="BO231" s="39">
        <f t="shared" si="217"/>
        <v>128</v>
      </c>
      <c r="BP231" s="39">
        <f t="shared" si="217"/>
        <v>141</v>
      </c>
      <c r="BQ231" s="39">
        <f t="shared" si="217"/>
        <v>132</v>
      </c>
      <c r="BR231" s="39">
        <f t="shared" si="217"/>
        <v>118</v>
      </c>
      <c r="BS231" s="39">
        <f t="shared" si="217"/>
        <v>519</v>
      </c>
      <c r="BT231" s="39">
        <f t="shared" si="217"/>
        <v>123</v>
      </c>
      <c r="BU231" s="39">
        <f t="shared" si="217"/>
        <v>115</v>
      </c>
      <c r="BV231" s="39">
        <f t="shared" si="217"/>
        <v>123</v>
      </c>
      <c r="BW231" s="39">
        <f t="shared" si="217"/>
        <v>110</v>
      </c>
      <c r="BX231" s="39">
        <f t="shared" si="217"/>
        <v>471</v>
      </c>
      <c r="BY231" s="39">
        <f t="shared" si="217"/>
        <v>111</v>
      </c>
      <c r="BZ231" s="39">
        <f t="shared" si="217"/>
        <v>117</v>
      </c>
      <c r="CA231" s="39">
        <f t="shared" si="217"/>
        <v>114</v>
      </c>
      <c r="CB231" s="39">
        <f t="shared" si="217"/>
        <v>108</v>
      </c>
      <c r="CC231" s="39">
        <f t="shared" si="217"/>
        <v>450</v>
      </c>
      <c r="CD231" s="39">
        <f t="shared" si="217"/>
        <v>103</v>
      </c>
      <c r="CE231" s="39">
        <f t="shared" si="217"/>
        <v>89</v>
      </c>
      <c r="CF231" s="39">
        <f t="shared" si="217"/>
        <v>80</v>
      </c>
      <c r="CG231" s="39">
        <f t="shared" si="217"/>
        <v>91</v>
      </c>
      <c r="CH231" s="39">
        <f t="shared" si="217"/>
        <v>363</v>
      </c>
      <c r="CI231" s="39">
        <f t="shared" si="217"/>
        <v>83</v>
      </c>
      <c r="CJ231" s="39">
        <f t="shared" si="217"/>
        <v>84</v>
      </c>
      <c r="CK231" s="39">
        <f t="shared" si="217"/>
        <v>83</v>
      </c>
      <c r="CL231" s="39">
        <f t="shared" si="217"/>
        <v>86</v>
      </c>
      <c r="CM231" s="39">
        <f t="shared" si="217"/>
        <v>336</v>
      </c>
      <c r="CN231" s="39">
        <f t="shared" si="217"/>
        <v>75</v>
      </c>
      <c r="CO231" s="39">
        <f t="shared" si="217"/>
        <v>75</v>
      </c>
      <c r="CP231" s="39">
        <f t="shared" si="217"/>
        <v>72</v>
      </c>
      <c r="CQ231" s="39">
        <f t="shared" si="217"/>
        <v>67</v>
      </c>
      <c r="CR231" s="39">
        <f>CR230+CR229</f>
        <v>289</v>
      </c>
      <c r="CS231" s="39">
        <f>CS230+CS229</f>
        <v>70</v>
      </c>
      <c r="CT231" s="39">
        <f>CT230+CT229</f>
        <v>65</v>
      </c>
      <c r="CU231" s="39">
        <f>CU230+CU229</f>
        <v>68</v>
      </c>
      <c r="CV231" s="39">
        <f>CV230+CV229</f>
        <v>54</v>
      </c>
      <c r="CW231" s="74">
        <f>SUM(CS231:CV231)</f>
        <v>257</v>
      </c>
      <c r="CX231" s="39">
        <f>SUM(CX229:CX230)</f>
        <v>56</v>
      </c>
      <c r="CY231" s="39"/>
      <c r="CZ231" s="39"/>
      <c r="DA231" s="39"/>
      <c r="DB231" s="74"/>
      <c r="DC231" s="74"/>
      <c r="DD231" s="74"/>
      <c r="DE231" s="74"/>
      <c r="DF231" s="74"/>
      <c r="DG231" s="39"/>
      <c r="DH231" s="39"/>
      <c r="DI231" s="39"/>
      <c r="DJ231" s="39"/>
      <c r="DK231" s="39"/>
      <c r="DL231" s="187"/>
      <c r="DM231" s="187"/>
      <c r="DN231" s="187"/>
      <c r="DO231" s="187"/>
      <c r="DP231" s="187"/>
    </row>
    <row r="232" spans="1:120" x14ac:dyDescent="0.2">
      <c r="A232" s="68" t="s">
        <v>54</v>
      </c>
      <c r="G232" s="76"/>
      <c r="H232" s="76"/>
      <c r="I232" s="76"/>
      <c r="J232" s="76"/>
      <c r="K232" s="76"/>
      <c r="L232" s="76"/>
      <c r="M232" s="76"/>
      <c r="N232" s="76"/>
      <c r="O232" s="89"/>
      <c r="P232" s="89"/>
      <c r="Q232" s="89"/>
      <c r="R232" s="90"/>
      <c r="S232" s="90"/>
      <c r="T232" s="90"/>
      <c r="U232" s="76"/>
      <c r="V232" s="90"/>
      <c r="W232" s="90"/>
      <c r="X232" s="90"/>
      <c r="Y232" s="90"/>
      <c r="Z232" s="76"/>
      <c r="AA232" s="90"/>
      <c r="AB232" s="90"/>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c r="BI232" s="90"/>
      <c r="BJ232" s="76"/>
      <c r="BK232" s="139"/>
      <c r="BL232" s="90"/>
      <c r="BM232" s="90"/>
      <c r="BN232" s="90"/>
      <c r="BO232" s="76"/>
      <c r="BP232" s="139"/>
      <c r="BQ232" s="90"/>
      <c r="BR232" s="90"/>
      <c r="BS232" s="76"/>
      <c r="BT232" s="76"/>
      <c r="BU232" s="139"/>
      <c r="BV232" s="90"/>
      <c r="BW232" s="90"/>
      <c r="BX232" s="76"/>
      <c r="BY232" s="76"/>
      <c r="BZ232" s="76"/>
      <c r="CA232" s="76"/>
      <c r="CB232" s="76"/>
      <c r="CC232" s="76"/>
      <c r="CD232" s="76"/>
      <c r="CE232" s="76"/>
      <c r="CF232" s="76"/>
      <c r="CG232" s="76"/>
      <c r="CH232" s="76"/>
      <c r="CI232" s="76"/>
      <c r="CJ232" s="76"/>
      <c r="CK232" s="76"/>
      <c r="CL232" s="76"/>
      <c r="CM232" s="76"/>
      <c r="CN232" s="76"/>
      <c r="CO232" s="76"/>
      <c r="CP232" s="76"/>
      <c r="CQ232" s="76"/>
      <c r="CR232" s="76"/>
      <c r="CS232" s="75"/>
      <c r="CT232" s="76"/>
      <c r="CU232" s="76"/>
      <c r="CV232" s="76"/>
      <c r="CW232" s="90"/>
      <c r="CX232" s="75"/>
      <c r="CY232" s="76"/>
      <c r="CZ232" s="76"/>
      <c r="DA232" s="76"/>
      <c r="DB232" s="90"/>
      <c r="DC232" s="90"/>
      <c r="DD232" s="90"/>
      <c r="DE232" s="90"/>
      <c r="DF232" s="90"/>
      <c r="DG232" s="76"/>
      <c r="DH232" s="76"/>
      <c r="DI232" s="76"/>
      <c r="DJ232" s="76"/>
      <c r="DK232" s="76"/>
      <c r="DL232" s="195"/>
      <c r="DM232" s="195"/>
      <c r="DN232" s="195"/>
      <c r="DO232" s="195"/>
      <c r="DP232" s="195"/>
    </row>
    <row r="233" spans="1:120" x14ac:dyDescent="0.2">
      <c r="A233" s="68" t="s">
        <v>55</v>
      </c>
      <c r="G233" s="76"/>
      <c r="H233" s="76"/>
      <c r="I233" s="76"/>
      <c r="J233" s="76"/>
      <c r="K233" s="76"/>
      <c r="L233" s="76">
        <f t="shared" ref="L233:BW234" si="218">L230/G230-1</f>
        <v>2.6666666666666665</v>
      </c>
      <c r="M233" s="76">
        <f t="shared" si="218"/>
        <v>1.2857142857142856</v>
      </c>
      <c r="N233" s="76">
        <f t="shared" si="218"/>
        <v>1.40625</v>
      </c>
      <c r="O233" s="76">
        <f t="shared" si="218"/>
        <v>1.3250000000000002</v>
      </c>
      <c r="P233" s="76">
        <f t="shared" si="218"/>
        <v>1.4821428571428572</v>
      </c>
      <c r="Q233" s="76">
        <f t="shared" si="218"/>
        <v>1.7272727272727271</v>
      </c>
      <c r="R233" s="76">
        <f t="shared" si="218"/>
        <v>2.875</v>
      </c>
      <c r="S233" s="76">
        <f t="shared" si="218"/>
        <v>2.168831168831169</v>
      </c>
      <c r="T233" s="76">
        <f t="shared" si="218"/>
        <v>2.3118279569892475</v>
      </c>
      <c r="U233" s="76">
        <f t="shared" si="218"/>
        <v>2.3093525179856114</v>
      </c>
      <c r="V233" s="90">
        <f t="shared" si="218"/>
        <v>0.89999999999999991</v>
      </c>
      <c r="W233" s="90">
        <f t="shared" si="218"/>
        <v>-0.19354838709677424</v>
      </c>
      <c r="X233" s="90">
        <f t="shared" si="218"/>
        <v>-8.1967213114754078E-2</v>
      </c>
      <c r="Y233" s="90">
        <f t="shared" si="218"/>
        <v>-0.2857142857142857</v>
      </c>
      <c r="Z233" s="76">
        <f t="shared" si="218"/>
        <v>-5.2173913043478293E-2</v>
      </c>
      <c r="AA233" s="90">
        <f t="shared" si="218"/>
        <v>3.5087719298245723E-2</v>
      </c>
      <c r="AB233" s="90">
        <f t="shared" si="218"/>
        <v>0.32000000000000006</v>
      </c>
      <c r="AC233" s="90">
        <f t="shared" si="218"/>
        <v>0.1785714285714286</v>
      </c>
      <c r="AD233" s="90">
        <f t="shared" si="218"/>
        <v>0.34545454545454546</v>
      </c>
      <c r="AE233" s="76">
        <f t="shared" si="218"/>
        <v>0.21559633027522929</v>
      </c>
      <c r="AF233" s="90">
        <f t="shared" si="218"/>
        <v>0.35593220338983045</v>
      </c>
      <c r="AG233" s="90">
        <f t="shared" si="218"/>
        <v>0.3484848484848484</v>
      </c>
      <c r="AH233" s="90">
        <f t="shared" si="218"/>
        <v>0.1515151515151516</v>
      </c>
      <c r="AI233" s="90">
        <f t="shared" si="218"/>
        <v>0.13513513513513509</v>
      </c>
      <c r="AJ233" s="76">
        <f t="shared" si="218"/>
        <v>0.2415094339622641</v>
      </c>
      <c r="AK233" s="90">
        <f t="shared" si="218"/>
        <v>0.16250000000000009</v>
      </c>
      <c r="AL233" s="90">
        <f t="shared" si="218"/>
        <v>0.1685393258426966</v>
      </c>
      <c r="AM233" s="90">
        <f t="shared" si="218"/>
        <v>0.27631578947368429</v>
      </c>
      <c r="AN233" s="90">
        <f t="shared" si="218"/>
        <v>-1.1904761904761862E-2</v>
      </c>
      <c r="AO233" s="76">
        <f t="shared" si="218"/>
        <v>0.14589665653495443</v>
      </c>
      <c r="AP233" s="90">
        <f t="shared" si="218"/>
        <v>-0.12903225806451613</v>
      </c>
      <c r="AQ233" s="90">
        <f t="shared" si="218"/>
        <v>-0.15384615384615385</v>
      </c>
      <c r="AR233" s="90">
        <f t="shared" si="218"/>
        <v>-7.2164948453608213E-2</v>
      </c>
      <c r="AS233" s="90">
        <f t="shared" si="218"/>
        <v>0.18072289156626509</v>
      </c>
      <c r="AT233" s="76">
        <f t="shared" si="218"/>
        <v>-5.3050397877984046E-2</v>
      </c>
      <c r="AU233" s="90">
        <f t="shared" si="218"/>
        <v>0.17283950617283961</v>
      </c>
      <c r="AV233" s="90">
        <f t="shared" si="218"/>
        <v>7.9545454545454586E-2</v>
      </c>
      <c r="AW233" s="90">
        <f t="shared" si="218"/>
        <v>4.4444444444444509E-2</v>
      </c>
      <c r="AX233" s="90">
        <f t="shared" si="218"/>
        <v>0.17346938775510212</v>
      </c>
      <c r="AY233" s="76">
        <f t="shared" si="218"/>
        <v>0.11764705882352944</v>
      </c>
      <c r="AZ233" s="90">
        <f t="shared" si="218"/>
        <v>0.19999999999999996</v>
      </c>
      <c r="BA233" s="90">
        <f t="shared" si="218"/>
        <v>5.2631578947368363E-2</v>
      </c>
      <c r="BB233" s="90">
        <f t="shared" si="218"/>
        <v>0.14893617021276606</v>
      </c>
      <c r="BC233" s="90">
        <f t="shared" si="218"/>
        <v>-4.3478260869565188E-2</v>
      </c>
      <c r="BD233" s="76">
        <f t="shared" si="218"/>
        <v>8.2706766917293173E-2</v>
      </c>
      <c r="BE233" s="76">
        <f t="shared" si="218"/>
        <v>-1.7543859649122862E-2</v>
      </c>
      <c r="BF233" s="76">
        <f t="shared" si="218"/>
        <v>0.16999999999999993</v>
      </c>
      <c r="BG233" s="76">
        <f t="shared" si="218"/>
        <v>9.2592592592593004E-3</v>
      </c>
      <c r="BH233" s="76">
        <f t="shared" si="218"/>
        <v>4.5454545454545414E-2</v>
      </c>
      <c r="BI233" s="90">
        <f t="shared" si="218"/>
        <v>4.861111111111116E-2</v>
      </c>
      <c r="BJ233" s="76">
        <f t="shared" si="218"/>
        <v>8.0357142857142794E-2</v>
      </c>
      <c r="BK233" s="76">
        <f t="shared" si="218"/>
        <v>3.4188034188034289E-2</v>
      </c>
      <c r="BL233" s="76">
        <f t="shared" si="218"/>
        <v>2.7522935779816571E-2</v>
      </c>
      <c r="BM233" s="76">
        <f t="shared" si="218"/>
        <v>0.13913043478260878</v>
      </c>
      <c r="BN233" s="90">
        <f t="shared" si="218"/>
        <v>7.0640176600441418E-2</v>
      </c>
      <c r="BO233" s="76">
        <f t="shared" si="218"/>
        <v>5.7851239669421517E-2</v>
      </c>
      <c r="BP233" s="76">
        <f t="shared" si="218"/>
        <v>0.165289256198347</v>
      </c>
      <c r="BQ233" s="76">
        <f t="shared" si="218"/>
        <v>0.1785714285714286</v>
      </c>
      <c r="BR233" s="76">
        <f t="shared" si="218"/>
        <v>-9.92366412213741E-2</v>
      </c>
      <c r="BS233" s="90">
        <f t="shared" si="218"/>
        <v>7.0103092783505128E-2</v>
      </c>
      <c r="BT233" s="76">
        <f t="shared" si="218"/>
        <v>-3.90625E-2</v>
      </c>
      <c r="BU233" s="76">
        <f t="shared" si="218"/>
        <v>-0.18439716312056742</v>
      </c>
      <c r="BV233" s="76">
        <f t="shared" si="218"/>
        <v>-6.8181818181818232E-2</v>
      </c>
      <c r="BW233" s="76">
        <f t="shared" si="218"/>
        <v>-6.7796610169491567E-2</v>
      </c>
      <c r="BX233" s="90">
        <f t="shared" ref="BX233:CV234" si="219">BX230/BS230-1</f>
        <v>-9.2485549132947931E-2</v>
      </c>
      <c r="BY233" s="76">
        <f t="shared" si="219"/>
        <v>-9.7560975609756073E-2</v>
      </c>
      <c r="BZ233" s="76">
        <f t="shared" si="219"/>
        <v>1.7391304347825987E-2</v>
      </c>
      <c r="CA233" s="76">
        <f t="shared" si="219"/>
        <v>-7.3170731707317027E-2</v>
      </c>
      <c r="CB233" s="76">
        <f t="shared" si="219"/>
        <v>-1.8181818181818188E-2</v>
      </c>
      <c r="CC233" s="90">
        <f t="shared" si="219"/>
        <v>-4.4585987261146487E-2</v>
      </c>
      <c r="CD233" s="76">
        <f t="shared" si="219"/>
        <v>-7.2072072072072113E-2</v>
      </c>
      <c r="CE233" s="76">
        <f t="shared" si="219"/>
        <v>-0.23931623931623935</v>
      </c>
      <c r="CF233" s="76">
        <f t="shared" si="219"/>
        <v>-0.29824561403508776</v>
      </c>
      <c r="CG233" s="76">
        <f t="shared" si="219"/>
        <v>-0.15740740740740744</v>
      </c>
      <c r="CH233" s="90">
        <f t="shared" si="219"/>
        <v>-0.19333333333333336</v>
      </c>
      <c r="CI233" s="76">
        <f t="shared" si="219"/>
        <v>-0.19417475728155342</v>
      </c>
      <c r="CJ233" s="76">
        <f t="shared" si="219"/>
        <v>-5.6179775280898903E-2</v>
      </c>
      <c r="CK233" s="76">
        <f t="shared" si="219"/>
        <v>3.7500000000000089E-2</v>
      </c>
      <c r="CL233" s="76">
        <f t="shared" si="219"/>
        <v>-5.4945054945054972E-2</v>
      </c>
      <c r="CM233" s="90">
        <f t="shared" si="219"/>
        <v>-7.4380165289256173E-2</v>
      </c>
      <c r="CN233" s="90">
        <f t="shared" si="219"/>
        <v>-9.6385542168674676E-2</v>
      </c>
      <c r="CO233" s="90">
        <f t="shared" si="219"/>
        <v>-0.1071428571428571</v>
      </c>
      <c r="CP233" s="90">
        <f t="shared" si="219"/>
        <v>-0.13253012048192769</v>
      </c>
      <c r="CQ233" s="90">
        <f t="shared" si="219"/>
        <v>-0.22093023255813948</v>
      </c>
      <c r="CR233" s="90">
        <f>CR230/CM230-1</f>
        <v>-0.13988095238095233</v>
      </c>
      <c r="CS233" s="90">
        <f t="shared" si="219"/>
        <v>-6.6666666666666652E-2</v>
      </c>
      <c r="CT233" s="90">
        <f t="shared" si="219"/>
        <v>-0.1333333333333333</v>
      </c>
      <c r="CU233" s="90">
        <f t="shared" si="219"/>
        <v>-5.555555555555558E-2</v>
      </c>
      <c r="CV233" s="90">
        <f t="shared" si="219"/>
        <v>-0.19402985074626866</v>
      </c>
      <c r="CW233" s="90">
        <f>CW230/CR230-1</f>
        <v>-0.11072664359861595</v>
      </c>
      <c r="CX233" s="90">
        <f>CX230/CS230-1</f>
        <v>-0.19999999999999996</v>
      </c>
      <c r="CY233" s="90"/>
      <c r="CZ233" s="90"/>
      <c r="DA233" s="90"/>
      <c r="DB233" s="90"/>
      <c r="DC233" s="90"/>
      <c r="DD233" s="90"/>
      <c r="DE233" s="90"/>
      <c r="DF233" s="90"/>
      <c r="DG233" s="90"/>
      <c r="DH233" s="90"/>
      <c r="DI233" s="90"/>
      <c r="DJ233" s="90"/>
      <c r="DK233" s="90"/>
      <c r="DL233" s="188"/>
      <c r="DM233" s="188"/>
      <c r="DN233" s="188"/>
      <c r="DO233" s="188"/>
      <c r="DP233" s="188"/>
    </row>
    <row r="234" spans="1:120" x14ac:dyDescent="0.2">
      <c r="A234" s="78" t="s">
        <v>56</v>
      </c>
      <c r="B234" s="79"/>
      <c r="C234" s="79"/>
      <c r="D234" s="79"/>
      <c r="E234" s="79"/>
      <c r="F234" s="79"/>
      <c r="G234" s="80"/>
      <c r="H234" s="80"/>
      <c r="I234" s="80"/>
      <c r="J234" s="80"/>
      <c r="K234" s="80"/>
      <c r="L234" s="80">
        <f t="shared" si="218"/>
        <v>2.6666666666666665</v>
      </c>
      <c r="M234" s="80">
        <f t="shared" si="218"/>
        <v>1.2857142857142856</v>
      </c>
      <c r="N234" s="80">
        <f t="shared" si="218"/>
        <v>1.40625</v>
      </c>
      <c r="O234" s="80">
        <f t="shared" si="218"/>
        <v>1.3250000000000002</v>
      </c>
      <c r="P234" s="80">
        <f t="shared" si="218"/>
        <v>1.4821428571428572</v>
      </c>
      <c r="Q234" s="80">
        <f t="shared" si="218"/>
        <v>1.7272727272727271</v>
      </c>
      <c r="R234" s="80">
        <f t="shared" si="218"/>
        <v>2.875</v>
      </c>
      <c r="S234" s="80">
        <f t="shared" si="218"/>
        <v>2.168831168831169</v>
      </c>
      <c r="T234" s="80">
        <f t="shared" si="218"/>
        <v>2.3118279569892475</v>
      </c>
      <c r="U234" s="80">
        <f t="shared" si="218"/>
        <v>2.3093525179856114</v>
      </c>
      <c r="V234" s="80">
        <f t="shared" si="218"/>
        <v>0.93333333333333335</v>
      </c>
      <c r="W234" s="80">
        <f t="shared" si="218"/>
        <v>-0.17741935483870963</v>
      </c>
      <c r="X234" s="80">
        <f t="shared" si="218"/>
        <v>-6.557377049180324E-2</v>
      </c>
      <c r="Y234" s="80">
        <f t="shared" si="218"/>
        <v>-0.27272727272727271</v>
      </c>
      <c r="Z234" s="80">
        <f t="shared" si="218"/>
        <v>-5.2173913043478293E-2</v>
      </c>
      <c r="AA234" s="80">
        <f t="shared" si="218"/>
        <v>3.4482758620689724E-2</v>
      </c>
      <c r="AB234" s="80">
        <f t="shared" si="218"/>
        <v>0.31372549019607843</v>
      </c>
      <c r="AC234" s="80">
        <f t="shared" si="218"/>
        <v>0.15789473684210531</v>
      </c>
      <c r="AD234" s="80">
        <f t="shared" si="218"/>
        <v>0.3214285714285714</v>
      </c>
      <c r="AE234" s="80">
        <f t="shared" si="218"/>
        <v>0.21559633027522929</v>
      </c>
      <c r="AF234" s="80">
        <f t="shared" si="218"/>
        <v>0.33333333333333326</v>
      </c>
      <c r="AG234" s="80">
        <f t="shared" si="218"/>
        <v>0.32835820895522394</v>
      </c>
      <c r="AH234" s="80">
        <f t="shared" si="218"/>
        <v>0.1515151515151516</v>
      </c>
      <c r="AI234" s="80">
        <f t="shared" si="218"/>
        <v>0.13513513513513509</v>
      </c>
      <c r="AJ234" s="80">
        <f t="shared" si="218"/>
        <v>0.2415094339622641</v>
      </c>
      <c r="AK234" s="80">
        <f t="shared" si="218"/>
        <v>0.16250000000000009</v>
      </c>
      <c r="AL234" s="80">
        <f t="shared" si="218"/>
        <v>0.1685393258426966</v>
      </c>
      <c r="AM234" s="80">
        <f t="shared" si="218"/>
        <v>0.27631578947368429</v>
      </c>
      <c r="AN234" s="80">
        <f t="shared" si="218"/>
        <v>-1.1904761904761862E-2</v>
      </c>
      <c r="AO234" s="80">
        <f t="shared" si="218"/>
        <v>0.14589665653495443</v>
      </c>
      <c r="AP234" s="80">
        <f t="shared" si="218"/>
        <v>-0.12903225806451613</v>
      </c>
      <c r="AQ234" s="80">
        <f t="shared" si="218"/>
        <v>-0.15384615384615385</v>
      </c>
      <c r="AR234" s="80">
        <f t="shared" si="218"/>
        <v>-7.2164948453608213E-2</v>
      </c>
      <c r="AS234" s="80">
        <f t="shared" si="218"/>
        <v>0.18072289156626509</v>
      </c>
      <c r="AT234" s="80">
        <f t="shared" si="218"/>
        <v>-5.3050397877984046E-2</v>
      </c>
      <c r="AU234" s="80">
        <f t="shared" si="218"/>
        <v>0.17283950617283961</v>
      </c>
      <c r="AV234" s="80">
        <f t="shared" si="218"/>
        <v>7.9545454545454586E-2</v>
      </c>
      <c r="AW234" s="80">
        <f t="shared" si="218"/>
        <v>4.4444444444444509E-2</v>
      </c>
      <c r="AX234" s="80">
        <f t="shared" si="218"/>
        <v>0.17346938775510212</v>
      </c>
      <c r="AY234" s="80">
        <f t="shared" si="218"/>
        <v>0.11764705882352944</v>
      </c>
      <c r="AZ234" s="80">
        <f t="shared" si="218"/>
        <v>0.19999999999999996</v>
      </c>
      <c r="BA234" s="80">
        <f t="shared" si="218"/>
        <v>5.2631578947368363E-2</v>
      </c>
      <c r="BB234" s="80">
        <f t="shared" si="218"/>
        <v>0.14893617021276606</v>
      </c>
      <c r="BC234" s="80">
        <f t="shared" si="218"/>
        <v>-4.3478260869565188E-2</v>
      </c>
      <c r="BD234" s="80">
        <f t="shared" si="218"/>
        <v>8.2706766917293173E-2</v>
      </c>
      <c r="BE234" s="80">
        <f t="shared" si="218"/>
        <v>-1.7543859649122862E-2</v>
      </c>
      <c r="BF234" s="80">
        <f t="shared" si="218"/>
        <v>0.16999999999999993</v>
      </c>
      <c r="BG234" s="80">
        <f>BG231/BB231-1</f>
        <v>9.2592592592593004E-3</v>
      </c>
      <c r="BH234" s="80">
        <f>BH231/BC231-1</f>
        <v>4.5454545454545414E-2</v>
      </c>
      <c r="BI234" s="80">
        <f t="shared" si="218"/>
        <v>4.861111111111116E-2</v>
      </c>
      <c r="BJ234" s="80">
        <f t="shared" si="218"/>
        <v>8.0357142857142794E-2</v>
      </c>
      <c r="BK234" s="91">
        <f t="shared" si="218"/>
        <v>3.4188034188034289E-2</v>
      </c>
      <c r="BL234" s="91">
        <f t="shared" si="218"/>
        <v>2.7522935779816571E-2</v>
      </c>
      <c r="BM234" s="91">
        <f t="shared" si="218"/>
        <v>0.13913043478260878</v>
      </c>
      <c r="BN234" s="80">
        <f t="shared" si="218"/>
        <v>7.0640176600441418E-2</v>
      </c>
      <c r="BO234" s="80">
        <f t="shared" si="218"/>
        <v>5.7851239669421517E-2</v>
      </c>
      <c r="BP234" s="91">
        <f t="shared" si="218"/>
        <v>0.165289256198347</v>
      </c>
      <c r="BQ234" s="91">
        <f t="shared" si="218"/>
        <v>0.1785714285714286</v>
      </c>
      <c r="BR234" s="91">
        <f t="shared" si="218"/>
        <v>-9.92366412213741E-2</v>
      </c>
      <c r="BS234" s="80">
        <f t="shared" si="218"/>
        <v>7.0103092783505128E-2</v>
      </c>
      <c r="BT234" s="80">
        <f t="shared" si="218"/>
        <v>-3.90625E-2</v>
      </c>
      <c r="BU234" s="80">
        <f t="shared" si="218"/>
        <v>-0.18439716312056742</v>
      </c>
      <c r="BV234" s="91">
        <f t="shared" si="218"/>
        <v>-6.8181818181818232E-2</v>
      </c>
      <c r="BW234" s="91">
        <f t="shared" si="218"/>
        <v>-6.7796610169491567E-2</v>
      </c>
      <c r="BX234" s="80">
        <f t="shared" si="219"/>
        <v>-9.2485549132947931E-2</v>
      </c>
      <c r="BY234" s="80">
        <f t="shared" si="219"/>
        <v>-9.7560975609756073E-2</v>
      </c>
      <c r="BZ234" s="80">
        <f t="shared" si="219"/>
        <v>1.7391304347825987E-2</v>
      </c>
      <c r="CA234" s="80">
        <f t="shared" si="219"/>
        <v>-7.3170731707317027E-2</v>
      </c>
      <c r="CB234" s="80">
        <f t="shared" si="219"/>
        <v>-1.8181818181818188E-2</v>
      </c>
      <c r="CC234" s="80">
        <f t="shared" si="219"/>
        <v>-4.4585987261146487E-2</v>
      </c>
      <c r="CD234" s="80">
        <f t="shared" si="219"/>
        <v>-7.2072072072072113E-2</v>
      </c>
      <c r="CE234" s="80">
        <f t="shared" si="219"/>
        <v>-0.23931623931623935</v>
      </c>
      <c r="CF234" s="80">
        <f t="shared" si="219"/>
        <v>-0.29824561403508776</v>
      </c>
      <c r="CG234" s="80">
        <f t="shared" si="219"/>
        <v>-0.15740740740740744</v>
      </c>
      <c r="CH234" s="80">
        <f t="shared" si="219"/>
        <v>-0.19333333333333336</v>
      </c>
      <c r="CI234" s="80">
        <f>CI231/CD231-1</f>
        <v>-0.19417475728155342</v>
      </c>
      <c r="CJ234" s="80">
        <f>CJ231/CE231-1</f>
        <v>-5.6179775280898903E-2</v>
      </c>
      <c r="CK234" s="80">
        <f>CK231/CF231-1</f>
        <v>3.7500000000000089E-2</v>
      </c>
      <c r="CL234" s="80">
        <f>CL231/CG231-1</f>
        <v>-5.4945054945054972E-2</v>
      </c>
      <c r="CM234" s="80">
        <f t="shared" si="219"/>
        <v>-7.4380165289256173E-2</v>
      </c>
      <c r="CN234" s="80">
        <f t="shared" si="219"/>
        <v>-9.6385542168674676E-2</v>
      </c>
      <c r="CO234" s="80">
        <f t="shared" si="219"/>
        <v>-0.1071428571428571</v>
      </c>
      <c r="CP234" s="80">
        <f t="shared" si="219"/>
        <v>-0.13253012048192769</v>
      </c>
      <c r="CQ234" s="80">
        <f t="shared" si="219"/>
        <v>-0.22093023255813948</v>
      </c>
      <c r="CR234" s="80">
        <f>CR231/CM231-1</f>
        <v>-0.13988095238095233</v>
      </c>
      <c r="CS234" s="80">
        <f t="shared" si="219"/>
        <v>-6.6666666666666652E-2</v>
      </c>
      <c r="CT234" s="80">
        <f t="shared" si="219"/>
        <v>-0.1333333333333333</v>
      </c>
      <c r="CU234" s="80">
        <f t="shared" si="219"/>
        <v>-5.555555555555558E-2</v>
      </c>
      <c r="CV234" s="80">
        <f t="shared" si="219"/>
        <v>-0.19402985074626866</v>
      </c>
      <c r="CW234" s="80">
        <f>CW231/CR231-1</f>
        <v>-0.11072664359861595</v>
      </c>
      <c r="CX234" s="80">
        <f>CX231/CS231-1</f>
        <v>-0.19999999999999996</v>
      </c>
      <c r="CY234" s="80"/>
      <c r="CZ234" s="80"/>
      <c r="DA234" s="80"/>
      <c r="DB234" s="80"/>
      <c r="DC234" s="80"/>
      <c r="DD234" s="80"/>
      <c r="DE234" s="80"/>
      <c r="DF234" s="80"/>
      <c r="DG234" s="80"/>
      <c r="DH234" s="80"/>
      <c r="DI234" s="80"/>
      <c r="DJ234" s="80"/>
      <c r="DK234" s="80"/>
      <c r="DL234" s="189"/>
      <c r="DM234" s="189"/>
      <c r="DN234" s="189"/>
      <c r="DO234" s="189"/>
      <c r="DP234" s="189"/>
    </row>
    <row r="235" spans="1:120" x14ac:dyDescent="0.2">
      <c r="A235" s="36" t="s">
        <v>176</v>
      </c>
      <c r="G235" s="36"/>
      <c r="H235" s="36"/>
      <c r="I235" s="36"/>
      <c r="J235" s="36"/>
      <c r="K235" s="36"/>
      <c r="L235" s="36">
        <v>34.4</v>
      </c>
      <c r="M235" s="36">
        <v>115</v>
      </c>
      <c r="N235" s="36">
        <v>74.400000000000006</v>
      </c>
      <c r="O235" s="36">
        <v>77.5</v>
      </c>
      <c r="P235" s="36">
        <f>O235+N235+M235+L235</f>
        <v>301.29999999999995</v>
      </c>
      <c r="Q235" s="36">
        <v>82</v>
      </c>
      <c r="R235" s="36">
        <v>85</v>
      </c>
      <c r="S235" s="36">
        <v>104</v>
      </c>
      <c r="T235" s="36">
        <v>81.2</v>
      </c>
      <c r="U235" s="36">
        <f>T235+S235+R235+Q235</f>
        <v>352.2</v>
      </c>
      <c r="V235" s="36">
        <v>109</v>
      </c>
      <c r="W235" s="36">
        <v>115</v>
      </c>
      <c r="X235" s="36">
        <v>109</v>
      </c>
      <c r="Y235" s="36">
        <v>115</v>
      </c>
      <c r="Z235" s="36">
        <f>Y235+X235+W235+V235</f>
        <v>448</v>
      </c>
      <c r="AA235" s="36">
        <v>144</v>
      </c>
      <c r="AB235" s="36">
        <v>144</v>
      </c>
      <c r="AC235" s="36">
        <v>153</v>
      </c>
      <c r="AD235" s="36">
        <v>171</v>
      </c>
      <c r="AE235" s="36">
        <f>AD235+AC235+AB235+AA235</f>
        <v>612</v>
      </c>
      <c r="AF235" s="36">
        <v>117</v>
      </c>
      <c r="AG235" s="36">
        <v>175</v>
      </c>
      <c r="AH235" s="36">
        <v>153</v>
      </c>
      <c r="AI235" s="36">
        <v>162</v>
      </c>
      <c r="AJ235" s="36">
        <f>AI235+AH235+AG235+AF235</f>
        <v>607</v>
      </c>
      <c r="AK235" s="36">
        <v>172</v>
      </c>
      <c r="AL235" s="36">
        <v>166</v>
      </c>
      <c r="AM235" s="36">
        <v>141</v>
      </c>
      <c r="AN235" s="36">
        <v>166</v>
      </c>
      <c r="AO235" s="36">
        <f>AN235+AM235+AL235+AK235</f>
        <v>645</v>
      </c>
      <c r="AP235" s="36">
        <v>158</v>
      </c>
      <c r="AQ235" s="36">
        <v>183</v>
      </c>
      <c r="AR235" s="36">
        <v>151</v>
      </c>
      <c r="AS235" s="36">
        <v>157</v>
      </c>
      <c r="AT235" s="36">
        <f>AS235+AR235+AQ235+AP235</f>
        <v>649</v>
      </c>
      <c r="AU235" s="36">
        <v>155</v>
      </c>
      <c r="AV235" s="36">
        <v>196</v>
      </c>
      <c r="AW235" s="36">
        <v>142</v>
      </c>
      <c r="AX235" s="36">
        <v>146</v>
      </c>
      <c r="AY235" s="36">
        <f>AX235+AW235+AV235+AU235</f>
        <v>639</v>
      </c>
      <c r="AZ235" s="36">
        <v>156</v>
      </c>
      <c r="BA235" s="36">
        <v>148</v>
      </c>
      <c r="BB235" s="36">
        <v>135</v>
      </c>
      <c r="BC235" s="36">
        <v>163</v>
      </c>
      <c r="BD235" s="36">
        <f>BC235+BB235+BA235+AZ235</f>
        <v>602</v>
      </c>
      <c r="BE235" s="36">
        <v>161</v>
      </c>
      <c r="BF235" s="36">
        <v>141</v>
      </c>
      <c r="BG235" s="36">
        <v>156</v>
      </c>
      <c r="BH235" s="36">
        <v>138</v>
      </c>
      <c r="BI235" s="36">
        <f>SUM(BE235:BH235)</f>
        <v>596</v>
      </c>
      <c r="BJ235" s="36">
        <v>150</v>
      </c>
      <c r="BK235" s="36">
        <v>177</v>
      </c>
      <c r="BL235" s="36">
        <v>179</v>
      </c>
      <c r="BM235" s="36">
        <v>174</v>
      </c>
      <c r="BN235" s="36">
        <f>SUM(BJ235:BM235)</f>
        <v>680</v>
      </c>
      <c r="BO235" s="36">
        <v>133</v>
      </c>
      <c r="BP235" s="36">
        <v>141</v>
      </c>
      <c r="BQ235" s="36">
        <v>154</v>
      </c>
      <c r="BR235" s="36">
        <v>148</v>
      </c>
      <c r="BS235" s="36">
        <f>SUM(BO235:BR235)</f>
        <v>576</v>
      </c>
      <c r="BT235" s="36">
        <v>143</v>
      </c>
      <c r="BU235" s="36">
        <v>124</v>
      </c>
      <c r="BV235" s="36">
        <v>41</v>
      </c>
      <c r="BW235" s="36">
        <v>140</v>
      </c>
      <c r="BX235" s="36">
        <f>SUM(BT235:BW235)</f>
        <v>448</v>
      </c>
      <c r="BY235" s="36">
        <v>112</v>
      </c>
      <c r="BZ235" s="36">
        <v>29</v>
      </c>
      <c r="CA235" s="36">
        <v>20</v>
      </c>
      <c r="CB235" s="36">
        <v>24</v>
      </c>
      <c r="CC235" s="36">
        <f>SUM(BY235:CB235)</f>
        <v>185</v>
      </c>
      <c r="CD235" s="36">
        <v>18</v>
      </c>
      <c r="CE235" s="36">
        <v>21</v>
      </c>
      <c r="CF235" s="36">
        <v>-23</v>
      </c>
      <c r="CG235" s="36">
        <v>37</v>
      </c>
      <c r="CH235" s="36">
        <f>SUM(CD235:CG235)</f>
        <v>53</v>
      </c>
      <c r="CI235" s="36">
        <v>1</v>
      </c>
      <c r="CJ235" s="36">
        <v>0</v>
      </c>
      <c r="CK235" s="36">
        <v>7</v>
      </c>
      <c r="CL235" s="36">
        <v>15</v>
      </c>
      <c r="CM235" s="36">
        <f>SUM(CI235:CL235)</f>
        <v>23</v>
      </c>
      <c r="CN235" s="36">
        <v>-1</v>
      </c>
      <c r="CO235" s="36">
        <v>-1</v>
      </c>
      <c r="CP235" s="36">
        <v>4</v>
      </c>
      <c r="CQ235" s="36">
        <v>7</v>
      </c>
      <c r="CR235" s="36">
        <f>SUM(CN235:CQ235)</f>
        <v>9</v>
      </c>
      <c r="CS235" s="36">
        <v>6</v>
      </c>
      <c r="CT235" s="36">
        <v>4</v>
      </c>
      <c r="CU235" s="36">
        <v>0</v>
      </c>
      <c r="CV235" s="36">
        <v>3</v>
      </c>
      <c r="CW235" s="72">
        <f>SUM(CS235:CV235)</f>
        <v>13</v>
      </c>
      <c r="CX235" s="36">
        <v>2</v>
      </c>
      <c r="CY235" s="36"/>
      <c r="CZ235" s="36"/>
      <c r="DA235" s="36"/>
      <c r="DB235" s="72"/>
      <c r="DC235" s="72"/>
      <c r="DD235" s="72"/>
      <c r="DE235" s="72"/>
      <c r="DF235" s="72"/>
      <c r="DG235" s="36"/>
      <c r="DH235" s="36"/>
      <c r="DI235" s="36"/>
      <c r="DJ235" s="36"/>
      <c r="DK235" s="36"/>
      <c r="DL235" s="183"/>
      <c r="DM235" s="183"/>
      <c r="DN235" s="183"/>
      <c r="DO235" s="183"/>
      <c r="DP235" s="183"/>
    </row>
    <row r="236" spans="1:120" x14ac:dyDescent="0.2">
      <c r="A236" s="36" t="s">
        <v>177</v>
      </c>
      <c r="G236" s="36"/>
      <c r="H236" s="36"/>
      <c r="I236" s="36"/>
      <c r="J236" s="36"/>
      <c r="K236" s="36"/>
      <c r="L236" s="36">
        <v>44.4</v>
      </c>
      <c r="M236" s="36">
        <v>60</v>
      </c>
      <c r="N236" s="36">
        <v>39.4</v>
      </c>
      <c r="O236" s="36">
        <v>54.9</v>
      </c>
      <c r="P236" s="36">
        <f>O236+N236+M236+L236</f>
        <v>198.70000000000002</v>
      </c>
      <c r="Q236" s="36">
        <v>58</v>
      </c>
      <c r="R236" s="36">
        <v>71.2</v>
      </c>
      <c r="S236" s="36">
        <v>48.2</v>
      </c>
      <c r="T236" s="36">
        <v>64</v>
      </c>
      <c r="U236" s="36">
        <f>T236+S236+R236+Q236</f>
        <v>241.4</v>
      </c>
      <c r="V236" s="36">
        <v>74</v>
      </c>
      <c r="W236" s="36">
        <v>84</v>
      </c>
      <c r="X236" s="36">
        <v>61</v>
      </c>
      <c r="Y236" s="36">
        <v>70</v>
      </c>
      <c r="Z236" s="36">
        <f>Y236+X236+W236+V236</f>
        <v>289</v>
      </c>
      <c r="AA236" s="36">
        <v>85</v>
      </c>
      <c r="AB236" s="36">
        <v>98</v>
      </c>
      <c r="AC236" s="36">
        <v>68</v>
      </c>
      <c r="AD236" s="36">
        <v>82</v>
      </c>
      <c r="AE236" s="36">
        <f>AD236+AC236+AB236+AA236</f>
        <v>333</v>
      </c>
      <c r="AF236" s="36">
        <v>107</v>
      </c>
      <c r="AG236" s="36">
        <v>120</v>
      </c>
      <c r="AH236" s="36">
        <v>89</v>
      </c>
      <c r="AI236" s="36">
        <v>109</v>
      </c>
      <c r="AJ236" s="36">
        <f>AI236+AH236+AG236+AF236</f>
        <v>425</v>
      </c>
      <c r="AK236" s="36">
        <v>135</v>
      </c>
      <c r="AL236" s="36">
        <v>145</v>
      </c>
      <c r="AM236" s="36">
        <v>117</v>
      </c>
      <c r="AN236" s="36">
        <v>114</v>
      </c>
      <c r="AO236" s="36">
        <f>AN236+AM236+AL236+AK236</f>
        <v>511</v>
      </c>
      <c r="AP236" s="36">
        <v>148</v>
      </c>
      <c r="AQ236" s="36">
        <v>138</v>
      </c>
      <c r="AR236" s="36">
        <v>115</v>
      </c>
      <c r="AS236" s="36">
        <v>129</v>
      </c>
      <c r="AT236" s="36">
        <f>AS236+AR236+AQ236+AP236</f>
        <v>530</v>
      </c>
      <c r="AU236" s="36">
        <v>164</v>
      </c>
      <c r="AV236" s="36">
        <v>142</v>
      </c>
      <c r="AW236" s="36">
        <v>118</v>
      </c>
      <c r="AX236" s="36">
        <v>157</v>
      </c>
      <c r="AY236" s="36">
        <f>AX236+AW236+AV236+AU236</f>
        <v>581</v>
      </c>
      <c r="AZ236" s="36">
        <v>216</v>
      </c>
      <c r="BA236" s="36">
        <v>175</v>
      </c>
      <c r="BB236" s="36">
        <v>130</v>
      </c>
      <c r="BC236" s="36">
        <v>161</v>
      </c>
      <c r="BD236" s="36">
        <f>BC236+BB236+BA236+AZ236</f>
        <v>682</v>
      </c>
      <c r="BE236" s="36">
        <v>213</v>
      </c>
      <c r="BF236" s="36">
        <v>152</v>
      </c>
      <c r="BG236" s="36">
        <v>136</v>
      </c>
      <c r="BH236" s="36">
        <v>169</v>
      </c>
      <c r="BI236" s="36">
        <f>SUM(BE236:BH236)</f>
        <v>670</v>
      </c>
      <c r="BJ236" s="36">
        <v>235</v>
      </c>
      <c r="BK236" s="36">
        <v>148</v>
      </c>
      <c r="BL236" s="36">
        <v>118</v>
      </c>
      <c r="BM236" s="36">
        <v>153</v>
      </c>
      <c r="BN236" s="36">
        <f>SUM(BJ236:BM236)</f>
        <v>654</v>
      </c>
      <c r="BO236" s="36">
        <v>179</v>
      </c>
      <c r="BP236" s="36">
        <v>117</v>
      </c>
      <c r="BQ236" s="36">
        <v>107</v>
      </c>
      <c r="BR236" s="36">
        <v>120</v>
      </c>
      <c r="BS236" s="36">
        <f>SUM(BO236:BR236)</f>
        <v>523</v>
      </c>
      <c r="BT236" s="36">
        <v>146</v>
      </c>
      <c r="BU236" s="36">
        <v>91</v>
      </c>
      <c r="BV236" s="36">
        <v>80</v>
      </c>
      <c r="BW236" s="36">
        <v>91</v>
      </c>
      <c r="BX236" s="36">
        <f>SUM(BT236:BW236)</f>
        <v>408</v>
      </c>
      <c r="BY236" s="36">
        <v>117</v>
      </c>
      <c r="BZ236" s="36">
        <v>72</v>
      </c>
      <c r="CA236" s="36">
        <v>74</v>
      </c>
      <c r="CB236" s="36">
        <v>88</v>
      </c>
      <c r="CC236" s="36">
        <f>SUM(BY236:CB236)</f>
        <v>351</v>
      </c>
      <c r="CD236" s="36">
        <v>121</v>
      </c>
      <c r="CE236" s="36">
        <v>64</v>
      </c>
      <c r="CF236" s="36">
        <v>65</v>
      </c>
      <c r="CG236" s="36">
        <v>83</v>
      </c>
      <c r="CH236" s="36">
        <f>SUM(CD236:CG236)</f>
        <v>333</v>
      </c>
      <c r="CI236" s="36">
        <v>121</v>
      </c>
      <c r="CJ236" s="36">
        <v>81</v>
      </c>
      <c r="CK236" s="36">
        <v>64</v>
      </c>
      <c r="CL236" s="36">
        <v>87</v>
      </c>
      <c r="CM236" s="36">
        <f>SUM(CI236:CL236)</f>
        <v>353</v>
      </c>
      <c r="CN236" s="36">
        <v>97</v>
      </c>
      <c r="CO236" s="36">
        <v>73</v>
      </c>
      <c r="CP236" s="36">
        <v>55</v>
      </c>
      <c r="CQ236" s="36">
        <v>60</v>
      </c>
      <c r="CR236" s="36">
        <f>SUM(CN236:CQ236)</f>
        <v>285</v>
      </c>
      <c r="CS236" s="36">
        <v>65</v>
      </c>
      <c r="CT236" s="36">
        <v>45</v>
      </c>
      <c r="CU236" s="36">
        <v>41</v>
      </c>
      <c r="CV236" s="36">
        <v>55</v>
      </c>
      <c r="CW236" s="72">
        <f>SUM(CS236:CV236)</f>
        <v>206</v>
      </c>
      <c r="CX236" s="36">
        <v>41</v>
      </c>
      <c r="CY236" s="36"/>
      <c r="CZ236" s="36"/>
      <c r="DA236" s="36"/>
      <c r="DB236" s="72"/>
      <c r="DC236" s="72"/>
      <c r="DD236" s="72"/>
      <c r="DE236" s="72"/>
      <c r="DF236" s="72"/>
      <c r="DG236" s="36"/>
      <c r="DH236" s="36"/>
      <c r="DI236" s="36"/>
      <c r="DJ236" s="36"/>
      <c r="DK236" s="36"/>
      <c r="DL236" s="183"/>
      <c r="DM236" s="183"/>
      <c r="DN236" s="183"/>
      <c r="DO236" s="183"/>
      <c r="DP236" s="183"/>
    </row>
    <row r="237" spans="1:120" x14ac:dyDescent="0.2">
      <c r="A237" s="39" t="s">
        <v>178</v>
      </c>
      <c r="G237" s="39"/>
      <c r="H237" s="39"/>
      <c r="I237" s="39"/>
      <c r="J237" s="39"/>
      <c r="K237" s="39"/>
      <c r="L237" s="39">
        <f>L236+L235</f>
        <v>78.8</v>
      </c>
      <c r="M237" s="39">
        <f>M236+M235</f>
        <v>175</v>
      </c>
      <c r="N237" s="39">
        <f>N236+N235</f>
        <v>113.80000000000001</v>
      </c>
      <c r="O237" s="39">
        <f>O236+O235</f>
        <v>132.4</v>
      </c>
      <c r="P237" s="39">
        <f>O237+N237+M237+L237</f>
        <v>500.00000000000006</v>
      </c>
      <c r="Q237" s="39">
        <f>Q236+Q235</f>
        <v>140</v>
      </c>
      <c r="R237" s="39">
        <f>R236+R235</f>
        <v>156.19999999999999</v>
      </c>
      <c r="S237" s="39">
        <f>S236+S235</f>
        <v>152.19999999999999</v>
      </c>
      <c r="T237" s="39">
        <f>T236+T235</f>
        <v>145.19999999999999</v>
      </c>
      <c r="U237" s="39">
        <f>T237+S237+R237+Q237</f>
        <v>593.59999999999991</v>
      </c>
      <c r="V237" s="39">
        <f>V236+V235</f>
        <v>183</v>
      </c>
      <c r="W237" s="39">
        <f>W236+W235</f>
        <v>199</v>
      </c>
      <c r="X237" s="39">
        <f>X236+X235</f>
        <v>170</v>
      </c>
      <c r="Y237" s="39">
        <f>Y236+Y235</f>
        <v>185</v>
      </c>
      <c r="Z237" s="39">
        <f>Y237+X237+W237+V237</f>
        <v>737</v>
      </c>
      <c r="AA237" s="39">
        <f>AA236+AA235</f>
        <v>229</v>
      </c>
      <c r="AB237" s="39">
        <f>AB236+AB235</f>
        <v>242</v>
      </c>
      <c r="AC237" s="39">
        <f>AC236+AC235</f>
        <v>221</v>
      </c>
      <c r="AD237" s="39">
        <f>AD236+AD235</f>
        <v>253</v>
      </c>
      <c r="AE237" s="39">
        <f>AD237+AC237+AB237+AA237</f>
        <v>945</v>
      </c>
      <c r="AF237" s="39">
        <f>AF236+AF235</f>
        <v>224</v>
      </c>
      <c r="AG237" s="39">
        <f>AG236+AG235</f>
        <v>295</v>
      </c>
      <c r="AH237" s="39">
        <f>AH236+AH235</f>
        <v>242</v>
      </c>
      <c r="AI237" s="39">
        <f>AI236+AI235</f>
        <v>271</v>
      </c>
      <c r="AJ237" s="39">
        <f>AI237+AH237+AG237+AF237</f>
        <v>1032</v>
      </c>
      <c r="AK237" s="39">
        <f>AK236+AK235</f>
        <v>307</v>
      </c>
      <c r="AL237" s="39">
        <f>AL236+AL235</f>
        <v>311</v>
      </c>
      <c r="AM237" s="39">
        <f>AM236+AM235</f>
        <v>258</v>
      </c>
      <c r="AN237" s="39">
        <f>AN236+AN235</f>
        <v>280</v>
      </c>
      <c r="AO237" s="39">
        <f>AN237+AM237+AL237+AK237</f>
        <v>1156</v>
      </c>
      <c r="AP237" s="39">
        <f>AP236+AP235</f>
        <v>306</v>
      </c>
      <c r="AQ237" s="39">
        <f>AQ236+AQ235</f>
        <v>321</v>
      </c>
      <c r="AR237" s="39">
        <f>AR236+AR235</f>
        <v>266</v>
      </c>
      <c r="AS237" s="39">
        <f>AS236+AS235</f>
        <v>286</v>
      </c>
      <c r="AT237" s="39">
        <f>AS237+AR237+AQ237+AP237</f>
        <v>1179</v>
      </c>
      <c r="AU237" s="39">
        <f>AU236+AU235</f>
        <v>319</v>
      </c>
      <c r="AV237" s="39">
        <f>AV236+AV235</f>
        <v>338</v>
      </c>
      <c r="AW237" s="39">
        <f>AW236+AW235</f>
        <v>260</v>
      </c>
      <c r="AX237" s="39">
        <f>AX236+AX235</f>
        <v>303</v>
      </c>
      <c r="AY237" s="39">
        <f>AX237+AW237+AV237+AU237</f>
        <v>1220</v>
      </c>
      <c r="AZ237" s="39">
        <f>AZ236+AZ235</f>
        <v>372</v>
      </c>
      <c r="BA237" s="39">
        <f>BA236+BA235</f>
        <v>323</v>
      </c>
      <c r="BB237" s="39">
        <f>BB236+BB235</f>
        <v>265</v>
      </c>
      <c r="BC237" s="39">
        <f>BC236+BC235</f>
        <v>324</v>
      </c>
      <c r="BD237" s="39">
        <f>BC237+BB237+BA237+AZ237</f>
        <v>1284</v>
      </c>
      <c r="BE237" s="39">
        <f>BE235+BE236</f>
        <v>374</v>
      </c>
      <c r="BF237" s="39">
        <f>BF235+BF236</f>
        <v>293</v>
      </c>
      <c r="BG237" s="39">
        <f>BG235+BG236</f>
        <v>292</v>
      </c>
      <c r="BH237" s="39">
        <f>BH235+BH236</f>
        <v>307</v>
      </c>
      <c r="BI237" s="39">
        <f t="shared" ref="BI237:CQ237" si="220">BI236+BI235</f>
        <v>1266</v>
      </c>
      <c r="BJ237" s="39">
        <f t="shared" si="220"/>
        <v>385</v>
      </c>
      <c r="BK237" s="39">
        <f t="shared" si="220"/>
        <v>325</v>
      </c>
      <c r="BL237" s="39">
        <f t="shared" si="220"/>
        <v>297</v>
      </c>
      <c r="BM237" s="39">
        <f t="shared" si="220"/>
        <v>327</v>
      </c>
      <c r="BN237" s="39">
        <f t="shared" si="220"/>
        <v>1334</v>
      </c>
      <c r="BO237" s="39">
        <f t="shared" si="220"/>
        <v>312</v>
      </c>
      <c r="BP237" s="39">
        <f t="shared" si="220"/>
        <v>258</v>
      </c>
      <c r="BQ237" s="39">
        <f t="shared" si="220"/>
        <v>261</v>
      </c>
      <c r="BR237" s="39">
        <f t="shared" si="220"/>
        <v>268</v>
      </c>
      <c r="BS237" s="39">
        <f t="shared" si="220"/>
        <v>1099</v>
      </c>
      <c r="BT237" s="39">
        <f t="shared" si="220"/>
        <v>289</v>
      </c>
      <c r="BU237" s="39">
        <f t="shared" si="220"/>
        <v>215</v>
      </c>
      <c r="BV237" s="39">
        <f t="shared" si="220"/>
        <v>121</v>
      </c>
      <c r="BW237" s="39">
        <f t="shared" si="220"/>
        <v>231</v>
      </c>
      <c r="BX237" s="39">
        <f t="shared" si="220"/>
        <v>856</v>
      </c>
      <c r="BY237" s="39">
        <f t="shared" si="220"/>
        <v>229</v>
      </c>
      <c r="BZ237" s="39">
        <f t="shared" si="220"/>
        <v>101</v>
      </c>
      <c r="CA237" s="39">
        <f t="shared" si="220"/>
        <v>94</v>
      </c>
      <c r="CB237" s="39">
        <f t="shared" si="220"/>
        <v>112</v>
      </c>
      <c r="CC237" s="39">
        <f t="shared" si="220"/>
        <v>536</v>
      </c>
      <c r="CD237" s="39">
        <f t="shared" si="220"/>
        <v>139</v>
      </c>
      <c r="CE237" s="39">
        <f t="shared" si="220"/>
        <v>85</v>
      </c>
      <c r="CF237" s="39">
        <f t="shared" si="220"/>
        <v>42</v>
      </c>
      <c r="CG237" s="39">
        <f t="shared" si="220"/>
        <v>120</v>
      </c>
      <c r="CH237" s="39">
        <f t="shared" si="220"/>
        <v>386</v>
      </c>
      <c r="CI237" s="39">
        <f t="shared" si="220"/>
        <v>122</v>
      </c>
      <c r="CJ237" s="39">
        <f t="shared" si="220"/>
        <v>81</v>
      </c>
      <c r="CK237" s="39">
        <f t="shared" si="220"/>
        <v>71</v>
      </c>
      <c r="CL237" s="39">
        <f t="shared" si="220"/>
        <v>102</v>
      </c>
      <c r="CM237" s="39">
        <f t="shared" si="220"/>
        <v>376</v>
      </c>
      <c r="CN237" s="39">
        <f t="shared" si="220"/>
        <v>96</v>
      </c>
      <c r="CO237" s="39">
        <f t="shared" si="220"/>
        <v>72</v>
      </c>
      <c r="CP237" s="39">
        <f t="shared" si="220"/>
        <v>59</v>
      </c>
      <c r="CQ237" s="39">
        <f t="shared" si="220"/>
        <v>67</v>
      </c>
      <c r="CR237" s="39">
        <f>CR236+CR235</f>
        <v>294</v>
      </c>
      <c r="CS237" s="39">
        <f>CS236+CS235</f>
        <v>71</v>
      </c>
      <c r="CT237" s="39">
        <f>CT236+CT235</f>
        <v>49</v>
      </c>
      <c r="CU237" s="39">
        <f>CU236+CU235</f>
        <v>41</v>
      </c>
      <c r="CV237" s="39">
        <f>CV236+CV235-1</f>
        <v>57</v>
      </c>
      <c r="CW237" s="74">
        <f>SUM(CS237:CV237)</f>
        <v>218</v>
      </c>
      <c r="CX237" s="39">
        <f>SUM(CX235:CX236)</f>
        <v>43</v>
      </c>
      <c r="CY237" s="39"/>
      <c r="CZ237" s="39"/>
      <c r="DA237" s="39"/>
      <c r="DB237" s="74"/>
      <c r="DC237" s="74"/>
      <c r="DD237" s="74"/>
      <c r="DE237" s="74"/>
      <c r="DF237" s="74"/>
      <c r="DG237" s="39"/>
      <c r="DH237" s="39"/>
      <c r="DI237" s="39"/>
      <c r="DJ237" s="39"/>
      <c r="DK237" s="39"/>
      <c r="DL237" s="187"/>
      <c r="DM237" s="187"/>
      <c r="DN237" s="187"/>
      <c r="DO237" s="187"/>
      <c r="DP237" s="187"/>
    </row>
    <row r="238" spans="1:120" x14ac:dyDescent="0.2">
      <c r="A238" s="68" t="s">
        <v>54</v>
      </c>
      <c r="G238" s="75"/>
      <c r="H238" s="75"/>
      <c r="I238" s="75"/>
      <c r="J238" s="75"/>
      <c r="K238" s="75"/>
      <c r="L238" s="75" t="e">
        <f t="shared" ref="L238:O240" si="221">L235/G235-1</f>
        <v>#DIV/0!</v>
      </c>
      <c r="M238" s="75" t="e">
        <f t="shared" si="221"/>
        <v>#DIV/0!</v>
      </c>
      <c r="N238" s="75" t="e">
        <f t="shared" si="221"/>
        <v>#DIV/0!</v>
      </c>
      <c r="O238" s="75" t="e">
        <f t="shared" si="221"/>
        <v>#DIV/0!</v>
      </c>
      <c r="P238" s="75"/>
      <c r="Q238" s="75">
        <f t="shared" ref="Q238:CB240" si="222">Q235/L235-1</f>
        <v>1.3837209302325584</v>
      </c>
      <c r="R238" s="75">
        <f t="shared" si="222"/>
        <v>-0.26086956521739135</v>
      </c>
      <c r="S238" s="75">
        <f t="shared" si="222"/>
        <v>0.39784946236559127</v>
      </c>
      <c r="T238" s="75">
        <f t="shared" si="222"/>
        <v>4.7741935483871067E-2</v>
      </c>
      <c r="U238" s="75">
        <f t="shared" si="222"/>
        <v>0.16893461666113518</v>
      </c>
      <c r="V238" s="75">
        <f t="shared" si="222"/>
        <v>0.3292682926829269</v>
      </c>
      <c r="W238" s="75">
        <f t="shared" si="222"/>
        <v>0.35294117647058831</v>
      </c>
      <c r="X238" s="75">
        <f t="shared" si="222"/>
        <v>4.8076923076923128E-2</v>
      </c>
      <c r="Y238" s="75">
        <f t="shared" si="222"/>
        <v>0.41625615763546797</v>
      </c>
      <c r="Z238" s="75">
        <f t="shared" si="222"/>
        <v>0.27200454287336751</v>
      </c>
      <c r="AA238" s="75">
        <f t="shared" si="222"/>
        <v>0.32110091743119273</v>
      </c>
      <c r="AB238" s="75">
        <f t="shared" si="222"/>
        <v>0.25217391304347836</v>
      </c>
      <c r="AC238" s="75">
        <f t="shared" si="222"/>
        <v>0.40366972477064222</v>
      </c>
      <c r="AD238" s="75">
        <f t="shared" si="222"/>
        <v>0.48695652173913051</v>
      </c>
      <c r="AE238" s="75">
        <f t="shared" si="222"/>
        <v>0.3660714285714286</v>
      </c>
      <c r="AF238" s="75">
        <f t="shared" si="222"/>
        <v>-0.1875</v>
      </c>
      <c r="AG238" s="75">
        <f t="shared" si="222"/>
        <v>0.21527777777777768</v>
      </c>
      <c r="AH238" s="75">
        <f t="shared" si="222"/>
        <v>0</v>
      </c>
      <c r="AI238" s="75">
        <f t="shared" si="222"/>
        <v>-5.2631578947368474E-2</v>
      </c>
      <c r="AJ238" s="75">
        <f t="shared" si="222"/>
        <v>-8.1699346405228468E-3</v>
      </c>
      <c r="AK238" s="75">
        <f t="shared" si="222"/>
        <v>0.47008547008547019</v>
      </c>
      <c r="AL238" s="75">
        <f t="shared" si="222"/>
        <v>-5.1428571428571379E-2</v>
      </c>
      <c r="AM238" s="75">
        <f t="shared" si="222"/>
        <v>-7.8431372549019662E-2</v>
      </c>
      <c r="AN238" s="75">
        <f t="shared" si="222"/>
        <v>2.4691358024691468E-2</v>
      </c>
      <c r="AO238" s="75">
        <f t="shared" si="222"/>
        <v>6.2602965403624422E-2</v>
      </c>
      <c r="AP238" s="75">
        <f t="shared" si="222"/>
        <v>-8.1395348837209336E-2</v>
      </c>
      <c r="AQ238" s="75">
        <f t="shared" si="222"/>
        <v>0.10240963855421681</v>
      </c>
      <c r="AR238" s="75">
        <f t="shared" si="222"/>
        <v>7.0921985815602939E-2</v>
      </c>
      <c r="AS238" s="75">
        <f t="shared" si="222"/>
        <v>-5.4216867469879526E-2</v>
      </c>
      <c r="AT238" s="75">
        <f t="shared" si="222"/>
        <v>6.2015503875969546E-3</v>
      </c>
      <c r="AU238" s="75">
        <f t="shared" si="222"/>
        <v>-1.8987341772151889E-2</v>
      </c>
      <c r="AV238" s="75">
        <f t="shared" si="222"/>
        <v>7.1038251366120297E-2</v>
      </c>
      <c r="AW238" s="75">
        <f t="shared" si="222"/>
        <v>-5.9602649006622488E-2</v>
      </c>
      <c r="AX238" s="75">
        <f t="shared" si="222"/>
        <v>-7.0063694267515908E-2</v>
      </c>
      <c r="AY238" s="75">
        <f t="shared" si="222"/>
        <v>-1.5408320493066285E-2</v>
      </c>
      <c r="AZ238" s="75">
        <f t="shared" si="222"/>
        <v>6.4516129032257119E-3</v>
      </c>
      <c r="BA238" s="75">
        <f t="shared" si="222"/>
        <v>-0.24489795918367352</v>
      </c>
      <c r="BB238" s="75">
        <f t="shared" si="222"/>
        <v>-4.9295774647887369E-2</v>
      </c>
      <c r="BC238" s="75">
        <f t="shared" si="222"/>
        <v>0.11643835616438358</v>
      </c>
      <c r="BD238" s="75">
        <f t="shared" si="222"/>
        <v>-5.790297339593109E-2</v>
      </c>
      <c r="BE238" s="76">
        <f t="shared" si="222"/>
        <v>3.2051282051282159E-2</v>
      </c>
      <c r="BF238" s="76">
        <f t="shared" si="222"/>
        <v>-4.7297297297297258E-2</v>
      </c>
      <c r="BG238" s="76">
        <f t="shared" si="222"/>
        <v>0.15555555555555545</v>
      </c>
      <c r="BH238" s="76">
        <f t="shared" si="222"/>
        <v>-0.15337423312883436</v>
      </c>
      <c r="BI238" s="90">
        <f>BI235/BD235-1</f>
        <v>-9.966777408637828E-3</v>
      </c>
      <c r="BJ238" s="76">
        <f t="shared" si="222"/>
        <v>-6.8322981366459645E-2</v>
      </c>
      <c r="BK238" s="76">
        <f t="shared" si="222"/>
        <v>0.25531914893617014</v>
      </c>
      <c r="BL238" s="76">
        <f t="shared" si="222"/>
        <v>0.14743589743589736</v>
      </c>
      <c r="BM238" s="76">
        <f t="shared" si="222"/>
        <v>0.26086956521739135</v>
      </c>
      <c r="BN238" s="90">
        <f>BN235/BI235-1</f>
        <v>0.14093959731543615</v>
      </c>
      <c r="BO238" s="76">
        <f t="shared" si="222"/>
        <v>-0.11333333333333329</v>
      </c>
      <c r="BP238" s="76">
        <f t="shared" si="222"/>
        <v>-0.20338983050847459</v>
      </c>
      <c r="BQ238" s="76">
        <f t="shared" si="222"/>
        <v>-0.13966480446927376</v>
      </c>
      <c r="BR238" s="76">
        <f t="shared" si="222"/>
        <v>-0.14942528735632188</v>
      </c>
      <c r="BS238" s="75">
        <f>BS235/BN235-1</f>
        <v>-0.15294117647058825</v>
      </c>
      <c r="BT238" s="76">
        <f t="shared" si="222"/>
        <v>7.5187969924812137E-2</v>
      </c>
      <c r="BU238" s="76">
        <f t="shared" si="222"/>
        <v>-0.12056737588652477</v>
      </c>
      <c r="BV238" s="76">
        <f t="shared" si="222"/>
        <v>-0.73376623376623384</v>
      </c>
      <c r="BW238" s="76">
        <f t="shared" si="222"/>
        <v>-5.4054054054054057E-2</v>
      </c>
      <c r="BX238" s="75">
        <f>BX235/BS235-1</f>
        <v>-0.22222222222222221</v>
      </c>
      <c r="BY238" s="76">
        <f t="shared" si="222"/>
        <v>-0.21678321678321677</v>
      </c>
      <c r="BZ238" s="76">
        <f t="shared" si="222"/>
        <v>-0.7661290322580645</v>
      </c>
      <c r="CA238" s="76">
        <f t="shared" si="222"/>
        <v>-0.51219512195121952</v>
      </c>
      <c r="CB238" s="76">
        <f t="shared" si="222"/>
        <v>-0.82857142857142851</v>
      </c>
      <c r="CC238" s="75">
        <f>CC235/BX235-1</f>
        <v>-0.5870535714285714</v>
      </c>
      <c r="CD238" s="76">
        <f t="shared" ref="CD238:CL239" si="223">CD235/BY235-1</f>
        <v>-0.8392857142857143</v>
      </c>
      <c r="CE238" s="76">
        <f t="shared" si="223"/>
        <v>-0.27586206896551724</v>
      </c>
      <c r="CF238" s="76">
        <f t="shared" si="223"/>
        <v>-2.15</v>
      </c>
      <c r="CG238" s="76">
        <f t="shared" si="223"/>
        <v>0.54166666666666674</v>
      </c>
      <c r="CH238" s="75">
        <f>CH235/CC235-1</f>
        <v>-0.71351351351351355</v>
      </c>
      <c r="CI238" s="76">
        <f t="shared" si="223"/>
        <v>-0.94444444444444442</v>
      </c>
      <c r="CJ238" s="76">
        <f t="shared" si="223"/>
        <v>-1</v>
      </c>
      <c r="CK238" s="76">
        <f t="shared" si="223"/>
        <v>-1.3043478260869565</v>
      </c>
      <c r="CL238" s="76">
        <f t="shared" si="223"/>
        <v>-0.59459459459459452</v>
      </c>
      <c r="CM238" s="75"/>
      <c r="CN238" s="75">
        <f>CN235/CI235-1</f>
        <v>-2</v>
      </c>
      <c r="CO238" s="75"/>
      <c r="CP238" s="75"/>
      <c r="CQ238" s="75"/>
      <c r="CR238" s="75"/>
      <c r="CS238" s="75"/>
      <c r="CT238" s="75"/>
      <c r="CU238" s="75"/>
      <c r="CV238" s="75"/>
      <c r="CW238" s="90">
        <f t="shared" ref="CW238:CX240" si="224">CW235/CR235-1</f>
        <v>0.44444444444444442</v>
      </c>
      <c r="CX238" s="90">
        <f t="shared" si="224"/>
        <v>-0.66666666666666674</v>
      </c>
      <c r="CY238" s="75"/>
      <c r="CZ238" s="75"/>
      <c r="DA238" s="75"/>
      <c r="DB238" s="90"/>
      <c r="DC238" s="90"/>
      <c r="DD238" s="90"/>
      <c r="DE238" s="90"/>
      <c r="DF238" s="90"/>
      <c r="DG238" s="75"/>
      <c r="DH238" s="75"/>
      <c r="DI238" s="75"/>
      <c r="DJ238" s="75"/>
      <c r="DK238" s="75"/>
      <c r="DL238" s="192"/>
      <c r="DM238" s="192"/>
      <c r="DN238" s="192"/>
      <c r="DO238" s="192"/>
      <c r="DP238" s="192"/>
    </row>
    <row r="239" spans="1:120" x14ac:dyDescent="0.2">
      <c r="A239" s="68" t="s">
        <v>55</v>
      </c>
      <c r="G239" s="75"/>
      <c r="H239" s="75"/>
      <c r="I239" s="75"/>
      <c r="J239" s="75"/>
      <c r="K239" s="75"/>
      <c r="L239" s="75" t="e">
        <f t="shared" si="221"/>
        <v>#DIV/0!</v>
      </c>
      <c r="M239" s="75" t="e">
        <f t="shared" si="221"/>
        <v>#DIV/0!</v>
      </c>
      <c r="N239" s="75" t="e">
        <f t="shared" si="221"/>
        <v>#DIV/0!</v>
      </c>
      <c r="O239" s="75" t="e">
        <f t="shared" si="221"/>
        <v>#DIV/0!</v>
      </c>
      <c r="P239" s="75"/>
      <c r="Q239" s="75">
        <f t="shared" si="222"/>
        <v>0.30630630630630629</v>
      </c>
      <c r="R239" s="75">
        <f t="shared" si="222"/>
        <v>0.18666666666666676</v>
      </c>
      <c r="S239" s="75">
        <f t="shared" si="222"/>
        <v>0.22335025380710682</v>
      </c>
      <c r="T239" s="75">
        <f t="shared" si="222"/>
        <v>0.16575591985428062</v>
      </c>
      <c r="U239" s="75">
        <f t="shared" si="222"/>
        <v>0.2148968293910416</v>
      </c>
      <c r="V239" s="75">
        <f t="shared" si="222"/>
        <v>0.27586206896551735</v>
      </c>
      <c r="W239" s="75">
        <f t="shared" si="222"/>
        <v>0.1797752808988764</v>
      </c>
      <c r="X239" s="75">
        <f t="shared" si="222"/>
        <v>0.26556016597510368</v>
      </c>
      <c r="Y239" s="75">
        <f t="shared" si="222"/>
        <v>9.375E-2</v>
      </c>
      <c r="Z239" s="75">
        <f t="shared" si="222"/>
        <v>0.19718309859154926</v>
      </c>
      <c r="AA239" s="75">
        <f t="shared" si="222"/>
        <v>0.14864864864864868</v>
      </c>
      <c r="AB239" s="75">
        <f t="shared" si="222"/>
        <v>0.16666666666666674</v>
      </c>
      <c r="AC239" s="75">
        <f t="shared" si="222"/>
        <v>0.11475409836065564</v>
      </c>
      <c r="AD239" s="75">
        <f t="shared" si="222"/>
        <v>0.17142857142857149</v>
      </c>
      <c r="AE239" s="75">
        <f t="shared" si="222"/>
        <v>0.15224913494809678</v>
      </c>
      <c r="AF239" s="75">
        <f t="shared" si="222"/>
        <v>0.25882352941176467</v>
      </c>
      <c r="AG239" s="75">
        <f t="shared" si="222"/>
        <v>0.22448979591836737</v>
      </c>
      <c r="AH239" s="75">
        <f t="shared" si="222"/>
        <v>0.30882352941176472</v>
      </c>
      <c r="AI239" s="75">
        <f t="shared" si="222"/>
        <v>0.3292682926829269</v>
      </c>
      <c r="AJ239" s="75">
        <f t="shared" si="222"/>
        <v>0.27627627627627627</v>
      </c>
      <c r="AK239" s="75">
        <f t="shared" si="222"/>
        <v>0.26168224299065423</v>
      </c>
      <c r="AL239" s="75">
        <f t="shared" si="222"/>
        <v>0.20833333333333326</v>
      </c>
      <c r="AM239" s="75">
        <f t="shared" si="222"/>
        <v>0.31460674157303381</v>
      </c>
      <c r="AN239" s="75">
        <f t="shared" si="222"/>
        <v>4.587155963302747E-2</v>
      </c>
      <c r="AO239" s="75">
        <f t="shared" si="222"/>
        <v>0.20235294117647062</v>
      </c>
      <c r="AP239" s="75">
        <f t="shared" si="222"/>
        <v>9.6296296296296324E-2</v>
      </c>
      <c r="AQ239" s="75">
        <f t="shared" si="222"/>
        <v>-4.8275862068965503E-2</v>
      </c>
      <c r="AR239" s="75">
        <f t="shared" si="222"/>
        <v>-1.7094017094017144E-2</v>
      </c>
      <c r="AS239" s="75">
        <f t="shared" si="222"/>
        <v>0.13157894736842102</v>
      </c>
      <c r="AT239" s="75">
        <f t="shared" si="222"/>
        <v>3.7181996086105729E-2</v>
      </c>
      <c r="AU239" s="75">
        <f t="shared" si="222"/>
        <v>0.10810810810810811</v>
      </c>
      <c r="AV239" s="75">
        <f t="shared" si="222"/>
        <v>2.8985507246376718E-2</v>
      </c>
      <c r="AW239" s="75">
        <f t="shared" si="222"/>
        <v>2.6086956521739202E-2</v>
      </c>
      <c r="AX239" s="75">
        <f t="shared" si="222"/>
        <v>0.21705426356589141</v>
      </c>
      <c r="AY239" s="75">
        <f t="shared" si="222"/>
        <v>9.6226415094339712E-2</v>
      </c>
      <c r="AZ239" s="75">
        <f t="shared" si="222"/>
        <v>0.31707317073170738</v>
      </c>
      <c r="BA239" s="75">
        <f t="shared" si="222"/>
        <v>0.23239436619718301</v>
      </c>
      <c r="BB239" s="75">
        <f t="shared" si="222"/>
        <v>0.10169491525423724</v>
      </c>
      <c r="BC239" s="75">
        <f t="shared" si="222"/>
        <v>2.5477707006369421E-2</v>
      </c>
      <c r="BD239" s="75">
        <f t="shared" si="222"/>
        <v>0.17383820998278821</v>
      </c>
      <c r="BE239" s="76">
        <f t="shared" si="222"/>
        <v>-1.388888888888884E-2</v>
      </c>
      <c r="BF239" s="76">
        <f t="shared" si="222"/>
        <v>-0.13142857142857145</v>
      </c>
      <c r="BG239" s="76">
        <f t="shared" si="222"/>
        <v>4.6153846153846212E-2</v>
      </c>
      <c r="BH239" s="76">
        <f t="shared" si="222"/>
        <v>4.9689440993788914E-2</v>
      </c>
      <c r="BI239" s="90">
        <f>BI236/BD236-1</f>
        <v>-1.7595307917888547E-2</v>
      </c>
      <c r="BJ239" s="76">
        <f t="shared" si="222"/>
        <v>0.10328638497652576</v>
      </c>
      <c r="BK239" s="76">
        <f t="shared" si="222"/>
        <v>-2.6315789473684181E-2</v>
      </c>
      <c r="BL239" s="76">
        <f t="shared" si="222"/>
        <v>-0.13235294117647056</v>
      </c>
      <c r="BM239" s="76">
        <f t="shared" si="222"/>
        <v>-9.4674556213017791E-2</v>
      </c>
      <c r="BN239" s="90">
        <f>BN236/BI236-1</f>
        <v>-2.3880597014925398E-2</v>
      </c>
      <c r="BO239" s="76">
        <f t="shared" si="222"/>
        <v>-0.23829787234042554</v>
      </c>
      <c r="BP239" s="76">
        <f t="shared" si="222"/>
        <v>-0.20945945945945943</v>
      </c>
      <c r="BQ239" s="76">
        <f t="shared" si="222"/>
        <v>-9.3220338983050821E-2</v>
      </c>
      <c r="BR239" s="76">
        <f t="shared" si="222"/>
        <v>-0.21568627450980393</v>
      </c>
      <c r="BS239" s="75">
        <f>BS236/BN236-1</f>
        <v>-0.20030581039755346</v>
      </c>
      <c r="BT239" s="76">
        <f t="shared" si="222"/>
        <v>-0.18435754189944131</v>
      </c>
      <c r="BU239" s="76">
        <f t="shared" si="222"/>
        <v>-0.22222222222222221</v>
      </c>
      <c r="BV239" s="76">
        <f t="shared" si="222"/>
        <v>-0.25233644859813087</v>
      </c>
      <c r="BW239" s="76">
        <f t="shared" si="222"/>
        <v>-0.2416666666666667</v>
      </c>
      <c r="BX239" s="75">
        <f>BX236/BS236-1</f>
        <v>-0.21988527724665397</v>
      </c>
      <c r="BY239" s="76">
        <f t="shared" si="222"/>
        <v>-0.19863013698630139</v>
      </c>
      <c r="BZ239" s="76">
        <f t="shared" si="222"/>
        <v>-0.20879120879120883</v>
      </c>
      <c r="CA239" s="76">
        <f t="shared" si="222"/>
        <v>-7.4999999999999956E-2</v>
      </c>
      <c r="CB239" s="76">
        <f t="shared" si="222"/>
        <v>-3.2967032967032961E-2</v>
      </c>
      <c r="CC239" s="75">
        <f>CC236/BX236-1</f>
        <v>-0.13970588235294112</v>
      </c>
      <c r="CD239" s="76">
        <f t="shared" si="223"/>
        <v>3.4188034188034289E-2</v>
      </c>
      <c r="CE239" s="76">
        <f t="shared" si="223"/>
        <v>-0.11111111111111116</v>
      </c>
      <c r="CF239" s="76">
        <f t="shared" si="223"/>
        <v>-0.1216216216216216</v>
      </c>
      <c r="CG239" s="76">
        <f t="shared" si="223"/>
        <v>-5.6818181818181768E-2</v>
      </c>
      <c r="CH239" s="75">
        <f>CH236/CC236-1</f>
        <v>-5.1282051282051322E-2</v>
      </c>
      <c r="CI239" s="76">
        <f t="shared" si="223"/>
        <v>0</v>
      </c>
      <c r="CJ239" s="76">
        <f t="shared" si="223"/>
        <v>0.265625</v>
      </c>
      <c r="CK239" s="76">
        <f t="shared" si="223"/>
        <v>-1.538461538461533E-2</v>
      </c>
      <c r="CL239" s="76">
        <f t="shared" si="223"/>
        <v>4.8192771084337283E-2</v>
      </c>
      <c r="CM239" s="75">
        <f>CM236/CH236-1</f>
        <v>6.0060060060060039E-2</v>
      </c>
      <c r="CN239" s="75">
        <f>CN236/CI236-1</f>
        <v>-0.19834710743801653</v>
      </c>
      <c r="CO239" s="75">
        <f t="shared" ref="CO239:CV240" si="225">CO236/CJ236-1</f>
        <v>-9.8765432098765427E-2</v>
      </c>
      <c r="CP239" s="75">
        <f t="shared" si="225"/>
        <v>-0.140625</v>
      </c>
      <c r="CQ239" s="75">
        <f t="shared" si="225"/>
        <v>-0.31034482758620685</v>
      </c>
      <c r="CR239" s="75">
        <f t="shared" si="225"/>
        <v>-0.19263456090651554</v>
      </c>
      <c r="CS239" s="75">
        <f t="shared" si="225"/>
        <v>-0.32989690721649489</v>
      </c>
      <c r="CT239" s="75">
        <f t="shared" si="225"/>
        <v>-0.38356164383561642</v>
      </c>
      <c r="CU239" s="75">
        <f t="shared" si="225"/>
        <v>-0.25454545454545452</v>
      </c>
      <c r="CV239" s="75">
        <f t="shared" si="225"/>
        <v>-8.333333333333337E-2</v>
      </c>
      <c r="CW239" s="90">
        <f t="shared" si="224"/>
        <v>-0.27719298245614032</v>
      </c>
      <c r="CX239" s="90">
        <f t="shared" si="224"/>
        <v>-0.36923076923076925</v>
      </c>
      <c r="CY239" s="75"/>
      <c r="CZ239" s="75"/>
      <c r="DA239" s="75"/>
      <c r="DB239" s="90"/>
      <c r="DC239" s="90"/>
      <c r="DD239" s="90"/>
      <c r="DE239" s="90"/>
      <c r="DF239" s="90"/>
      <c r="DG239" s="75"/>
      <c r="DH239" s="75"/>
      <c r="DI239" s="75"/>
      <c r="DJ239" s="75"/>
      <c r="DK239" s="75"/>
      <c r="DL239" s="192"/>
      <c r="DM239" s="192"/>
      <c r="DN239" s="192"/>
      <c r="DO239" s="192"/>
      <c r="DP239" s="192"/>
    </row>
    <row r="240" spans="1:120" x14ac:dyDescent="0.2">
      <c r="A240" s="78" t="s">
        <v>56</v>
      </c>
      <c r="F240" s="98"/>
      <c r="G240" s="83"/>
      <c r="H240" s="83"/>
      <c r="I240" s="83"/>
      <c r="J240" s="83"/>
      <c r="K240" s="83"/>
      <c r="L240" s="83" t="e">
        <f t="shared" si="221"/>
        <v>#DIV/0!</v>
      </c>
      <c r="M240" s="83" t="e">
        <f t="shared" si="221"/>
        <v>#DIV/0!</v>
      </c>
      <c r="N240" s="83" t="e">
        <f t="shared" si="221"/>
        <v>#DIV/0!</v>
      </c>
      <c r="O240" s="83" t="e">
        <f t="shared" si="221"/>
        <v>#DIV/0!</v>
      </c>
      <c r="P240" s="83"/>
      <c r="Q240" s="83">
        <f t="shared" si="222"/>
        <v>0.7766497461928934</v>
      </c>
      <c r="R240" s="83">
        <f t="shared" si="222"/>
        <v>-0.10742857142857154</v>
      </c>
      <c r="S240" s="83">
        <f t="shared" si="222"/>
        <v>0.33743409490333898</v>
      </c>
      <c r="T240" s="83">
        <f t="shared" si="222"/>
        <v>9.6676737160120707E-2</v>
      </c>
      <c r="U240" s="83">
        <f t="shared" si="222"/>
        <v>0.18719999999999959</v>
      </c>
      <c r="V240" s="83">
        <f t="shared" si="222"/>
        <v>0.30714285714285716</v>
      </c>
      <c r="W240" s="83">
        <f t="shared" si="222"/>
        <v>0.2740076824583868</v>
      </c>
      <c r="X240" s="83">
        <f t="shared" si="222"/>
        <v>0.11695137976346914</v>
      </c>
      <c r="Y240" s="83">
        <f t="shared" si="222"/>
        <v>0.27410468319559245</v>
      </c>
      <c r="Z240" s="83">
        <f t="shared" si="222"/>
        <v>0.24157681940700826</v>
      </c>
      <c r="AA240" s="83">
        <f t="shared" si="222"/>
        <v>0.25136612021857929</v>
      </c>
      <c r="AB240" s="83">
        <f t="shared" si="222"/>
        <v>0.21608040201005019</v>
      </c>
      <c r="AC240" s="83">
        <f t="shared" si="222"/>
        <v>0.30000000000000004</v>
      </c>
      <c r="AD240" s="83">
        <f t="shared" si="222"/>
        <v>0.36756756756756759</v>
      </c>
      <c r="AE240" s="83">
        <f t="shared" si="222"/>
        <v>0.28222523744911809</v>
      </c>
      <c r="AF240" s="83">
        <f t="shared" si="222"/>
        <v>-2.183406113537123E-2</v>
      </c>
      <c r="AG240" s="83">
        <f t="shared" si="222"/>
        <v>0.21900826446280997</v>
      </c>
      <c r="AH240" s="83">
        <f t="shared" si="222"/>
        <v>9.5022624434389247E-2</v>
      </c>
      <c r="AI240" s="83">
        <f t="shared" si="222"/>
        <v>7.1146245059288571E-2</v>
      </c>
      <c r="AJ240" s="83">
        <f t="shared" si="222"/>
        <v>9.2063492063491958E-2</v>
      </c>
      <c r="AK240" s="83">
        <f t="shared" si="222"/>
        <v>0.37053571428571419</v>
      </c>
      <c r="AL240" s="83">
        <f t="shared" si="222"/>
        <v>5.4237288135593253E-2</v>
      </c>
      <c r="AM240" s="83">
        <f t="shared" si="222"/>
        <v>6.6115702479338845E-2</v>
      </c>
      <c r="AN240" s="83">
        <f t="shared" si="222"/>
        <v>3.3210332103321027E-2</v>
      </c>
      <c r="AO240" s="83">
        <f t="shared" si="222"/>
        <v>0.12015503875968991</v>
      </c>
      <c r="AP240" s="83">
        <f t="shared" si="222"/>
        <v>-3.2573289902280145E-3</v>
      </c>
      <c r="AQ240" s="83">
        <f t="shared" si="222"/>
        <v>3.2154340836012762E-2</v>
      </c>
      <c r="AR240" s="83">
        <f t="shared" si="222"/>
        <v>3.1007751937984551E-2</v>
      </c>
      <c r="AS240" s="83">
        <f t="shared" si="222"/>
        <v>2.1428571428571352E-2</v>
      </c>
      <c r="AT240" s="83">
        <f t="shared" si="222"/>
        <v>1.9896193771626214E-2</v>
      </c>
      <c r="AU240" s="83">
        <f t="shared" si="222"/>
        <v>4.2483660130719025E-2</v>
      </c>
      <c r="AV240" s="83">
        <f t="shared" si="222"/>
        <v>5.2959501557632294E-2</v>
      </c>
      <c r="AW240" s="83">
        <f t="shared" si="222"/>
        <v>-2.2556390977443663E-2</v>
      </c>
      <c r="AX240" s="83">
        <f t="shared" si="222"/>
        <v>5.9440559440559371E-2</v>
      </c>
      <c r="AY240" s="83">
        <f t="shared" si="222"/>
        <v>3.4775233248515613E-2</v>
      </c>
      <c r="AZ240" s="83">
        <f t="shared" si="222"/>
        <v>0.16614420062695934</v>
      </c>
      <c r="BA240" s="83">
        <f t="shared" si="222"/>
        <v>-4.4378698224852076E-2</v>
      </c>
      <c r="BB240" s="83">
        <f t="shared" si="222"/>
        <v>1.9230769230769162E-2</v>
      </c>
      <c r="BC240" s="83">
        <f t="shared" si="222"/>
        <v>6.9306930693069368E-2</v>
      </c>
      <c r="BD240" s="83">
        <f t="shared" si="222"/>
        <v>5.2459016393442637E-2</v>
      </c>
      <c r="BE240" s="80">
        <f t="shared" si="222"/>
        <v>5.3763440860215006E-3</v>
      </c>
      <c r="BF240" s="80">
        <f t="shared" si="222"/>
        <v>-9.2879256965944235E-2</v>
      </c>
      <c r="BG240" s="80">
        <f>BG237/BB237-1</f>
        <v>0.10188679245283017</v>
      </c>
      <c r="BH240" s="80">
        <f>BH237/BC237-1</f>
        <v>-5.2469135802469147E-2</v>
      </c>
      <c r="BI240" s="80">
        <f>BI237/BD237-1</f>
        <v>-1.4018691588784993E-2</v>
      </c>
      <c r="BJ240" s="80">
        <f>BJ237/BE237-1</f>
        <v>2.9411764705882248E-2</v>
      </c>
      <c r="BK240" s="91">
        <f>BK237/BF237-1</f>
        <v>0.10921501706484649</v>
      </c>
      <c r="BL240" s="91">
        <f>BL237/BG237-1</f>
        <v>1.7123287671232834E-2</v>
      </c>
      <c r="BM240" s="91">
        <f>BM237/BH237-1</f>
        <v>6.514657980456029E-2</v>
      </c>
      <c r="BN240" s="80">
        <f>BN237/BI237-1</f>
        <v>5.3712480252764649E-2</v>
      </c>
      <c r="BO240" s="91">
        <f>BO237/BJ237-1</f>
        <v>-0.18961038961038956</v>
      </c>
      <c r="BP240" s="91">
        <f>BP237/BK237-1</f>
        <v>-0.20615384615384613</v>
      </c>
      <c r="BQ240" s="91">
        <f>BQ237/BL237-1</f>
        <v>-0.12121212121212122</v>
      </c>
      <c r="BR240" s="91">
        <f>BR237/BM237-1</f>
        <v>-0.18042813455657492</v>
      </c>
      <c r="BS240" s="83">
        <f>BS237/BN237-1</f>
        <v>-0.17616191904047973</v>
      </c>
      <c r="BT240" s="91">
        <f>BT237/BO237-1</f>
        <v>-7.3717948717948678E-2</v>
      </c>
      <c r="BU240" s="91">
        <f>BU237/BP237-1</f>
        <v>-0.16666666666666663</v>
      </c>
      <c r="BV240" s="91">
        <f>BV237/BQ237-1</f>
        <v>-0.53639846743295017</v>
      </c>
      <c r="BW240" s="91">
        <f>BW237/BR237-1</f>
        <v>-0.13805970149253732</v>
      </c>
      <c r="BX240" s="83">
        <f>BX237/BS237-1</f>
        <v>-0.22111010009099186</v>
      </c>
      <c r="BY240" s="83">
        <f>BY237/BT237-1</f>
        <v>-0.20761245674740481</v>
      </c>
      <c r="BZ240" s="83">
        <f>BZ237/BU237-1</f>
        <v>-0.53023255813953485</v>
      </c>
      <c r="CA240" s="83">
        <f>CA237/BV237-1</f>
        <v>-0.22314049586776863</v>
      </c>
      <c r="CB240" s="83">
        <f>CB237/BW237-1</f>
        <v>-0.51515151515151514</v>
      </c>
      <c r="CC240" s="83">
        <f>CC237/BX237-1</f>
        <v>-0.37383177570093462</v>
      </c>
      <c r="CD240" s="83">
        <f>CD237/BY237-1</f>
        <v>-0.39301310043668125</v>
      </c>
      <c r="CE240" s="83">
        <f>CE237/BZ237-1</f>
        <v>-0.15841584158415845</v>
      </c>
      <c r="CF240" s="83">
        <f>CF237/CA237-1</f>
        <v>-0.55319148936170215</v>
      </c>
      <c r="CG240" s="83">
        <f>CG237/CB237-1</f>
        <v>7.1428571428571397E-2</v>
      </c>
      <c r="CH240" s="83">
        <f>CH237/CC237-1</f>
        <v>-0.27985074626865669</v>
      </c>
      <c r="CI240" s="83">
        <f>CI237/CD237-1</f>
        <v>-0.12230215827338131</v>
      </c>
      <c r="CJ240" s="83">
        <f>CJ237/CE237-1</f>
        <v>-4.705882352941182E-2</v>
      </c>
      <c r="CK240" s="83">
        <f>CK237/CF237-1</f>
        <v>0.69047619047619047</v>
      </c>
      <c r="CL240" s="83">
        <f>CL237/CG237-1</f>
        <v>-0.15000000000000002</v>
      </c>
      <c r="CM240" s="83">
        <f>CM237/CH237-1</f>
        <v>-2.5906735751295318E-2</v>
      </c>
      <c r="CN240" s="83">
        <f>CN237/CI237-1</f>
        <v>-0.21311475409836067</v>
      </c>
      <c r="CO240" s="83">
        <f t="shared" si="225"/>
        <v>-0.11111111111111116</v>
      </c>
      <c r="CP240" s="83">
        <f t="shared" si="225"/>
        <v>-0.16901408450704225</v>
      </c>
      <c r="CQ240" s="83">
        <f t="shared" si="225"/>
        <v>-0.34313725490196079</v>
      </c>
      <c r="CR240" s="83">
        <f t="shared" si="225"/>
        <v>-0.21808510638297873</v>
      </c>
      <c r="CS240" s="83">
        <f t="shared" si="225"/>
        <v>-0.26041666666666663</v>
      </c>
      <c r="CT240" s="83">
        <f t="shared" si="225"/>
        <v>-0.31944444444444442</v>
      </c>
      <c r="CU240" s="83">
        <f t="shared" si="225"/>
        <v>-0.30508474576271183</v>
      </c>
      <c r="CV240" s="83">
        <f t="shared" si="225"/>
        <v>-0.14925373134328357</v>
      </c>
      <c r="CW240" s="83">
        <f t="shared" si="224"/>
        <v>-0.25850340136054417</v>
      </c>
      <c r="CX240" s="83">
        <f t="shared" si="224"/>
        <v>-0.39436619718309862</v>
      </c>
      <c r="CY240" s="83"/>
      <c r="CZ240" s="83"/>
      <c r="DA240" s="83"/>
      <c r="DB240" s="80"/>
      <c r="DC240" s="80"/>
      <c r="DD240" s="80"/>
      <c r="DE240" s="80"/>
      <c r="DF240" s="80"/>
      <c r="DG240" s="83"/>
      <c r="DH240" s="83"/>
      <c r="DI240" s="83"/>
      <c r="DJ240" s="83"/>
      <c r="DK240" s="83"/>
      <c r="DL240" s="193"/>
      <c r="DM240" s="193"/>
      <c r="DN240" s="193"/>
      <c r="DO240" s="193"/>
      <c r="DP240" s="193"/>
    </row>
    <row r="241" spans="1:120" x14ac:dyDescent="0.2">
      <c r="A241" s="36" t="s">
        <v>179</v>
      </c>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v>14</v>
      </c>
      <c r="AJ241" s="36">
        <f>AI241+AH241+AG241+AF241</f>
        <v>14</v>
      </c>
      <c r="AK241" s="36">
        <v>44</v>
      </c>
      <c r="AL241" s="36">
        <v>45</v>
      </c>
      <c r="AM241" s="36">
        <v>49</v>
      </c>
      <c r="AN241" s="36">
        <v>40</v>
      </c>
      <c r="AO241" s="36">
        <f>AN241+AM241+AL241+AK241</f>
        <v>178</v>
      </c>
      <c r="AP241" s="36">
        <v>43</v>
      </c>
      <c r="AQ241" s="36">
        <v>49</v>
      </c>
      <c r="AR241" s="36">
        <v>42</v>
      </c>
      <c r="AS241" s="36">
        <v>45</v>
      </c>
      <c r="AT241" s="36">
        <f>AS241+AR241+AQ241+AP241</f>
        <v>179</v>
      </c>
      <c r="AU241" s="36">
        <v>41</v>
      </c>
      <c r="AV241" s="36">
        <v>43</v>
      </c>
      <c r="AW241" s="36">
        <v>43</v>
      </c>
      <c r="AX241" s="36">
        <v>40</v>
      </c>
      <c r="AY241" s="36">
        <f>AX241+AW241+AV241+AU241</f>
        <v>167</v>
      </c>
      <c r="AZ241" s="36">
        <v>38</v>
      </c>
      <c r="BA241" s="36">
        <v>38</v>
      </c>
      <c r="BB241" s="36">
        <v>45</v>
      </c>
      <c r="BC241" s="36">
        <v>42</v>
      </c>
      <c r="BD241" s="36">
        <f>BC241+BB241+BA241+AZ241</f>
        <v>163</v>
      </c>
      <c r="BE241" s="36">
        <v>38</v>
      </c>
      <c r="BF241" s="36">
        <v>47</v>
      </c>
      <c r="BG241" s="36">
        <v>39</v>
      </c>
      <c r="BH241" s="36">
        <v>42</v>
      </c>
      <c r="BI241" s="36">
        <f>SUM(BE241:BH241)</f>
        <v>166</v>
      </c>
      <c r="BJ241" s="36">
        <v>41</v>
      </c>
      <c r="BK241" s="36">
        <v>62</v>
      </c>
      <c r="BL241" s="36">
        <v>55</v>
      </c>
      <c r="BM241" s="36">
        <v>23</v>
      </c>
      <c r="BN241" s="36">
        <f>SUM(BJ241:BM241)</f>
        <v>181</v>
      </c>
      <c r="BO241" s="36">
        <v>34</v>
      </c>
      <c r="BP241" s="36">
        <v>30</v>
      </c>
      <c r="BQ241" s="36">
        <v>39</v>
      </c>
      <c r="BR241" s="36">
        <v>38</v>
      </c>
      <c r="BS241" s="36">
        <f>SUM(BO241:BR241)</f>
        <v>141</v>
      </c>
      <c r="BT241" s="36">
        <v>34</v>
      </c>
      <c r="BU241" s="36">
        <v>52</v>
      </c>
      <c r="BV241" s="36">
        <v>37</v>
      </c>
      <c r="BW241" s="36">
        <v>37</v>
      </c>
      <c r="BX241" s="36">
        <f>SUM(BT241:BW241)</f>
        <v>160</v>
      </c>
      <c r="BY241" s="36">
        <v>53</v>
      </c>
      <c r="BZ241" s="36">
        <v>20</v>
      </c>
      <c r="CA241" s="36">
        <v>49</v>
      </c>
      <c r="CB241" s="36">
        <v>36</v>
      </c>
      <c r="CC241" s="36">
        <f>SUM(BY241:CB241)</f>
        <v>158</v>
      </c>
      <c r="CD241" s="36">
        <v>42</v>
      </c>
      <c r="CE241" s="36">
        <v>32</v>
      </c>
      <c r="CF241" s="36">
        <v>30</v>
      </c>
      <c r="CG241" s="36">
        <v>19</v>
      </c>
      <c r="CH241" s="36">
        <f>SUM(CD241:CG241)</f>
        <v>123</v>
      </c>
      <c r="CI241" s="36">
        <v>28.5</v>
      </c>
      <c r="CJ241" s="36">
        <v>27</v>
      </c>
      <c r="CK241" s="36">
        <v>26</v>
      </c>
      <c r="CL241" s="36">
        <v>33</v>
      </c>
      <c r="CM241" s="36">
        <f>SUM(CI241:CL241)</f>
        <v>114.5</v>
      </c>
      <c r="CN241" s="36">
        <v>29</v>
      </c>
      <c r="CO241" s="36">
        <v>24</v>
      </c>
      <c r="CP241" s="36">
        <v>27</v>
      </c>
      <c r="CQ241" s="36">
        <v>22</v>
      </c>
      <c r="CR241" s="36">
        <f>SUM(CN241:CQ241)</f>
        <v>102</v>
      </c>
      <c r="CS241" s="36">
        <v>21</v>
      </c>
      <c r="CT241" s="36">
        <v>20</v>
      </c>
      <c r="CU241" s="36">
        <v>20</v>
      </c>
      <c r="CV241" s="36">
        <v>24</v>
      </c>
      <c r="CW241" s="72">
        <f>SUM(CS241:CV241)</f>
        <v>85</v>
      </c>
      <c r="CX241" s="36">
        <v>25</v>
      </c>
      <c r="CY241" s="36"/>
      <c r="CZ241" s="36"/>
      <c r="DA241" s="36"/>
      <c r="DB241" s="72"/>
      <c r="DC241" s="72"/>
      <c r="DD241" s="72"/>
      <c r="DE241" s="72"/>
      <c r="DF241" s="72"/>
      <c r="DG241" s="36"/>
      <c r="DH241" s="36"/>
      <c r="DI241" s="36"/>
      <c r="DJ241" s="36"/>
      <c r="DK241" s="36"/>
      <c r="DL241" s="183"/>
      <c r="DM241" s="183"/>
      <c r="DN241" s="183"/>
      <c r="DO241" s="183"/>
      <c r="DP241" s="183"/>
    </row>
    <row r="242" spans="1:120" x14ac:dyDescent="0.2">
      <c r="A242" s="36" t="s">
        <v>180</v>
      </c>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v>43</v>
      </c>
      <c r="AJ242" s="36">
        <f>AI242+AH242+AG242+AF242</f>
        <v>43</v>
      </c>
      <c r="AK242" s="36">
        <v>101</v>
      </c>
      <c r="AL242" s="36">
        <v>117</v>
      </c>
      <c r="AM242" s="36">
        <v>93</v>
      </c>
      <c r="AN242" s="36">
        <v>87</v>
      </c>
      <c r="AO242" s="36">
        <f>AN242+AM242+AL242+AK242</f>
        <v>398</v>
      </c>
      <c r="AP242" s="36">
        <v>88</v>
      </c>
      <c r="AQ242" s="36">
        <v>96</v>
      </c>
      <c r="AR242" s="36">
        <v>80</v>
      </c>
      <c r="AS242" s="36">
        <v>105</v>
      </c>
      <c r="AT242" s="36">
        <f>AS242+AR242+AQ242+AP242</f>
        <v>369</v>
      </c>
      <c r="AU242" s="36">
        <v>93</v>
      </c>
      <c r="AV242" s="36">
        <v>94</v>
      </c>
      <c r="AW242" s="36">
        <v>76</v>
      </c>
      <c r="AX242" s="36">
        <v>98</v>
      </c>
      <c r="AY242" s="36">
        <f>AX242+AW242+AV242+AU242</f>
        <v>361</v>
      </c>
      <c r="AZ242" s="36">
        <v>95</v>
      </c>
      <c r="BA242" s="36">
        <v>104</v>
      </c>
      <c r="BB242" s="36">
        <v>84</v>
      </c>
      <c r="BC242" s="36">
        <v>84</v>
      </c>
      <c r="BD242" s="36">
        <f>BC242+BB242+BA242+AZ242</f>
        <v>367</v>
      </c>
      <c r="BE242" s="36">
        <v>78</v>
      </c>
      <c r="BF242" s="36">
        <v>78</v>
      </c>
      <c r="BG242" s="36">
        <v>72</v>
      </c>
      <c r="BH242" s="36">
        <v>75</v>
      </c>
      <c r="BI242" s="36">
        <f>SUM(BE242:BH242)</f>
        <v>303</v>
      </c>
      <c r="BJ242" s="36">
        <v>81</v>
      </c>
      <c r="BK242" s="36">
        <v>73</v>
      </c>
      <c r="BL242" s="36">
        <v>69</v>
      </c>
      <c r="BM242" s="36">
        <v>78</v>
      </c>
      <c r="BN242" s="36">
        <f>SUM(BJ242:BM242)</f>
        <v>301</v>
      </c>
      <c r="BO242" s="36">
        <v>76</v>
      </c>
      <c r="BP242" s="36">
        <v>72</v>
      </c>
      <c r="BQ242" s="36">
        <v>58</v>
      </c>
      <c r="BR242" s="36">
        <v>64</v>
      </c>
      <c r="BS242" s="36">
        <f>SUM(BO242:BR242)</f>
        <v>270</v>
      </c>
      <c r="BT242" s="36">
        <v>47</v>
      </c>
      <c r="BU242" s="36">
        <v>60</v>
      </c>
      <c r="BV242" s="36">
        <v>57</v>
      </c>
      <c r="BW242" s="36">
        <v>58</v>
      </c>
      <c r="BX242" s="36">
        <f>SUM(BT242:BW242)</f>
        <v>222</v>
      </c>
      <c r="BY242" s="36">
        <v>42</v>
      </c>
      <c r="BZ242" s="36">
        <v>53</v>
      </c>
      <c r="CA242" s="36">
        <v>52</v>
      </c>
      <c r="CB242" s="36">
        <v>51</v>
      </c>
      <c r="CC242" s="36">
        <f>SUM(BY242:CB242)</f>
        <v>198</v>
      </c>
      <c r="CD242" s="36">
        <v>40</v>
      </c>
      <c r="CE242" s="36">
        <v>47</v>
      </c>
      <c r="CF242" s="36">
        <v>41</v>
      </c>
      <c r="CG242" s="36">
        <v>47</v>
      </c>
      <c r="CH242" s="36">
        <f>SUM(CD242:CG242)</f>
        <v>175</v>
      </c>
      <c r="CI242" s="36">
        <v>38.5</v>
      </c>
      <c r="CJ242" s="36">
        <v>43</v>
      </c>
      <c r="CK242" s="36">
        <v>34</v>
      </c>
      <c r="CL242" s="36">
        <v>37</v>
      </c>
      <c r="CM242" s="36">
        <f>SUM(CI242:CL242)</f>
        <v>152.5</v>
      </c>
      <c r="CN242" s="36">
        <v>28</v>
      </c>
      <c r="CO242" s="36">
        <v>39</v>
      </c>
      <c r="CP242" s="36">
        <v>35</v>
      </c>
      <c r="CQ242" s="36">
        <v>36</v>
      </c>
      <c r="CR242" s="36">
        <f>SUM(CN242:CQ242)</f>
        <v>138</v>
      </c>
      <c r="CS242" s="36">
        <v>21</v>
      </c>
      <c r="CT242" s="36">
        <v>24</v>
      </c>
      <c r="CU242" s="36">
        <v>31</v>
      </c>
      <c r="CV242" s="36">
        <v>33</v>
      </c>
      <c r="CW242" s="72">
        <f>SUM(CS242:CV242)</f>
        <v>109</v>
      </c>
      <c r="CX242" s="36">
        <v>27</v>
      </c>
      <c r="CY242" s="36"/>
      <c r="CZ242" s="36"/>
      <c r="DA242" s="36"/>
      <c r="DB242" s="72"/>
      <c r="DC242" s="72"/>
      <c r="DD242" s="72"/>
      <c r="DE242" s="72"/>
      <c r="DF242" s="72"/>
      <c r="DG242" s="36"/>
      <c r="DH242" s="36"/>
      <c r="DI242" s="36"/>
      <c r="DJ242" s="36"/>
      <c r="DK242" s="36"/>
      <c r="DL242" s="183"/>
      <c r="DM242" s="183"/>
      <c r="DN242" s="183"/>
      <c r="DO242" s="183"/>
      <c r="DP242" s="183"/>
    </row>
    <row r="243" spans="1:120" x14ac:dyDescent="0.2">
      <c r="A243" s="39" t="s">
        <v>181</v>
      </c>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f>AI242+AI241</f>
        <v>57</v>
      </c>
      <c r="AJ243" s="39">
        <f>AI243+AH243+AG243+AF243</f>
        <v>57</v>
      </c>
      <c r="AK243" s="39">
        <f>AK242+AK241</f>
        <v>145</v>
      </c>
      <c r="AL243" s="39">
        <f>AL242+AL241</f>
        <v>162</v>
      </c>
      <c r="AM243" s="39">
        <f>AM242+AM241</f>
        <v>142</v>
      </c>
      <c r="AN243" s="39">
        <f>AN242+AN241</f>
        <v>127</v>
      </c>
      <c r="AO243" s="39">
        <f>AN243+AM243+AL243+AK243</f>
        <v>576</v>
      </c>
      <c r="AP243" s="39">
        <f>AP242+AP241</f>
        <v>131</v>
      </c>
      <c r="AQ243" s="39">
        <f>AQ242+AQ241</f>
        <v>145</v>
      </c>
      <c r="AR243" s="39">
        <f>AR242+AR241</f>
        <v>122</v>
      </c>
      <c r="AS243" s="39">
        <f>AS242+AS241</f>
        <v>150</v>
      </c>
      <c r="AT243" s="39">
        <f>AS243+AR243+AQ243+AP243</f>
        <v>548</v>
      </c>
      <c r="AU243" s="39">
        <f>AU242+AU241</f>
        <v>134</v>
      </c>
      <c r="AV243" s="39">
        <f>AV242+AV241</f>
        <v>137</v>
      </c>
      <c r="AW243" s="39">
        <f>AW242+AW241</f>
        <v>119</v>
      </c>
      <c r="AX243" s="39">
        <f>AX242+AX241</f>
        <v>138</v>
      </c>
      <c r="AY243" s="39">
        <f>AX243+AW243+AV243+AU243</f>
        <v>528</v>
      </c>
      <c r="AZ243" s="39">
        <f>AZ242+AZ241</f>
        <v>133</v>
      </c>
      <c r="BA243" s="39">
        <f>BA242+BA241</f>
        <v>142</v>
      </c>
      <c r="BB243" s="39">
        <f>BB242+BB241</f>
        <v>129</v>
      </c>
      <c r="BC243" s="39">
        <f>BC242+BC241</f>
        <v>126</v>
      </c>
      <c r="BD243" s="39">
        <f>BC243+BB243+BA243+AZ243</f>
        <v>530</v>
      </c>
      <c r="BE243" s="39">
        <f>BE241+BE242</f>
        <v>116</v>
      </c>
      <c r="BF243" s="39">
        <f>BF241+BF242</f>
        <v>125</v>
      </c>
      <c r="BG243" s="39">
        <f>BG241+BG242</f>
        <v>111</v>
      </c>
      <c r="BH243" s="39">
        <f>BH241+BH242</f>
        <v>117</v>
      </c>
      <c r="BI243" s="39">
        <f t="shared" ref="BI243:BX243" si="226">BI242+BI241</f>
        <v>469</v>
      </c>
      <c r="BJ243" s="39">
        <f t="shared" si="226"/>
        <v>122</v>
      </c>
      <c r="BK243" s="39">
        <f t="shared" si="226"/>
        <v>135</v>
      </c>
      <c r="BL243" s="39">
        <f t="shared" si="226"/>
        <v>124</v>
      </c>
      <c r="BM243" s="39">
        <f t="shared" si="226"/>
        <v>101</v>
      </c>
      <c r="BN243" s="39">
        <f t="shared" si="226"/>
        <v>482</v>
      </c>
      <c r="BO243" s="39">
        <f t="shared" si="226"/>
        <v>110</v>
      </c>
      <c r="BP243" s="39">
        <f t="shared" si="226"/>
        <v>102</v>
      </c>
      <c r="BQ243" s="39">
        <f t="shared" si="226"/>
        <v>97</v>
      </c>
      <c r="BR243" s="39">
        <f t="shared" si="226"/>
        <v>102</v>
      </c>
      <c r="BS243" s="39">
        <f t="shared" si="226"/>
        <v>411</v>
      </c>
      <c r="BT243" s="39">
        <f t="shared" si="226"/>
        <v>81</v>
      </c>
      <c r="BU243" s="39">
        <f t="shared" si="226"/>
        <v>112</v>
      </c>
      <c r="BV243" s="39">
        <f t="shared" si="226"/>
        <v>94</v>
      </c>
      <c r="BW243" s="39">
        <f t="shared" si="226"/>
        <v>95</v>
      </c>
      <c r="BX243" s="39">
        <f t="shared" si="226"/>
        <v>382</v>
      </c>
      <c r="BY243" s="39">
        <f>BY242+BY241-1</f>
        <v>94</v>
      </c>
      <c r="BZ243" s="39">
        <f t="shared" ref="BZ243:CQ243" si="227">BZ242+BZ241</f>
        <v>73</v>
      </c>
      <c r="CA243" s="39">
        <f t="shared" si="227"/>
        <v>101</v>
      </c>
      <c r="CB243" s="39">
        <f t="shared" si="227"/>
        <v>87</v>
      </c>
      <c r="CC243" s="39">
        <f t="shared" si="227"/>
        <v>356</v>
      </c>
      <c r="CD243" s="39">
        <f t="shared" si="227"/>
        <v>82</v>
      </c>
      <c r="CE243" s="39">
        <f t="shared" si="227"/>
        <v>79</v>
      </c>
      <c r="CF243" s="39">
        <f t="shared" si="227"/>
        <v>71</v>
      </c>
      <c r="CG243" s="39">
        <f t="shared" si="227"/>
        <v>66</v>
      </c>
      <c r="CH243" s="39">
        <f t="shared" si="227"/>
        <v>298</v>
      </c>
      <c r="CI243" s="39">
        <f t="shared" si="227"/>
        <v>67</v>
      </c>
      <c r="CJ243" s="39">
        <f t="shared" si="227"/>
        <v>70</v>
      </c>
      <c r="CK243" s="39">
        <f t="shared" si="227"/>
        <v>60</v>
      </c>
      <c r="CL243" s="39">
        <f t="shared" si="227"/>
        <v>70</v>
      </c>
      <c r="CM243" s="39">
        <f t="shared" si="227"/>
        <v>267</v>
      </c>
      <c r="CN243" s="39">
        <f t="shared" si="227"/>
        <v>57</v>
      </c>
      <c r="CO243" s="39">
        <f t="shared" si="227"/>
        <v>63</v>
      </c>
      <c r="CP243" s="39">
        <f t="shared" si="227"/>
        <v>62</v>
      </c>
      <c r="CQ243" s="39">
        <f t="shared" si="227"/>
        <v>58</v>
      </c>
      <c r="CR243" s="39">
        <f>CR242+CR241</f>
        <v>240</v>
      </c>
      <c r="CS243" s="39">
        <f>CS242+CS241-1</f>
        <v>41</v>
      </c>
      <c r="CT243" s="39">
        <f>CT242+CT241</f>
        <v>44</v>
      </c>
      <c r="CU243" s="39">
        <f>CU242+CU241-1</f>
        <v>50</v>
      </c>
      <c r="CV243" s="39">
        <f>CV242+CV241</f>
        <v>57</v>
      </c>
      <c r="CW243" s="74">
        <f>SUM(CS243:CV243)</f>
        <v>192</v>
      </c>
      <c r="CX243" s="39">
        <f>SUM(CX241:CX242)</f>
        <v>52</v>
      </c>
      <c r="CY243" s="39"/>
      <c r="CZ243" s="39"/>
      <c r="DA243" s="39"/>
      <c r="DB243" s="74"/>
      <c r="DC243" s="74"/>
      <c r="DD243" s="74"/>
      <c r="DE243" s="74"/>
      <c r="DF243" s="74"/>
      <c r="DG243" s="39"/>
      <c r="DH243" s="39"/>
      <c r="DI243" s="39"/>
      <c r="DJ243" s="39"/>
      <c r="DK243" s="39"/>
      <c r="DL243" s="187"/>
      <c r="DM243" s="187"/>
      <c r="DN243" s="187"/>
      <c r="DO243" s="187"/>
      <c r="DP243" s="187"/>
    </row>
    <row r="244" spans="1:120" x14ac:dyDescent="0.2">
      <c r="A244" s="68" t="s">
        <v>54</v>
      </c>
      <c r="G244" s="39"/>
      <c r="H244" s="39"/>
      <c r="I244" s="39"/>
      <c r="J244" s="39"/>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f t="shared" ref="AT244:CX246" si="228">AT241/AO241-1</f>
        <v>5.6179775280897903E-3</v>
      </c>
      <c r="AU244" s="75">
        <f t="shared" si="228"/>
        <v>-4.6511627906976716E-2</v>
      </c>
      <c r="AV244" s="75">
        <f t="shared" si="228"/>
        <v>-0.12244897959183676</v>
      </c>
      <c r="AW244" s="75">
        <f t="shared" si="228"/>
        <v>2.3809523809523725E-2</v>
      </c>
      <c r="AX244" s="75">
        <f t="shared" si="228"/>
        <v>-0.11111111111111116</v>
      </c>
      <c r="AY244" s="75">
        <f t="shared" si="228"/>
        <v>-6.7039106145251437E-2</v>
      </c>
      <c r="AZ244" s="75">
        <f t="shared" si="228"/>
        <v>-7.3170731707317027E-2</v>
      </c>
      <c r="BA244" s="75">
        <f t="shared" si="228"/>
        <v>-0.11627906976744184</v>
      </c>
      <c r="BB244" s="75">
        <f t="shared" si="228"/>
        <v>4.6511627906976827E-2</v>
      </c>
      <c r="BC244" s="75">
        <f t="shared" si="228"/>
        <v>5.0000000000000044E-2</v>
      </c>
      <c r="BD244" s="75">
        <f t="shared" si="228"/>
        <v>-2.39520958083832E-2</v>
      </c>
      <c r="BE244" s="76">
        <f t="shared" si="228"/>
        <v>0</v>
      </c>
      <c r="BF244" s="76">
        <f t="shared" si="228"/>
        <v>0.23684210526315796</v>
      </c>
      <c r="BG244" s="76">
        <f t="shared" si="228"/>
        <v>-0.1333333333333333</v>
      </c>
      <c r="BH244" s="76">
        <f t="shared" si="228"/>
        <v>0</v>
      </c>
      <c r="BI244" s="90">
        <f t="shared" si="228"/>
        <v>1.8404907975460016E-2</v>
      </c>
      <c r="BJ244" s="76">
        <f t="shared" si="228"/>
        <v>7.8947368421052655E-2</v>
      </c>
      <c r="BK244" s="76">
        <f t="shared" si="228"/>
        <v>0.31914893617021267</v>
      </c>
      <c r="BL244" s="76">
        <f t="shared" si="228"/>
        <v>0.41025641025641035</v>
      </c>
      <c r="BM244" s="76">
        <f t="shared" si="228"/>
        <v>-0.45238095238095233</v>
      </c>
      <c r="BN244" s="90">
        <f>BN241/BI241-1</f>
        <v>9.0361445783132543E-2</v>
      </c>
      <c r="BO244" s="76">
        <f t="shared" si="228"/>
        <v>-0.17073170731707321</v>
      </c>
      <c r="BP244" s="76">
        <f t="shared" si="228"/>
        <v>-0.5161290322580645</v>
      </c>
      <c r="BQ244" s="76">
        <f t="shared" si="228"/>
        <v>-0.29090909090909089</v>
      </c>
      <c r="BR244" s="76">
        <f t="shared" si="228"/>
        <v>0.65217391304347827</v>
      </c>
      <c r="BS244" s="75">
        <f>BS241/BN241-1</f>
        <v>-0.22099447513812154</v>
      </c>
      <c r="BT244" s="76">
        <f t="shared" si="228"/>
        <v>0</v>
      </c>
      <c r="BU244" s="76">
        <f t="shared" si="228"/>
        <v>0.73333333333333339</v>
      </c>
      <c r="BV244" s="76">
        <f t="shared" si="228"/>
        <v>-5.1282051282051322E-2</v>
      </c>
      <c r="BW244" s="76">
        <f t="shared" si="228"/>
        <v>-2.6315789473684181E-2</v>
      </c>
      <c r="BX244" s="75">
        <f>BX241/BS241-1</f>
        <v>0.13475177304964547</v>
      </c>
      <c r="BY244" s="76">
        <f t="shared" si="228"/>
        <v>0.55882352941176472</v>
      </c>
      <c r="BZ244" s="76">
        <f t="shared" si="228"/>
        <v>-0.61538461538461542</v>
      </c>
      <c r="CA244" s="76">
        <f t="shared" si="228"/>
        <v>0.32432432432432434</v>
      </c>
      <c r="CB244" s="76">
        <f t="shared" si="228"/>
        <v>-2.7027027027026973E-2</v>
      </c>
      <c r="CC244" s="75">
        <f>CC241/BX241-1</f>
        <v>-1.2499999999999956E-2</v>
      </c>
      <c r="CD244" s="76">
        <f t="shared" si="228"/>
        <v>-0.20754716981132071</v>
      </c>
      <c r="CE244" s="76">
        <f t="shared" si="228"/>
        <v>0.60000000000000009</v>
      </c>
      <c r="CF244" s="76">
        <f t="shared" si="228"/>
        <v>-0.38775510204081631</v>
      </c>
      <c r="CG244" s="76">
        <f t="shared" si="228"/>
        <v>-0.47222222222222221</v>
      </c>
      <c r="CH244" s="75">
        <f t="shared" si="228"/>
        <v>-0.22151898734177211</v>
      </c>
      <c r="CI244" s="76">
        <f t="shared" si="228"/>
        <v>-0.3214285714285714</v>
      </c>
      <c r="CJ244" s="76">
        <f t="shared" si="228"/>
        <v>-0.15625</v>
      </c>
      <c r="CK244" s="76">
        <f t="shared" si="228"/>
        <v>-0.1333333333333333</v>
      </c>
      <c r="CL244" s="76">
        <f t="shared" si="228"/>
        <v>0.73684210526315796</v>
      </c>
      <c r="CM244" s="75">
        <f t="shared" si="228"/>
        <v>-6.9105691056910556E-2</v>
      </c>
      <c r="CN244" s="75">
        <f t="shared" si="228"/>
        <v>1.7543859649122862E-2</v>
      </c>
      <c r="CO244" s="75">
        <f t="shared" si="228"/>
        <v>-0.11111111111111116</v>
      </c>
      <c r="CP244" s="75">
        <f t="shared" si="228"/>
        <v>3.8461538461538547E-2</v>
      </c>
      <c r="CQ244" s="75">
        <f t="shared" si="228"/>
        <v>-0.33333333333333337</v>
      </c>
      <c r="CR244" s="75">
        <f>CR241/CM241-1</f>
        <v>-0.10917030567685593</v>
      </c>
      <c r="CS244" s="75">
        <f t="shared" si="228"/>
        <v>-0.27586206896551724</v>
      </c>
      <c r="CT244" s="75">
        <f t="shared" si="228"/>
        <v>-0.16666666666666663</v>
      </c>
      <c r="CU244" s="75">
        <f t="shared" si="228"/>
        <v>-0.2592592592592593</v>
      </c>
      <c r="CV244" s="75">
        <f t="shared" si="228"/>
        <v>9.0909090909090828E-2</v>
      </c>
      <c r="CW244" s="90">
        <f>CW241/CR241-1</f>
        <v>-0.16666666666666663</v>
      </c>
      <c r="CX244" s="75">
        <f t="shared" si="228"/>
        <v>0.19047619047619047</v>
      </c>
      <c r="CY244" s="75"/>
      <c r="CZ244" s="75"/>
      <c r="DA244" s="75"/>
      <c r="DB244" s="90"/>
      <c r="DC244" s="90"/>
      <c r="DD244" s="90"/>
      <c r="DE244" s="90"/>
      <c r="DF244" s="90"/>
      <c r="DG244" s="75"/>
      <c r="DH244" s="75"/>
      <c r="DI244" s="75"/>
      <c r="DJ244" s="75"/>
      <c r="DK244" s="75"/>
      <c r="DL244" s="192"/>
      <c r="DM244" s="192"/>
      <c r="DN244" s="192"/>
      <c r="DO244" s="192"/>
      <c r="DP244" s="192"/>
    </row>
    <row r="245" spans="1:120" x14ac:dyDescent="0.2">
      <c r="A245" s="68" t="s">
        <v>55</v>
      </c>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f t="shared" si="228"/>
        <v>-7.2864321608040239E-2</v>
      </c>
      <c r="AU245" s="75">
        <f t="shared" si="228"/>
        <v>5.6818181818181879E-2</v>
      </c>
      <c r="AV245" s="75">
        <f t="shared" si="228"/>
        <v>-2.083333333333337E-2</v>
      </c>
      <c r="AW245" s="75">
        <f t="shared" si="228"/>
        <v>-5.0000000000000044E-2</v>
      </c>
      <c r="AX245" s="75">
        <f t="shared" si="228"/>
        <v>-6.6666666666666652E-2</v>
      </c>
      <c r="AY245" s="75">
        <f t="shared" si="228"/>
        <v>-2.1680216802168029E-2</v>
      </c>
      <c r="AZ245" s="75">
        <f t="shared" si="228"/>
        <v>2.1505376344086002E-2</v>
      </c>
      <c r="BA245" s="75">
        <f t="shared" si="228"/>
        <v>0.1063829787234043</v>
      </c>
      <c r="BB245" s="75">
        <f t="shared" si="228"/>
        <v>0.10526315789473695</v>
      </c>
      <c r="BC245" s="75">
        <f t="shared" si="228"/>
        <v>-0.1428571428571429</v>
      </c>
      <c r="BD245" s="75">
        <f t="shared" si="228"/>
        <v>1.6620498614958512E-2</v>
      </c>
      <c r="BE245" s="76">
        <f t="shared" si="228"/>
        <v>-0.17894736842105263</v>
      </c>
      <c r="BF245" s="76">
        <f t="shared" si="228"/>
        <v>-0.25</v>
      </c>
      <c r="BG245" s="76">
        <f t="shared" si="228"/>
        <v>-0.1428571428571429</v>
      </c>
      <c r="BH245" s="76">
        <f t="shared" si="228"/>
        <v>-0.1071428571428571</v>
      </c>
      <c r="BI245" s="90">
        <f t="shared" si="228"/>
        <v>-0.17438692098092645</v>
      </c>
      <c r="BJ245" s="76">
        <f t="shared" si="228"/>
        <v>3.8461538461538547E-2</v>
      </c>
      <c r="BK245" s="76">
        <f t="shared" si="228"/>
        <v>-6.4102564102564097E-2</v>
      </c>
      <c r="BL245" s="76">
        <f t="shared" si="228"/>
        <v>-4.166666666666663E-2</v>
      </c>
      <c r="BM245" s="76">
        <f t="shared" si="228"/>
        <v>4.0000000000000036E-2</v>
      </c>
      <c r="BN245" s="90">
        <f>BN242/BI242-1</f>
        <v>-6.6006600660065695E-3</v>
      </c>
      <c r="BO245" s="76">
        <f t="shared" si="228"/>
        <v>-6.1728395061728447E-2</v>
      </c>
      <c r="BP245" s="76">
        <f t="shared" si="228"/>
        <v>-1.3698630136986356E-2</v>
      </c>
      <c r="BQ245" s="76">
        <f t="shared" si="228"/>
        <v>-0.15942028985507251</v>
      </c>
      <c r="BR245" s="76">
        <f t="shared" si="228"/>
        <v>-0.17948717948717952</v>
      </c>
      <c r="BS245" s="75">
        <f>BS242/BN242-1</f>
        <v>-0.10299003322259137</v>
      </c>
      <c r="BT245" s="76">
        <f t="shared" si="228"/>
        <v>-0.38157894736842102</v>
      </c>
      <c r="BU245" s="76">
        <f t="shared" si="228"/>
        <v>-0.16666666666666663</v>
      </c>
      <c r="BV245" s="76">
        <f t="shared" si="228"/>
        <v>-1.7241379310344862E-2</v>
      </c>
      <c r="BW245" s="76">
        <f t="shared" si="228"/>
        <v>-9.375E-2</v>
      </c>
      <c r="BX245" s="75">
        <f>BX242/BS242-1</f>
        <v>-0.17777777777777781</v>
      </c>
      <c r="BY245" s="76">
        <f t="shared" si="228"/>
        <v>-0.1063829787234043</v>
      </c>
      <c r="BZ245" s="76">
        <f t="shared" si="228"/>
        <v>-0.1166666666666667</v>
      </c>
      <c r="CA245" s="76">
        <f t="shared" si="228"/>
        <v>-8.7719298245614086E-2</v>
      </c>
      <c r="CB245" s="76">
        <f t="shared" si="228"/>
        <v>-0.12068965517241381</v>
      </c>
      <c r="CC245" s="75">
        <f>CC242/BX242-1</f>
        <v>-0.10810810810810811</v>
      </c>
      <c r="CD245" s="76">
        <f t="shared" si="228"/>
        <v>-4.7619047619047672E-2</v>
      </c>
      <c r="CE245" s="76">
        <f t="shared" si="228"/>
        <v>-0.1132075471698113</v>
      </c>
      <c r="CF245" s="76">
        <f t="shared" si="228"/>
        <v>-0.21153846153846156</v>
      </c>
      <c r="CG245" s="76">
        <f t="shared" si="228"/>
        <v>-7.8431372549019662E-2</v>
      </c>
      <c r="CH245" s="75">
        <f t="shared" si="228"/>
        <v>-0.11616161616161613</v>
      </c>
      <c r="CI245" s="76">
        <f t="shared" si="228"/>
        <v>-3.7499999999999978E-2</v>
      </c>
      <c r="CJ245" s="76">
        <f t="shared" si="228"/>
        <v>-8.5106382978723416E-2</v>
      </c>
      <c r="CK245" s="76">
        <f t="shared" si="228"/>
        <v>-0.17073170731707321</v>
      </c>
      <c r="CL245" s="76">
        <f t="shared" si="228"/>
        <v>-0.21276595744680848</v>
      </c>
      <c r="CM245" s="75">
        <f t="shared" si="228"/>
        <v>-0.12857142857142856</v>
      </c>
      <c r="CN245" s="75">
        <f t="shared" si="228"/>
        <v>-0.27272727272727271</v>
      </c>
      <c r="CO245" s="75">
        <f t="shared" si="228"/>
        <v>-9.3023255813953543E-2</v>
      </c>
      <c r="CP245" s="75">
        <f t="shared" si="228"/>
        <v>2.9411764705882248E-2</v>
      </c>
      <c r="CQ245" s="75">
        <f t="shared" si="228"/>
        <v>-2.7027027027026973E-2</v>
      </c>
      <c r="CR245" s="75">
        <f>CR242/CM242-1</f>
        <v>-9.5081967213114793E-2</v>
      </c>
      <c r="CS245" s="75">
        <f t="shared" si="228"/>
        <v>-0.25</v>
      </c>
      <c r="CT245" s="75">
        <f t="shared" si="228"/>
        <v>-0.38461538461538458</v>
      </c>
      <c r="CU245" s="75">
        <f t="shared" si="228"/>
        <v>-0.11428571428571432</v>
      </c>
      <c r="CV245" s="75">
        <f t="shared" si="228"/>
        <v>-8.333333333333337E-2</v>
      </c>
      <c r="CW245" s="90">
        <f>CW242/CR242-1</f>
        <v>-0.21014492753623193</v>
      </c>
      <c r="CX245" s="75">
        <f t="shared" si="228"/>
        <v>0.28571428571428581</v>
      </c>
      <c r="CY245" s="75"/>
      <c r="CZ245" s="75"/>
      <c r="DA245" s="75"/>
      <c r="DB245" s="90"/>
      <c r="DC245" s="90"/>
      <c r="DD245" s="90"/>
      <c r="DE245" s="90"/>
      <c r="DF245" s="90"/>
      <c r="DG245" s="75"/>
      <c r="DH245" s="75"/>
      <c r="DI245" s="75"/>
      <c r="DJ245" s="75"/>
      <c r="DK245" s="75"/>
      <c r="DL245" s="192"/>
      <c r="DM245" s="192"/>
      <c r="DN245" s="192"/>
      <c r="DO245" s="192"/>
      <c r="DP245" s="192"/>
    </row>
    <row r="246" spans="1:120" x14ac:dyDescent="0.2">
      <c r="A246" s="78" t="s">
        <v>56</v>
      </c>
      <c r="F246" s="98"/>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3"/>
      <c r="AH246" s="83"/>
      <c r="AI246" s="83"/>
      <c r="AJ246" s="83"/>
      <c r="AK246" s="83"/>
      <c r="AL246" s="83"/>
      <c r="AM246" s="83"/>
      <c r="AN246" s="83"/>
      <c r="AO246" s="83"/>
      <c r="AP246" s="83"/>
      <c r="AQ246" s="83"/>
      <c r="AR246" s="83"/>
      <c r="AS246" s="83"/>
      <c r="AT246" s="83">
        <f t="shared" si="228"/>
        <v>-4.861111111111116E-2</v>
      </c>
      <c r="AU246" s="83">
        <f t="shared" si="228"/>
        <v>2.2900763358778553E-2</v>
      </c>
      <c r="AV246" s="83">
        <f t="shared" si="228"/>
        <v>-5.5172413793103448E-2</v>
      </c>
      <c r="AW246" s="83">
        <f t="shared" si="228"/>
        <v>-2.4590163934426257E-2</v>
      </c>
      <c r="AX246" s="83">
        <f t="shared" si="228"/>
        <v>-7.999999999999996E-2</v>
      </c>
      <c r="AY246" s="83">
        <f t="shared" si="228"/>
        <v>-3.6496350364963459E-2</v>
      </c>
      <c r="AZ246" s="83">
        <f t="shared" si="228"/>
        <v>-7.4626865671642006E-3</v>
      </c>
      <c r="BA246" s="83">
        <f t="shared" si="228"/>
        <v>3.649635036496357E-2</v>
      </c>
      <c r="BB246" s="83">
        <f t="shared" si="228"/>
        <v>8.4033613445378075E-2</v>
      </c>
      <c r="BC246" s="83">
        <f t="shared" si="228"/>
        <v>-8.6956521739130488E-2</v>
      </c>
      <c r="BD246" s="83">
        <f t="shared" si="228"/>
        <v>3.7878787878788955E-3</v>
      </c>
      <c r="BE246" s="80">
        <f t="shared" si="228"/>
        <v>-0.1278195488721805</v>
      </c>
      <c r="BF246" s="80">
        <f t="shared" si="228"/>
        <v>-0.11971830985915488</v>
      </c>
      <c r="BG246" s="80">
        <f>BG243/BB243-1</f>
        <v>-0.13953488372093026</v>
      </c>
      <c r="BH246" s="80">
        <f>BH243/BC243-1</f>
        <v>-7.1428571428571397E-2</v>
      </c>
      <c r="BI246" s="80">
        <f t="shared" si="228"/>
        <v>-0.11509433962264148</v>
      </c>
      <c r="BJ246" s="80">
        <f t="shared" si="228"/>
        <v>5.1724137931034475E-2</v>
      </c>
      <c r="BK246" s="91">
        <f>BK243/BF243-1</f>
        <v>8.0000000000000071E-2</v>
      </c>
      <c r="BL246" s="91">
        <f>BL243/BG243-1</f>
        <v>0.11711711711711703</v>
      </c>
      <c r="BM246" s="91">
        <f>BM243/BH243-1</f>
        <v>-0.13675213675213671</v>
      </c>
      <c r="BN246" s="80">
        <f>BN243/BI243-1</f>
        <v>2.771855010660973E-2</v>
      </c>
      <c r="BO246" s="80">
        <f>BO243/BJ243-1</f>
        <v>-9.8360655737704916E-2</v>
      </c>
      <c r="BP246" s="91">
        <f>BP243/BK243-1</f>
        <v>-0.24444444444444446</v>
      </c>
      <c r="BQ246" s="91">
        <f>BQ243/BL243-1</f>
        <v>-0.217741935483871</v>
      </c>
      <c r="BR246" s="91">
        <f>BR243/BM243-1</f>
        <v>9.9009900990099098E-3</v>
      </c>
      <c r="BS246" s="83">
        <f>BS243/BN243-1</f>
        <v>-0.14730290456431538</v>
      </c>
      <c r="BT246" s="80">
        <f>BT243/BO243-1</f>
        <v>-0.26363636363636367</v>
      </c>
      <c r="BU246" s="80">
        <f>BU243/BP243-1</f>
        <v>9.8039215686274606E-2</v>
      </c>
      <c r="BV246" s="91">
        <f>BV243/BQ243-1</f>
        <v>-3.0927835051546393E-2</v>
      </c>
      <c r="BW246" s="91">
        <f>BW243/BR243-1</f>
        <v>-6.8627450980392135E-2</v>
      </c>
      <c r="BX246" s="83">
        <f>BX243/BS243-1</f>
        <v>-7.0559610705596132E-2</v>
      </c>
      <c r="BY246" s="83">
        <f>BY243/BT243-1</f>
        <v>0.16049382716049387</v>
      </c>
      <c r="BZ246" s="83">
        <f>BZ243/BU243-1</f>
        <v>-0.3482142857142857</v>
      </c>
      <c r="CA246" s="83">
        <f>CA243/BV243-1</f>
        <v>7.4468085106383031E-2</v>
      </c>
      <c r="CB246" s="83">
        <f>CB243/BW243-1</f>
        <v>-8.4210526315789513E-2</v>
      </c>
      <c r="CC246" s="83">
        <f>CC243/BX243-1</f>
        <v>-6.8062827225130906E-2</v>
      </c>
      <c r="CD246" s="83">
        <f>CD243/BY243-1</f>
        <v>-0.12765957446808507</v>
      </c>
      <c r="CE246" s="83">
        <f>CE243/BZ243-1</f>
        <v>8.2191780821917915E-2</v>
      </c>
      <c r="CF246" s="83">
        <f>CF243/CA243-1</f>
        <v>-0.29702970297029707</v>
      </c>
      <c r="CG246" s="83">
        <f>CG243/CB243-1</f>
        <v>-0.24137931034482762</v>
      </c>
      <c r="CH246" s="83">
        <f t="shared" si="228"/>
        <v>-0.1629213483146067</v>
      </c>
      <c r="CI246" s="83">
        <f t="shared" si="228"/>
        <v>-0.18292682926829273</v>
      </c>
      <c r="CJ246" s="83">
        <f t="shared" si="228"/>
        <v>-0.11392405063291144</v>
      </c>
      <c r="CK246" s="83">
        <f t="shared" si="228"/>
        <v>-0.15492957746478875</v>
      </c>
      <c r="CL246" s="83">
        <f t="shared" si="228"/>
        <v>6.0606060606060552E-2</v>
      </c>
      <c r="CM246" s="83">
        <f t="shared" si="228"/>
        <v>-0.10402684563758391</v>
      </c>
      <c r="CN246" s="83">
        <f t="shared" si="228"/>
        <v>-0.14925373134328357</v>
      </c>
      <c r="CO246" s="83">
        <f t="shared" si="228"/>
        <v>-9.9999999999999978E-2</v>
      </c>
      <c r="CP246" s="83">
        <f t="shared" si="228"/>
        <v>3.3333333333333437E-2</v>
      </c>
      <c r="CQ246" s="83">
        <f t="shared" si="228"/>
        <v>-0.17142857142857137</v>
      </c>
      <c r="CR246" s="83">
        <f>CR243/CM243-1</f>
        <v>-0.101123595505618</v>
      </c>
      <c r="CS246" s="83">
        <f t="shared" si="228"/>
        <v>-0.2807017543859649</v>
      </c>
      <c r="CT246" s="83">
        <f t="shared" si="228"/>
        <v>-0.30158730158730163</v>
      </c>
      <c r="CU246" s="83">
        <f t="shared" si="228"/>
        <v>-0.19354838709677424</v>
      </c>
      <c r="CV246" s="83">
        <f t="shared" si="228"/>
        <v>-1.7241379310344862E-2</v>
      </c>
      <c r="CW246" s="83">
        <f>CW243/CR243-1</f>
        <v>-0.19999999999999996</v>
      </c>
      <c r="CX246" s="83">
        <f>CX243/CS243-1</f>
        <v>0.26829268292682928</v>
      </c>
      <c r="CY246" s="83"/>
      <c r="CZ246" s="83"/>
      <c r="DA246" s="83"/>
      <c r="DB246" s="83"/>
      <c r="DC246" s="83"/>
      <c r="DD246" s="83"/>
      <c r="DE246" s="83"/>
      <c r="DF246" s="83"/>
      <c r="DG246" s="83"/>
      <c r="DH246" s="83"/>
      <c r="DI246" s="83"/>
      <c r="DJ246" s="83"/>
      <c r="DK246" s="83"/>
      <c r="DL246" s="193"/>
      <c r="DM246" s="193"/>
      <c r="DN246" s="193"/>
      <c r="DO246" s="193"/>
      <c r="DP246" s="193"/>
    </row>
    <row r="247" spans="1:120" x14ac:dyDescent="0.2">
      <c r="A247" s="115" t="s">
        <v>182</v>
      </c>
      <c r="B247" s="36">
        <v>284.48203000000001</v>
      </c>
      <c r="C247" s="36">
        <v>284.48200000000003</v>
      </c>
      <c r="D247" s="86">
        <v>284.21050000000002</v>
      </c>
      <c r="E247" s="36">
        <v>304.05690645052346</v>
      </c>
      <c r="F247" s="36">
        <v>1157.2315096251266</v>
      </c>
      <c r="G247" s="36">
        <v>384</v>
      </c>
      <c r="H247" s="36">
        <v>419</v>
      </c>
      <c r="I247" s="86">
        <v>265</v>
      </c>
      <c r="J247" s="86">
        <v>461</v>
      </c>
      <c r="K247" s="36">
        <f>J247+I247+H247+G247</f>
        <v>1529</v>
      </c>
      <c r="L247" s="86">
        <v>567</v>
      </c>
      <c r="M247" s="86">
        <v>260</v>
      </c>
      <c r="N247" s="86">
        <v>411.25</v>
      </c>
      <c r="O247" s="36">
        <v>324.25</v>
      </c>
      <c r="P247" s="36">
        <f>O247+N247+M247+L247</f>
        <v>1562.5</v>
      </c>
      <c r="Q247" s="36">
        <v>442</v>
      </c>
      <c r="R247" s="36">
        <v>438</v>
      </c>
      <c r="S247" s="36">
        <v>443</v>
      </c>
      <c r="T247" s="36">
        <v>449</v>
      </c>
      <c r="U247" s="36">
        <f>T247+S247+R247+Q247</f>
        <v>1772</v>
      </c>
      <c r="V247" s="36">
        <v>410</v>
      </c>
      <c r="W247" s="36">
        <v>476</v>
      </c>
      <c r="X247" s="36">
        <v>461</v>
      </c>
      <c r="Y247" s="36">
        <v>482</v>
      </c>
      <c r="Z247" s="36">
        <f>Y247+X247+W247+V247</f>
        <v>1829</v>
      </c>
      <c r="AA247" s="36">
        <v>457</v>
      </c>
      <c r="AB247" s="36">
        <v>516</v>
      </c>
      <c r="AC247" s="36">
        <v>493</v>
      </c>
      <c r="AD247" s="36">
        <v>517</v>
      </c>
      <c r="AE247" s="36">
        <f>AD247+AC247+AB247+AA247</f>
        <v>1983</v>
      </c>
      <c r="AF247" s="36">
        <v>483</v>
      </c>
      <c r="AG247" s="36">
        <v>506</v>
      </c>
      <c r="AH247" s="36">
        <v>471</v>
      </c>
      <c r="AI247" s="36">
        <v>522</v>
      </c>
      <c r="AJ247" s="36">
        <f>AI247+AH247+AG247+AF247</f>
        <v>1982</v>
      </c>
      <c r="AK247" s="36">
        <v>202</v>
      </c>
      <c r="AL247" s="36">
        <v>123</v>
      </c>
      <c r="AM247" s="36">
        <v>96</v>
      </c>
      <c r="AN247" s="36">
        <v>77</v>
      </c>
      <c r="AO247" s="36">
        <f>AN247+AM247+AL247+AK247</f>
        <v>498</v>
      </c>
      <c r="AP247" s="36">
        <v>41</v>
      </c>
      <c r="AQ247" s="36">
        <v>42</v>
      </c>
      <c r="AR247" s="36">
        <v>39</v>
      </c>
      <c r="AS247" s="36">
        <v>39</v>
      </c>
      <c r="AT247" s="36">
        <f>AS247+AR247+AQ247+AP247</f>
        <v>161</v>
      </c>
      <c r="AU247" s="36">
        <v>25</v>
      </c>
      <c r="AV247" s="36">
        <v>21</v>
      </c>
      <c r="AW247" s="36">
        <v>21</v>
      </c>
      <c r="AX247" s="36">
        <v>25</v>
      </c>
      <c r="AY247" s="36">
        <f>AX247+AW247+AV247+AU247</f>
        <v>92</v>
      </c>
      <c r="AZ247" s="36">
        <v>13</v>
      </c>
      <c r="BA247" s="36">
        <v>15</v>
      </c>
      <c r="BB247" s="36">
        <v>10</v>
      </c>
      <c r="BC247" s="36">
        <v>8</v>
      </c>
      <c r="BD247" s="36">
        <f>BC247+BB247+BA247+AZ247</f>
        <v>46</v>
      </c>
      <c r="BE247" s="36">
        <v>7</v>
      </c>
      <c r="BF247" s="36">
        <v>9</v>
      </c>
      <c r="BG247" s="36">
        <v>6</v>
      </c>
      <c r="BH247" s="36">
        <v>6</v>
      </c>
      <c r="BI247" s="36">
        <f>SUM(BE247:BH247)</f>
        <v>28</v>
      </c>
      <c r="BJ247" s="36">
        <v>5</v>
      </c>
      <c r="BK247" s="36">
        <v>4</v>
      </c>
      <c r="BL247" s="36">
        <v>7</v>
      </c>
      <c r="BM247" s="36">
        <v>4</v>
      </c>
      <c r="BN247" s="36">
        <f>SUM(BJ247:BM247)</f>
        <v>20</v>
      </c>
      <c r="BO247" s="36">
        <v>4</v>
      </c>
      <c r="BP247" s="36">
        <v>6</v>
      </c>
      <c r="BQ247" s="36">
        <v>3</v>
      </c>
      <c r="BR247" s="36">
        <v>4</v>
      </c>
      <c r="BS247" s="36">
        <f>SUM(BO247:BR247)</f>
        <v>17</v>
      </c>
      <c r="BT247" s="36">
        <v>3</v>
      </c>
      <c r="BU247" s="36">
        <v>3</v>
      </c>
      <c r="BV247" s="36">
        <v>4</v>
      </c>
      <c r="BW247" s="36">
        <v>2</v>
      </c>
      <c r="BX247" s="36">
        <f>SUM(BT247:BW247)</f>
        <v>12</v>
      </c>
      <c r="BY247" s="36">
        <v>1</v>
      </c>
      <c r="BZ247" s="36">
        <v>0</v>
      </c>
      <c r="CA247" s="36">
        <v>2</v>
      </c>
      <c r="CB247" s="36">
        <v>2</v>
      </c>
      <c r="CC247" s="36">
        <f>SUM(BY247:CB247)</f>
        <v>5</v>
      </c>
      <c r="CD247" s="36">
        <v>1</v>
      </c>
      <c r="CE247" s="36">
        <v>2</v>
      </c>
      <c r="CF247" s="36">
        <v>4</v>
      </c>
      <c r="CG247" s="36">
        <v>-1</v>
      </c>
      <c r="CH247" s="36">
        <f>SUM(CD247:CG247)</f>
        <v>6</v>
      </c>
      <c r="CI247" s="36">
        <v>-2</v>
      </c>
      <c r="CJ247" s="36">
        <v>3</v>
      </c>
      <c r="CK247" s="36">
        <v>2</v>
      </c>
      <c r="CL247" s="36">
        <v>1</v>
      </c>
      <c r="CM247" s="36">
        <f>SUM(CI247:CL247)</f>
        <v>4</v>
      </c>
      <c r="CN247" s="36"/>
      <c r="CO247" s="36"/>
      <c r="CP247" s="36"/>
      <c r="CQ247" s="36"/>
      <c r="CR247" s="36"/>
      <c r="CS247" s="36"/>
      <c r="CT247" s="36"/>
      <c r="CU247" s="36"/>
      <c r="CV247" s="36"/>
      <c r="CW247" s="36"/>
      <c r="CX247" s="36"/>
      <c r="CY247" s="36"/>
      <c r="CZ247" s="36"/>
      <c r="DA247" s="36"/>
      <c r="DB247" s="36"/>
      <c r="DC247" s="36"/>
      <c r="DD247" s="36"/>
      <c r="DE247" s="36"/>
      <c r="DF247" s="36"/>
      <c r="DG247" s="36"/>
      <c r="DH247" s="36"/>
      <c r="DI247" s="36"/>
      <c r="DJ247" s="36"/>
      <c r="DK247" s="36"/>
      <c r="DL247" s="183"/>
      <c r="DM247" s="183"/>
      <c r="DN247" s="183"/>
      <c r="DO247" s="183"/>
      <c r="DP247" s="183"/>
    </row>
    <row r="248" spans="1:120" x14ac:dyDescent="0.2">
      <c r="A248" s="115" t="s">
        <v>183</v>
      </c>
      <c r="B248" s="36">
        <v>110.259</v>
      </c>
      <c r="C248" s="36">
        <v>110.25951999999999</v>
      </c>
      <c r="D248" s="86">
        <v>135.03639999999999</v>
      </c>
      <c r="E248" s="36">
        <v>137.14285714285714</v>
      </c>
      <c r="F248" s="36">
        <v>492.69841269841271</v>
      </c>
      <c r="G248" s="36">
        <v>131</v>
      </c>
      <c r="H248" s="36">
        <v>167</v>
      </c>
      <c r="I248" s="86">
        <v>186</v>
      </c>
      <c r="J248" s="86">
        <v>230</v>
      </c>
      <c r="K248" s="36">
        <f>J248+I248+H248+G248</f>
        <v>714</v>
      </c>
      <c r="L248" s="86">
        <v>228</v>
      </c>
      <c r="M248" s="86">
        <v>284</v>
      </c>
      <c r="N248" s="86">
        <v>276</v>
      </c>
      <c r="O248" s="36">
        <v>326</v>
      </c>
      <c r="P248" s="36">
        <f>O248+N248+M248+L248</f>
        <v>1114</v>
      </c>
      <c r="Q248" s="36">
        <v>317</v>
      </c>
      <c r="R248" s="36">
        <v>354</v>
      </c>
      <c r="S248" s="36">
        <v>335</v>
      </c>
      <c r="T248" s="36">
        <v>382</v>
      </c>
      <c r="U248" s="36">
        <f>T248+S248+R248+Q248</f>
        <v>1388</v>
      </c>
      <c r="V248" s="36">
        <v>362</v>
      </c>
      <c r="W248" s="36">
        <v>377</v>
      </c>
      <c r="X248" s="36">
        <v>316</v>
      </c>
      <c r="Y248" s="36">
        <v>307</v>
      </c>
      <c r="Z248" s="36">
        <f>Y248+X248+W248+V248</f>
        <v>1362</v>
      </c>
      <c r="AA248" s="36">
        <v>297</v>
      </c>
      <c r="AB248" s="36">
        <v>305</v>
      </c>
      <c r="AC248" s="36">
        <v>278</v>
      </c>
      <c r="AD248" s="36">
        <v>272</v>
      </c>
      <c r="AE248" s="36">
        <f>AD248+AC248+AB248+AA248</f>
        <v>1152</v>
      </c>
      <c r="AF248" s="36">
        <v>259</v>
      </c>
      <c r="AG248" s="36">
        <v>279</v>
      </c>
      <c r="AH248" s="36">
        <f ca="1">AC248*(1+AH251)</f>
        <v>254.30163934426227</v>
      </c>
      <c r="AI248" s="36">
        <v>274</v>
      </c>
      <c r="AJ248" s="36">
        <f ca="1">AI248+AH248+AG248+AF248</f>
        <v>1066.3016393442622</v>
      </c>
      <c r="AK248" s="36">
        <v>268</v>
      </c>
      <c r="AL248" s="36">
        <v>288</v>
      </c>
      <c r="AM248" s="36">
        <v>258</v>
      </c>
      <c r="AN248" s="36">
        <v>241</v>
      </c>
      <c r="AO248" s="36">
        <f>AN248+AM248+AL248+AK248</f>
        <v>1055</v>
      </c>
      <c r="AP248" s="36">
        <v>220</v>
      </c>
      <c r="AQ248" s="36">
        <v>236</v>
      </c>
      <c r="AR248" s="36">
        <v>237</v>
      </c>
      <c r="AS248" s="36">
        <v>246</v>
      </c>
      <c r="AT248" s="36">
        <f>AS248+AR248+AQ248+AP248</f>
        <v>939</v>
      </c>
      <c r="AU248" s="36">
        <v>205</v>
      </c>
      <c r="AV248" s="36">
        <v>220</v>
      </c>
      <c r="AW248" s="36">
        <v>198</v>
      </c>
      <c r="AX248" s="36">
        <v>209</v>
      </c>
      <c r="AY248" s="36">
        <f>AX248+AW248+AV248+AU248</f>
        <v>832</v>
      </c>
      <c r="AZ248" s="36">
        <v>195</v>
      </c>
      <c r="BA248" s="36">
        <v>206</v>
      </c>
      <c r="BB248" s="36">
        <v>205</v>
      </c>
      <c r="BC248" s="36">
        <v>204</v>
      </c>
      <c r="BD248" s="36">
        <f>BC248+BB248+BA248+AZ248</f>
        <v>810</v>
      </c>
      <c r="BE248" s="36">
        <v>177</v>
      </c>
      <c r="BF248" s="36">
        <v>177</v>
      </c>
      <c r="BG248" s="36">
        <v>146</v>
      </c>
      <c r="BH248" s="36">
        <v>148</v>
      </c>
      <c r="BI248" s="36">
        <f>SUM(BE248:BH248)</f>
        <v>648</v>
      </c>
      <c r="BJ248" s="36">
        <v>132</v>
      </c>
      <c r="BK248" s="36">
        <v>144</v>
      </c>
      <c r="BL248" s="36">
        <v>133</v>
      </c>
      <c r="BM248" s="36">
        <v>135</v>
      </c>
      <c r="BN248" s="36">
        <f>SUM(BJ248:BM248)</f>
        <v>544</v>
      </c>
      <c r="BO248" s="36">
        <v>119</v>
      </c>
      <c r="BP248" s="36">
        <v>116</v>
      </c>
      <c r="BQ248" s="36">
        <v>111</v>
      </c>
      <c r="BR248" s="36">
        <v>108</v>
      </c>
      <c r="BS248" s="36">
        <f>SUM(BO248:BR248)</f>
        <v>454</v>
      </c>
      <c r="BT248" s="36">
        <v>91</v>
      </c>
      <c r="BU248" s="36">
        <v>93</v>
      </c>
      <c r="BV248" s="36">
        <v>83</v>
      </c>
      <c r="BW248" s="36">
        <v>80</v>
      </c>
      <c r="BX248" s="36">
        <f>SUM(BT248:BW248)</f>
        <v>347</v>
      </c>
      <c r="BY248" s="36">
        <v>74</v>
      </c>
      <c r="BZ248" s="36">
        <v>73</v>
      </c>
      <c r="CA248" s="36">
        <v>66</v>
      </c>
      <c r="CB248" s="36">
        <v>66</v>
      </c>
      <c r="CC248" s="36">
        <f>SUM(BY248:CB248)</f>
        <v>279</v>
      </c>
      <c r="CD248" s="36">
        <v>60</v>
      </c>
      <c r="CE248" s="36">
        <v>65</v>
      </c>
      <c r="CF248" s="36">
        <v>48</v>
      </c>
      <c r="CG248" s="36">
        <v>62</v>
      </c>
      <c r="CH248" s="36">
        <f>SUM(CD248:CG248)</f>
        <v>235</v>
      </c>
      <c r="CI248" s="36">
        <v>57</v>
      </c>
      <c r="CJ248" s="36">
        <v>56</v>
      </c>
      <c r="CK248" s="36">
        <v>42</v>
      </c>
      <c r="CL248" s="36">
        <v>49</v>
      </c>
      <c r="CM248" s="36">
        <f>SUM(CI248:CL248)</f>
        <v>204</v>
      </c>
      <c r="CN248" s="36"/>
      <c r="CO248" s="36"/>
      <c r="CP248" s="36"/>
      <c r="CQ248" s="36"/>
      <c r="CR248" s="36"/>
      <c r="CS248" s="36"/>
      <c r="CT248" s="36"/>
      <c r="CU248" s="36"/>
      <c r="CV248" s="36"/>
      <c r="CW248" s="36"/>
      <c r="CX248" s="36"/>
      <c r="CY248" s="36"/>
      <c r="CZ248" s="36"/>
      <c r="DA248" s="36"/>
      <c r="DB248" s="36"/>
      <c r="DC248" s="36"/>
      <c r="DD248" s="36"/>
      <c r="DE248" s="36"/>
      <c r="DF248" s="36"/>
      <c r="DG248" s="36"/>
      <c r="DH248" s="36"/>
      <c r="DI248" s="36"/>
      <c r="DJ248" s="36"/>
      <c r="DK248" s="36"/>
      <c r="DL248" s="183"/>
      <c r="DM248" s="183"/>
      <c r="DN248" s="183"/>
      <c r="DO248" s="183"/>
      <c r="DP248" s="183"/>
    </row>
    <row r="249" spans="1:120" x14ac:dyDescent="0.2">
      <c r="A249" s="116" t="s">
        <v>184</v>
      </c>
      <c r="B249" s="39">
        <f t="shared" ref="B249:U249" si="229">B248+B247</f>
        <v>394.74103000000002</v>
      </c>
      <c r="C249" s="39">
        <f t="shared" si="229"/>
        <v>394.74152000000004</v>
      </c>
      <c r="D249" s="39">
        <f t="shared" si="229"/>
        <v>419.24689999999998</v>
      </c>
      <c r="E249" s="39">
        <f t="shared" si="229"/>
        <v>441.19976359338057</v>
      </c>
      <c r="F249" s="39">
        <f t="shared" si="229"/>
        <v>1649.9299223235394</v>
      </c>
      <c r="G249" s="39">
        <f t="shared" si="229"/>
        <v>515</v>
      </c>
      <c r="H249" s="39">
        <f t="shared" si="229"/>
        <v>586</v>
      </c>
      <c r="I249" s="39">
        <f t="shared" si="229"/>
        <v>451</v>
      </c>
      <c r="J249" s="39">
        <f t="shared" si="229"/>
        <v>691</v>
      </c>
      <c r="K249" s="39">
        <f t="shared" si="229"/>
        <v>2243</v>
      </c>
      <c r="L249" s="39">
        <f t="shared" si="229"/>
        <v>795</v>
      </c>
      <c r="M249" s="39">
        <f t="shared" si="229"/>
        <v>544</v>
      </c>
      <c r="N249" s="39">
        <f t="shared" si="229"/>
        <v>687.25</v>
      </c>
      <c r="O249" s="39">
        <f t="shared" si="229"/>
        <v>650.25</v>
      </c>
      <c r="P249" s="39">
        <f t="shared" si="229"/>
        <v>2676.5</v>
      </c>
      <c r="Q249" s="39">
        <f t="shared" si="229"/>
        <v>759</v>
      </c>
      <c r="R249" s="39">
        <f t="shared" si="229"/>
        <v>792</v>
      </c>
      <c r="S249" s="39">
        <f t="shared" si="229"/>
        <v>778</v>
      </c>
      <c r="T249" s="39">
        <f t="shared" si="229"/>
        <v>831</v>
      </c>
      <c r="U249" s="39">
        <f t="shared" si="229"/>
        <v>3160</v>
      </c>
      <c r="V249" s="39">
        <f>V248+V247+1</f>
        <v>773</v>
      </c>
      <c r="W249" s="39">
        <f>W248+W247+1</f>
        <v>854</v>
      </c>
      <c r="X249" s="39">
        <f>X248+X247+1</f>
        <v>778</v>
      </c>
      <c r="Y249" s="39">
        <f>Y248+Y247+1</f>
        <v>790</v>
      </c>
      <c r="Z249" s="39">
        <f>Z248+Z247</f>
        <v>3191</v>
      </c>
      <c r="AA249" s="39">
        <f>AA248+AA247+1</f>
        <v>755</v>
      </c>
      <c r="AB249" s="39">
        <f>AB248+AB247+1</f>
        <v>822</v>
      </c>
      <c r="AC249" s="39">
        <f>AC248+AC247</f>
        <v>771</v>
      </c>
      <c r="AD249" s="39">
        <f>AD248+AD247</f>
        <v>789</v>
      </c>
      <c r="AE249" s="39">
        <f>AE248+AE247</f>
        <v>3135</v>
      </c>
      <c r="AF249" s="39">
        <f>AF248+AF247</f>
        <v>742</v>
      </c>
      <c r="AG249" s="39">
        <f>AG248+AG247</f>
        <v>785</v>
      </c>
      <c r="AH249" s="39">
        <v>254</v>
      </c>
      <c r="AI249" s="39">
        <f t="shared" ref="AI249:BD249" si="230">AI248+AI247</f>
        <v>796</v>
      </c>
      <c r="AJ249" s="39">
        <f ca="1">AJ248+AJ247</f>
        <v>3048.3016393442622</v>
      </c>
      <c r="AK249" s="39">
        <f t="shared" si="230"/>
        <v>470</v>
      </c>
      <c r="AL249" s="39">
        <f t="shared" si="230"/>
        <v>411</v>
      </c>
      <c r="AM249" s="39">
        <f t="shared" si="230"/>
        <v>354</v>
      </c>
      <c r="AN249" s="39">
        <f t="shared" si="230"/>
        <v>318</v>
      </c>
      <c r="AO249" s="39">
        <f t="shared" si="230"/>
        <v>1553</v>
      </c>
      <c r="AP249" s="39">
        <f t="shared" si="230"/>
        <v>261</v>
      </c>
      <c r="AQ249" s="39">
        <f t="shared" si="230"/>
        <v>278</v>
      </c>
      <c r="AR249" s="39">
        <f t="shared" si="230"/>
        <v>276</v>
      </c>
      <c r="AS249" s="39">
        <f t="shared" si="230"/>
        <v>285</v>
      </c>
      <c r="AT249" s="39">
        <f t="shared" si="230"/>
        <v>1100</v>
      </c>
      <c r="AU249" s="39">
        <f t="shared" si="230"/>
        <v>230</v>
      </c>
      <c r="AV249" s="39">
        <f t="shared" si="230"/>
        <v>241</v>
      </c>
      <c r="AW249" s="39">
        <f t="shared" si="230"/>
        <v>219</v>
      </c>
      <c r="AX249" s="39">
        <f t="shared" si="230"/>
        <v>234</v>
      </c>
      <c r="AY249" s="39">
        <f t="shared" si="230"/>
        <v>924</v>
      </c>
      <c r="AZ249" s="39">
        <f t="shared" si="230"/>
        <v>208</v>
      </c>
      <c r="BA249" s="39">
        <f t="shared" si="230"/>
        <v>221</v>
      </c>
      <c r="BB249" s="39">
        <f t="shared" si="230"/>
        <v>215</v>
      </c>
      <c r="BC249" s="39">
        <f t="shared" si="230"/>
        <v>212</v>
      </c>
      <c r="BD249" s="39">
        <f t="shared" si="230"/>
        <v>856</v>
      </c>
      <c r="BE249" s="39">
        <f>BE247+BE248</f>
        <v>184</v>
      </c>
      <c r="BF249" s="39">
        <f>BF247+BF248</f>
        <v>186</v>
      </c>
      <c r="BG249" s="39">
        <f>BG247+BG248</f>
        <v>152</v>
      </c>
      <c r="BH249" s="39">
        <f>BH247+BH248</f>
        <v>154</v>
      </c>
      <c r="BI249" s="39">
        <f t="shared" ref="BI249:CM249" si="231">BI248+BI247</f>
        <v>676</v>
      </c>
      <c r="BJ249" s="39">
        <f t="shared" si="231"/>
        <v>137</v>
      </c>
      <c r="BK249" s="39">
        <f t="shared" si="231"/>
        <v>148</v>
      </c>
      <c r="BL249" s="39">
        <f t="shared" si="231"/>
        <v>140</v>
      </c>
      <c r="BM249" s="39">
        <f t="shared" si="231"/>
        <v>139</v>
      </c>
      <c r="BN249" s="39">
        <f t="shared" si="231"/>
        <v>564</v>
      </c>
      <c r="BO249" s="39">
        <f t="shared" si="231"/>
        <v>123</v>
      </c>
      <c r="BP249" s="39">
        <f t="shared" si="231"/>
        <v>122</v>
      </c>
      <c r="BQ249" s="39">
        <f t="shared" si="231"/>
        <v>114</v>
      </c>
      <c r="BR249" s="39">
        <f t="shared" si="231"/>
        <v>112</v>
      </c>
      <c r="BS249" s="39">
        <f t="shared" si="231"/>
        <v>471</v>
      </c>
      <c r="BT249" s="39">
        <f t="shared" si="231"/>
        <v>94</v>
      </c>
      <c r="BU249" s="39">
        <f t="shared" si="231"/>
        <v>96</v>
      </c>
      <c r="BV249" s="39">
        <f t="shared" si="231"/>
        <v>87</v>
      </c>
      <c r="BW249" s="39">
        <f t="shared" si="231"/>
        <v>82</v>
      </c>
      <c r="BX249" s="39">
        <f t="shared" si="231"/>
        <v>359</v>
      </c>
      <c r="BY249" s="39">
        <f t="shared" si="231"/>
        <v>75</v>
      </c>
      <c r="BZ249" s="39">
        <f t="shared" si="231"/>
        <v>73</v>
      </c>
      <c r="CA249" s="39">
        <f t="shared" si="231"/>
        <v>68</v>
      </c>
      <c r="CB249" s="39">
        <f t="shared" si="231"/>
        <v>68</v>
      </c>
      <c r="CC249" s="39">
        <f t="shared" si="231"/>
        <v>284</v>
      </c>
      <c r="CD249" s="39">
        <f t="shared" si="231"/>
        <v>61</v>
      </c>
      <c r="CE249" s="39">
        <f t="shared" si="231"/>
        <v>67</v>
      </c>
      <c r="CF249" s="39">
        <f>CF248+CF247</f>
        <v>52</v>
      </c>
      <c r="CG249" s="39">
        <f t="shared" si="231"/>
        <v>61</v>
      </c>
      <c r="CH249" s="39">
        <f t="shared" si="231"/>
        <v>241</v>
      </c>
      <c r="CI249" s="39">
        <f t="shared" si="231"/>
        <v>55</v>
      </c>
      <c r="CJ249" s="39">
        <f t="shared" si="231"/>
        <v>59</v>
      </c>
      <c r="CK249" s="39">
        <f t="shared" si="231"/>
        <v>44</v>
      </c>
      <c r="CL249" s="39">
        <f t="shared" si="231"/>
        <v>50</v>
      </c>
      <c r="CM249" s="39">
        <f t="shared" si="231"/>
        <v>208</v>
      </c>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187"/>
      <c r="DM249" s="187"/>
      <c r="DN249" s="187"/>
      <c r="DO249" s="187"/>
      <c r="DP249" s="187"/>
    </row>
    <row r="250" spans="1:120" x14ac:dyDescent="0.2">
      <c r="A250" s="68" t="s">
        <v>54</v>
      </c>
      <c r="G250" s="76">
        <f t="shared" ref="G250:BR252" si="232">G247/B247-1</f>
        <v>0.34982163899772512</v>
      </c>
      <c r="H250" s="76">
        <f t="shared" si="232"/>
        <v>0.47285241245491783</v>
      </c>
      <c r="I250" s="76">
        <f t="shared" si="232"/>
        <v>-6.7592506258565499E-2</v>
      </c>
      <c r="J250" s="76">
        <f t="shared" si="232"/>
        <v>0.51616355432141625</v>
      </c>
      <c r="K250" s="76">
        <f t="shared" si="232"/>
        <v>0.32125679890560876</v>
      </c>
      <c r="L250" s="76">
        <f t="shared" si="232"/>
        <v>0.4765625</v>
      </c>
      <c r="M250" s="76">
        <f t="shared" si="232"/>
        <v>-0.37947494033412887</v>
      </c>
      <c r="N250" s="76">
        <f t="shared" si="232"/>
        <v>0.55188679245283012</v>
      </c>
      <c r="O250" s="76">
        <f t="shared" si="232"/>
        <v>-0.29663774403470711</v>
      </c>
      <c r="P250" s="76">
        <f t="shared" si="232"/>
        <v>2.190974493132769E-2</v>
      </c>
      <c r="Q250" s="90">
        <f t="shared" si="232"/>
        <v>-0.22045855379188717</v>
      </c>
      <c r="R250" s="90">
        <f t="shared" si="232"/>
        <v>0.68461538461538463</v>
      </c>
      <c r="S250" s="90">
        <f t="shared" si="232"/>
        <v>7.7203647416413279E-2</v>
      </c>
      <c r="T250" s="90">
        <f t="shared" si="232"/>
        <v>0.38473400154201998</v>
      </c>
      <c r="U250" s="76">
        <f t="shared" si="232"/>
        <v>0.13407999999999998</v>
      </c>
      <c r="V250" s="90">
        <f t="shared" si="232"/>
        <v>-7.2398190045248834E-2</v>
      </c>
      <c r="W250" s="90">
        <f t="shared" si="232"/>
        <v>8.6757990867579959E-2</v>
      </c>
      <c r="X250" s="90">
        <f t="shared" si="232"/>
        <v>4.0632054176072296E-2</v>
      </c>
      <c r="Y250" s="90">
        <f t="shared" si="232"/>
        <v>7.3496659242761719E-2</v>
      </c>
      <c r="Z250" s="76">
        <f t="shared" si="232"/>
        <v>3.216704288939054E-2</v>
      </c>
      <c r="AA250" s="90">
        <f t="shared" si="232"/>
        <v>0.11463414634146352</v>
      </c>
      <c r="AB250" s="90">
        <f t="shared" si="232"/>
        <v>8.4033613445378075E-2</v>
      </c>
      <c r="AC250" s="90">
        <f t="shared" si="232"/>
        <v>6.9414316702820056E-2</v>
      </c>
      <c r="AD250" s="90">
        <f t="shared" si="232"/>
        <v>7.2614107883817391E-2</v>
      </c>
      <c r="AE250" s="76">
        <f t="shared" si="232"/>
        <v>8.4199015855658921E-2</v>
      </c>
      <c r="AF250" s="90">
        <f t="shared" si="232"/>
        <v>5.6892778993435478E-2</v>
      </c>
      <c r="AG250" s="90">
        <f t="shared" si="232"/>
        <v>-1.9379844961240345E-2</v>
      </c>
      <c r="AH250" s="90">
        <f t="shared" si="232"/>
        <v>-4.4624746450304231E-2</v>
      </c>
      <c r="AI250" s="90">
        <f t="shared" si="232"/>
        <v>9.6711798839459462E-3</v>
      </c>
      <c r="AJ250" s="76">
        <f t="shared" si="232"/>
        <v>-5.0428643469491163E-4</v>
      </c>
      <c r="AK250" s="90">
        <f t="shared" si="232"/>
        <v>-0.58178053830227738</v>
      </c>
      <c r="AL250" s="90">
        <f t="shared" si="232"/>
        <v>-0.75691699604743079</v>
      </c>
      <c r="AM250" s="90">
        <f t="shared" si="232"/>
        <v>-0.79617834394904463</v>
      </c>
      <c r="AN250" s="90">
        <f t="shared" si="232"/>
        <v>-0.85249042145593867</v>
      </c>
      <c r="AO250" s="76">
        <f t="shared" si="232"/>
        <v>-0.74873864783047428</v>
      </c>
      <c r="AP250" s="90">
        <f t="shared" si="232"/>
        <v>-0.79702970297029707</v>
      </c>
      <c r="AQ250" s="90">
        <f t="shared" si="232"/>
        <v>-0.65853658536585358</v>
      </c>
      <c r="AR250" s="90">
        <f t="shared" si="232"/>
        <v>-0.59375</v>
      </c>
      <c r="AS250" s="90">
        <f t="shared" si="232"/>
        <v>-0.49350649350649356</v>
      </c>
      <c r="AT250" s="76">
        <f t="shared" si="232"/>
        <v>-0.67670682730923692</v>
      </c>
      <c r="AU250" s="90">
        <f t="shared" si="232"/>
        <v>-0.3902439024390244</v>
      </c>
      <c r="AV250" s="90">
        <f t="shared" si="232"/>
        <v>-0.5</v>
      </c>
      <c r="AW250" s="90">
        <f t="shared" si="232"/>
        <v>-0.46153846153846156</v>
      </c>
      <c r="AX250" s="90">
        <f t="shared" si="232"/>
        <v>-0.35897435897435892</v>
      </c>
      <c r="AY250" s="76">
        <f t="shared" si="232"/>
        <v>-0.4285714285714286</v>
      </c>
      <c r="AZ250" s="90">
        <f t="shared" si="232"/>
        <v>-0.48</v>
      </c>
      <c r="BA250" s="90">
        <f t="shared" si="232"/>
        <v>-0.2857142857142857</v>
      </c>
      <c r="BB250" s="90">
        <f t="shared" si="232"/>
        <v>-0.52380952380952384</v>
      </c>
      <c r="BC250" s="90">
        <f t="shared" si="232"/>
        <v>-0.67999999999999994</v>
      </c>
      <c r="BD250" s="76">
        <f t="shared" si="232"/>
        <v>-0.5</v>
      </c>
      <c r="BE250" s="76">
        <f t="shared" si="232"/>
        <v>-0.46153846153846156</v>
      </c>
      <c r="BF250" s="76">
        <f t="shared" si="232"/>
        <v>-0.4</v>
      </c>
      <c r="BG250" s="76">
        <f t="shared" si="232"/>
        <v>-0.4</v>
      </c>
      <c r="BH250" s="76">
        <f t="shared" si="232"/>
        <v>-0.25</v>
      </c>
      <c r="BI250" s="90">
        <f t="shared" si="232"/>
        <v>-0.39130434782608692</v>
      </c>
      <c r="BJ250" s="76">
        <f t="shared" si="232"/>
        <v>-0.2857142857142857</v>
      </c>
      <c r="BK250" s="76">
        <f t="shared" si="232"/>
        <v>-0.55555555555555558</v>
      </c>
      <c r="BL250" s="76">
        <f t="shared" si="232"/>
        <v>0.16666666666666674</v>
      </c>
      <c r="BM250" s="76">
        <f t="shared" si="232"/>
        <v>-0.33333333333333337</v>
      </c>
      <c r="BN250" s="90">
        <f>BN247/BI247-1</f>
        <v>-0.2857142857142857</v>
      </c>
      <c r="BO250" s="76">
        <f t="shared" si="232"/>
        <v>-0.19999999999999996</v>
      </c>
      <c r="BP250" s="76">
        <f t="shared" si="232"/>
        <v>0.5</v>
      </c>
      <c r="BQ250" s="76">
        <f t="shared" si="232"/>
        <v>-0.5714285714285714</v>
      </c>
      <c r="BR250" s="76">
        <f t="shared" si="232"/>
        <v>0</v>
      </c>
      <c r="BS250" s="90">
        <f>BS247/BN247-1</f>
        <v>-0.15000000000000002</v>
      </c>
      <c r="BT250" s="76">
        <f t="shared" ref="BT250:CD251" si="233">BT247/BO247-1</f>
        <v>-0.25</v>
      </c>
      <c r="BU250" s="76">
        <f t="shared" si="233"/>
        <v>-0.5</v>
      </c>
      <c r="BV250" s="76">
        <f t="shared" si="233"/>
        <v>0.33333333333333326</v>
      </c>
      <c r="BW250" s="76">
        <f t="shared" si="233"/>
        <v>-0.5</v>
      </c>
      <c r="BX250" s="90">
        <f>BX247/BS247-1</f>
        <v>-0.29411764705882348</v>
      </c>
      <c r="BY250" s="76">
        <f t="shared" si="233"/>
        <v>-0.66666666666666674</v>
      </c>
      <c r="BZ250" s="76">
        <f t="shared" si="233"/>
        <v>-1</v>
      </c>
      <c r="CA250" s="76">
        <f t="shared" si="233"/>
        <v>-0.5</v>
      </c>
      <c r="CB250" s="76">
        <f t="shared" si="233"/>
        <v>0</v>
      </c>
      <c r="CC250" s="90">
        <f>CC247/BX247-1</f>
        <v>-0.58333333333333326</v>
      </c>
      <c r="CD250" s="76">
        <f t="shared" si="233"/>
        <v>0</v>
      </c>
      <c r="CE250" s="76"/>
      <c r="CF250" s="76">
        <f>CF247/CA247-1</f>
        <v>1</v>
      </c>
      <c r="CG250" s="76">
        <v>-0.25</v>
      </c>
      <c r="CH250" s="90">
        <f t="shared" ref="CH250:CL252" si="234">CH247/CC247-1</f>
        <v>0.19999999999999996</v>
      </c>
      <c r="CI250" s="76">
        <f t="shared" si="234"/>
        <v>-3</v>
      </c>
      <c r="CJ250" s="76">
        <f t="shared" si="234"/>
        <v>0.5</v>
      </c>
      <c r="CK250" s="76">
        <f t="shared" si="234"/>
        <v>-0.5</v>
      </c>
      <c r="CL250" s="76">
        <f t="shared" si="234"/>
        <v>-2</v>
      </c>
      <c r="CM250" s="90">
        <f>CM247/CH247-1</f>
        <v>-0.33333333333333337</v>
      </c>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188"/>
      <c r="DM250" s="188"/>
      <c r="DN250" s="188"/>
      <c r="DO250" s="188"/>
      <c r="DP250" s="188"/>
    </row>
    <row r="251" spans="1:120" x14ac:dyDescent="0.2">
      <c r="A251" s="68" t="s">
        <v>55</v>
      </c>
      <c r="G251" s="76">
        <f t="shared" si="232"/>
        <v>0.18811162807571269</v>
      </c>
      <c r="H251" s="76">
        <f t="shared" si="232"/>
        <v>0.51460844378789239</v>
      </c>
      <c r="I251" s="76">
        <f t="shared" si="232"/>
        <v>0.37740638820347705</v>
      </c>
      <c r="J251" s="76">
        <f t="shared" si="232"/>
        <v>0.67708333333333348</v>
      </c>
      <c r="K251" s="76">
        <f t="shared" si="232"/>
        <v>0.44916237113402069</v>
      </c>
      <c r="L251" s="76">
        <f t="shared" si="232"/>
        <v>0.74045801526717558</v>
      </c>
      <c r="M251" s="76">
        <f t="shared" si="232"/>
        <v>0.70059880239520966</v>
      </c>
      <c r="N251" s="76">
        <f t="shared" si="232"/>
        <v>0.4838709677419355</v>
      </c>
      <c r="O251" s="76">
        <f t="shared" si="232"/>
        <v>0.41739130434782612</v>
      </c>
      <c r="P251" s="76">
        <f t="shared" si="232"/>
        <v>0.56022408963585435</v>
      </c>
      <c r="Q251" s="90">
        <f t="shared" si="232"/>
        <v>0.39035087719298245</v>
      </c>
      <c r="R251" s="90">
        <f t="shared" si="232"/>
        <v>0.24647887323943651</v>
      </c>
      <c r="S251" s="90">
        <f t="shared" si="232"/>
        <v>0.21376811594202905</v>
      </c>
      <c r="T251" s="90">
        <f t="shared" si="232"/>
        <v>0.17177914110429437</v>
      </c>
      <c r="U251" s="76">
        <f t="shared" si="232"/>
        <v>0.2459605026929983</v>
      </c>
      <c r="V251" s="90">
        <f t="shared" si="232"/>
        <v>0.14195583596214512</v>
      </c>
      <c r="W251" s="90">
        <f t="shared" si="232"/>
        <v>6.4971751412429279E-2</v>
      </c>
      <c r="X251" s="90">
        <f t="shared" si="232"/>
        <v>-5.6716417910447792E-2</v>
      </c>
      <c r="Y251" s="90">
        <f t="shared" si="232"/>
        <v>-0.19633507853403143</v>
      </c>
      <c r="Z251" s="76">
        <f t="shared" si="232"/>
        <v>-1.8731988472622474E-2</v>
      </c>
      <c r="AA251" s="90">
        <f t="shared" si="232"/>
        <v>-0.1795580110497238</v>
      </c>
      <c r="AB251" s="90">
        <f t="shared" si="232"/>
        <v>-0.19098143236074272</v>
      </c>
      <c r="AC251" s="90">
        <f t="shared" si="232"/>
        <v>-0.120253164556962</v>
      </c>
      <c r="AD251" s="90">
        <f t="shared" si="232"/>
        <v>-0.11400651465798051</v>
      </c>
      <c r="AE251" s="76">
        <f t="shared" si="232"/>
        <v>-0.1541850220264317</v>
      </c>
      <c r="AF251" s="90">
        <f t="shared" si="232"/>
        <v>-0.12794612794612792</v>
      </c>
      <c r="AG251" s="90">
        <f t="shared" si="232"/>
        <v>-8.5245901639344313E-2</v>
      </c>
      <c r="AH251" s="90">
        <f ca="1">AH248/AC248-1</f>
        <v>-8.5245901639344313E-2</v>
      </c>
      <c r="AI251" s="90">
        <f t="shared" si="232"/>
        <v>7.3529411764705621E-3</v>
      </c>
      <c r="AJ251" s="76">
        <f ca="1">AJ248/AE248-1</f>
        <v>-7.4390938069216817E-2</v>
      </c>
      <c r="AK251" s="90">
        <f t="shared" si="232"/>
        <v>3.474903474903468E-2</v>
      </c>
      <c r="AL251" s="90">
        <f t="shared" si="232"/>
        <v>3.2258064516129004E-2</v>
      </c>
      <c r="AM251" s="90">
        <f ca="1">AM248/AH248-1</f>
        <v>1.4543204146360456E-2</v>
      </c>
      <c r="AN251" s="90">
        <f t="shared" si="232"/>
        <v>-0.12043795620437958</v>
      </c>
      <c r="AO251" s="76">
        <f ca="1">AO248/AJ248-1</f>
        <v>-1.059891397260937E-2</v>
      </c>
      <c r="AP251" s="90">
        <f t="shared" si="232"/>
        <v>-0.17910447761194026</v>
      </c>
      <c r="AQ251" s="90">
        <f t="shared" si="232"/>
        <v>-0.18055555555555558</v>
      </c>
      <c r="AR251" s="90">
        <f t="shared" si="232"/>
        <v>-8.1395348837209336E-2</v>
      </c>
      <c r="AS251" s="90">
        <f t="shared" si="232"/>
        <v>2.0746887966804906E-2</v>
      </c>
      <c r="AT251" s="76">
        <f t="shared" si="232"/>
        <v>-0.10995260663507112</v>
      </c>
      <c r="AU251" s="90">
        <f t="shared" si="232"/>
        <v>-6.8181818181818232E-2</v>
      </c>
      <c r="AV251" s="90">
        <f t="shared" si="232"/>
        <v>-6.7796610169491567E-2</v>
      </c>
      <c r="AW251" s="90">
        <f t="shared" si="232"/>
        <v>-0.16455696202531644</v>
      </c>
      <c r="AX251" s="90">
        <f t="shared" si="232"/>
        <v>-0.15040650406504064</v>
      </c>
      <c r="AY251" s="76">
        <f t="shared" si="232"/>
        <v>-0.11395101171458999</v>
      </c>
      <c r="AZ251" s="90">
        <f t="shared" si="232"/>
        <v>-4.8780487804878092E-2</v>
      </c>
      <c r="BA251" s="90">
        <f t="shared" si="232"/>
        <v>-6.3636363636363602E-2</v>
      </c>
      <c r="BB251" s="90">
        <f t="shared" si="232"/>
        <v>3.5353535353535248E-2</v>
      </c>
      <c r="BC251" s="90">
        <f t="shared" si="232"/>
        <v>-2.3923444976076569E-2</v>
      </c>
      <c r="BD251" s="76">
        <f t="shared" si="232"/>
        <v>-2.6442307692307709E-2</v>
      </c>
      <c r="BE251" s="76">
        <f t="shared" si="232"/>
        <v>-9.2307692307692313E-2</v>
      </c>
      <c r="BF251" s="76">
        <f t="shared" si="232"/>
        <v>-0.14077669902912626</v>
      </c>
      <c r="BG251" s="76">
        <f t="shared" si="232"/>
        <v>-0.28780487804878052</v>
      </c>
      <c r="BH251" s="76">
        <f t="shared" si="232"/>
        <v>-0.27450980392156865</v>
      </c>
      <c r="BI251" s="90">
        <f t="shared" si="232"/>
        <v>-0.19999999999999996</v>
      </c>
      <c r="BJ251" s="76">
        <f t="shared" si="232"/>
        <v>-0.25423728813559321</v>
      </c>
      <c r="BK251" s="76">
        <f t="shared" si="232"/>
        <v>-0.18644067796610164</v>
      </c>
      <c r="BL251" s="76">
        <f t="shared" si="232"/>
        <v>-8.9041095890410982E-2</v>
      </c>
      <c r="BM251" s="76">
        <f t="shared" si="232"/>
        <v>-8.7837837837837829E-2</v>
      </c>
      <c r="BN251" s="90">
        <f>BN248/BI248-1</f>
        <v>-0.16049382716049387</v>
      </c>
      <c r="BO251" s="76">
        <f t="shared" si="232"/>
        <v>-9.8484848484848508E-2</v>
      </c>
      <c r="BP251" s="76">
        <f t="shared" si="232"/>
        <v>-0.19444444444444442</v>
      </c>
      <c r="BQ251" s="76">
        <f t="shared" si="232"/>
        <v>-0.16541353383458646</v>
      </c>
      <c r="BR251" s="76">
        <f t="shared" si="232"/>
        <v>-0.19999999999999996</v>
      </c>
      <c r="BS251" s="90">
        <f>BS248/BN248-1</f>
        <v>-0.1654411764705882</v>
      </c>
      <c r="BT251" s="76">
        <f t="shared" si="233"/>
        <v>-0.23529411764705888</v>
      </c>
      <c r="BU251" s="76">
        <f t="shared" si="233"/>
        <v>-0.19827586206896552</v>
      </c>
      <c r="BV251" s="76">
        <f t="shared" si="233"/>
        <v>-0.25225225225225223</v>
      </c>
      <c r="BW251" s="76">
        <f t="shared" si="233"/>
        <v>-0.2592592592592593</v>
      </c>
      <c r="BX251" s="90">
        <f>BX248/BS248-1</f>
        <v>-0.23568281938325997</v>
      </c>
      <c r="BY251" s="76">
        <f t="shared" si="233"/>
        <v>-0.18681318681318682</v>
      </c>
      <c r="BZ251" s="76">
        <f t="shared" si="233"/>
        <v>-0.21505376344086025</v>
      </c>
      <c r="CA251" s="76">
        <f t="shared" si="233"/>
        <v>-0.20481927710843373</v>
      </c>
      <c r="CB251" s="76">
        <f t="shared" si="233"/>
        <v>-0.17500000000000004</v>
      </c>
      <c r="CC251" s="90">
        <f>CC248/BX248-1</f>
        <v>-0.19596541786743515</v>
      </c>
      <c r="CD251" s="76">
        <f t="shared" si="233"/>
        <v>-0.18918918918918914</v>
      </c>
      <c r="CE251" s="76">
        <f>CE248/BZ248-1</f>
        <v>-0.1095890410958904</v>
      </c>
      <c r="CF251" s="76">
        <f>CF248/CA248-1</f>
        <v>-0.27272727272727271</v>
      </c>
      <c r="CG251" s="76">
        <v>-0.15</v>
      </c>
      <c r="CH251" s="90">
        <f t="shared" si="234"/>
        <v>-0.1577060931899642</v>
      </c>
      <c r="CI251" s="76">
        <f t="shared" si="234"/>
        <v>-5.0000000000000044E-2</v>
      </c>
      <c r="CJ251" s="76">
        <f t="shared" si="234"/>
        <v>-0.13846153846153841</v>
      </c>
      <c r="CK251" s="76">
        <f t="shared" si="234"/>
        <v>-0.125</v>
      </c>
      <c r="CL251" s="76">
        <f t="shared" si="234"/>
        <v>-0.20967741935483875</v>
      </c>
      <c r="CM251" s="90">
        <f>CM248/CH248-1</f>
        <v>-0.13191489361702124</v>
      </c>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188"/>
      <c r="DM251" s="188"/>
      <c r="DN251" s="188"/>
      <c r="DO251" s="188"/>
      <c r="DP251" s="188"/>
    </row>
    <row r="252" spans="1:120" x14ac:dyDescent="0.2">
      <c r="A252" s="78" t="s">
        <v>56</v>
      </c>
      <c r="B252" s="79"/>
      <c r="C252" s="79"/>
      <c r="D252" s="79"/>
      <c r="E252" s="79"/>
      <c r="F252" s="79"/>
      <c r="G252" s="80">
        <f t="shared" si="232"/>
        <v>0.30465282516996006</v>
      </c>
      <c r="H252" s="80">
        <f t="shared" si="232"/>
        <v>0.48451574083212723</v>
      </c>
      <c r="I252" s="80">
        <f t="shared" si="232"/>
        <v>7.5738425257288799E-2</v>
      </c>
      <c r="J252" s="80">
        <f t="shared" si="232"/>
        <v>0.56618397610212878</v>
      </c>
      <c r="K252" s="80">
        <f t="shared" si="232"/>
        <v>0.35945167709987369</v>
      </c>
      <c r="L252" s="80">
        <f t="shared" si="232"/>
        <v>0.5436893203883495</v>
      </c>
      <c r="M252" s="80">
        <f t="shared" si="232"/>
        <v>-7.1672354948805417E-2</v>
      </c>
      <c r="N252" s="80">
        <f t="shared" si="232"/>
        <v>0.52383592017738367</v>
      </c>
      <c r="O252" s="80">
        <f t="shared" si="232"/>
        <v>-5.8972503617945038E-2</v>
      </c>
      <c r="P252" s="80">
        <f t="shared" si="232"/>
        <v>0.19326794471689701</v>
      </c>
      <c r="Q252" s="80">
        <f t="shared" si="232"/>
        <v>-4.5283018867924518E-2</v>
      </c>
      <c r="R252" s="80">
        <f t="shared" si="232"/>
        <v>0.45588235294117641</v>
      </c>
      <c r="S252" s="80">
        <f t="shared" si="232"/>
        <v>0.1320480174608949</v>
      </c>
      <c r="T252" s="80">
        <f t="shared" si="232"/>
        <v>0.27797001153402534</v>
      </c>
      <c r="U252" s="80">
        <f t="shared" si="232"/>
        <v>0.18064636652344479</v>
      </c>
      <c r="V252" s="80">
        <f t="shared" si="232"/>
        <v>1.8445322793148922E-2</v>
      </c>
      <c r="W252" s="80">
        <f t="shared" si="232"/>
        <v>7.8282828282828287E-2</v>
      </c>
      <c r="X252" s="80">
        <f t="shared" si="232"/>
        <v>0</v>
      </c>
      <c r="Y252" s="80">
        <f t="shared" si="232"/>
        <v>-4.933814681107096E-2</v>
      </c>
      <c r="Z252" s="80">
        <f t="shared" si="232"/>
        <v>9.8101265822785333E-3</v>
      </c>
      <c r="AA252" s="80">
        <f t="shared" si="232"/>
        <v>-2.3285899094437235E-2</v>
      </c>
      <c r="AB252" s="80">
        <f t="shared" si="232"/>
        <v>-3.7470725995316201E-2</v>
      </c>
      <c r="AC252" s="80">
        <f t="shared" si="232"/>
        <v>-8.9974293059126298E-3</v>
      </c>
      <c r="AD252" s="80">
        <f t="shared" si="232"/>
        <v>-1.2658227848101333E-3</v>
      </c>
      <c r="AE252" s="80">
        <f t="shared" si="232"/>
        <v>-1.7549357568160451E-2</v>
      </c>
      <c r="AF252" s="80">
        <f t="shared" si="232"/>
        <v>-1.7218543046357615E-2</v>
      </c>
      <c r="AG252" s="80">
        <f t="shared" si="232"/>
        <v>-4.5012165450121655E-2</v>
      </c>
      <c r="AH252" s="80">
        <f t="shared" si="232"/>
        <v>-0.67055771725032431</v>
      </c>
      <c r="AI252" s="80">
        <f t="shared" si="232"/>
        <v>8.8719898605829073E-3</v>
      </c>
      <c r="AJ252" s="80">
        <f ca="1">AJ249/AE249-1</f>
        <v>-2.765497947551443E-2</v>
      </c>
      <c r="AK252" s="80">
        <f t="shared" si="232"/>
        <v>-0.36657681940700804</v>
      </c>
      <c r="AL252" s="80">
        <f t="shared" si="232"/>
        <v>-0.47643312101910829</v>
      </c>
      <c r="AM252" s="80">
        <f t="shared" si="232"/>
        <v>0.39370078740157477</v>
      </c>
      <c r="AN252" s="80">
        <f t="shared" si="232"/>
        <v>-0.60050251256281406</v>
      </c>
      <c r="AO252" s="80">
        <f ca="1">AO249/AJ249-1</f>
        <v>-0.49053598241213592</v>
      </c>
      <c r="AP252" s="80">
        <f t="shared" si="232"/>
        <v>-0.44468085106382982</v>
      </c>
      <c r="AQ252" s="80">
        <f t="shared" si="232"/>
        <v>-0.32360097323600978</v>
      </c>
      <c r="AR252" s="80">
        <f t="shared" si="232"/>
        <v>-0.22033898305084743</v>
      </c>
      <c r="AS252" s="80">
        <f t="shared" si="232"/>
        <v>-0.10377358490566035</v>
      </c>
      <c r="AT252" s="80">
        <f t="shared" si="232"/>
        <v>-0.29169349645846743</v>
      </c>
      <c r="AU252" s="80">
        <f t="shared" si="232"/>
        <v>-0.11877394636015326</v>
      </c>
      <c r="AV252" s="80">
        <f t="shared" si="232"/>
        <v>-0.13309352517985606</v>
      </c>
      <c r="AW252" s="80">
        <f t="shared" si="232"/>
        <v>-0.20652173913043481</v>
      </c>
      <c r="AX252" s="80">
        <f t="shared" si="232"/>
        <v>-0.17894736842105263</v>
      </c>
      <c r="AY252" s="80">
        <f t="shared" si="232"/>
        <v>-0.16000000000000003</v>
      </c>
      <c r="AZ252" s="80">
        <f t="shared" si="232"/>
        <v>-9.5652173913043481E-2</v>
      </c>
      <c r="BA252" s="80">
        <f t="shared" si="232"/>
        <v>-8.2987551867219955E-2</v>
      </c>
      <c r="BB252" s="80">
        <f t="shared" si="232"/>
        <v>-1.8264840182648401E-2</v>
      </c>
      <c r="BC252" s="80">
        <f t="shared" si="232"/>
        <v>-9.4017094017094016E-2</v>
      </c>
      <c r="BD252" s="80">
        <f t="shared" si="232"/>
        <v>-7.3593073593073544E-2</v>
      </c>
      <c r="BE252" s="80">
        <f t="shared" si="232"/>
        <v>-0.11538461538461542</v>
      </c>
      <c r="BF252" s="80">
        <f t="shared" si="232"/>
        <v>-0.15837104072398189</v>
      </c>
      <c r="BG252" s="80">
        <f>BG249/BB249-1</f>
        <v>-0.2930232558139535</v>
      </c>
      <c r="BH252" s="80">
        <f>BH249/BC249-1</f>
        <v>-0.27358490566037741</v>
      </c>
      <c r="BI252" s="80">
        <f t="shared" si="232"/>
        <v>-0.21028037383177567</v>
      </c>
      <c r="BJ252" s="80">
        <f t="shared" si="232"/>
        <v>-0.25543478260869568</v>
      </c>
      <c r="BK252" s="91">
        <f>BK249/BF249-1</f>
        <v>-0.20430107526881724</v>
      </c>
      <c r="BL252" s="91">
        <f>BL249/BG249-1</f>
        <v>-7.8947368421052655E-2</v>
      </c>
      <c r="BM252" s="91">
        <f>BM249/BH249-1</f>
        <v>-9.740259740259738E-2</v>
      </c>
      <c r="BN252" s="80">
        <f>BN249/BI249-1</f>
        <v>-0.16568047337278102</v>
      </c>
      <c r="BO252" s="80">
        <f>BO249/BJ249-1</f>
        <v>-0.1021897810218978</v>
      </c>
      <c r="BP252" s="91">
        <f>BP249/BK249-1</f>
        <v>-0.17567567567567566</v>
      </c>
      <c r="BQ252" s="91">
        <f>BQ249/BL249-1</f>
        <v>-0.18571428571428572</v>
      </c>
      <c r="BR252" s="91">
        <f>BR249/BM249-1</f>
        <v>-0.19424460431654678</v>
      </c>
      <c r="BS252" s="80">
        <f>BS249/BN249-1</f>
        <v>-0.16489361702127658</v>
      </c>
      <c r="BT252" s="80">
        <f>BT249/BO249-1</f>
        <v>-0.23577235772357719</v>
      </c>
      <c r="BU252" s="80">
        <f>BU249/BP249-1</f>
        <v>-0.21311475409836067</v>
      </c>
      <c r="BV252" s="91">
        <f>BV249/BQ249-1</f>
        <v>-0.23684210526315785</v>
      </c>
      <c r="BW252" s="91">
        <f>BW249/BR249-1</f>
        <v>-0.2678571428571429</v>
      </c>
      <c r="BX252" s="80">
        <f>BX249/BS249-1</f>
        <v>-0.23779193205944793</v>
      </c>
      <c r="BY252" s="80">
        <f>BY249/BT249-1</f>
        <v>-0.2021276595744681</v>
      </c>
      <c r="BZ252" s="80">
        <f>BZ249/BU249-1</f>
        <v>-0.23958333333333337</v>
      </c>
      <c r="CA252" s="80">
        <f>CA249/BV249-1</f>
        <v>-0.2183908045977011</v>
      </c>
      <c r="CB252" s="80">
        <f>CB249/BW249-1</f>
        <v>-0.17073170731707321</v>
      </c>
      <c r="CC252" s="80">
        <f>CC249/BX249-1</f>
        <v>-0.20891364902506959</v>
      </c>
      <c r="CD252" s="80">
        <f>CD249/BY249-1</f>
        <v>-0.18666666666666665</v>
      </c>
      <c r="CE252" s="80">
        <f>CE249/BZ249-1</f>
        <v>-8.2191780821917804E-2</v>
      </c>
      <c r="CF252" s="80">
        <f>CF249/CA249-1</f>
        <v>-0.23529411764705888</v>
      </c>
      <c r="CG252" s="80">
        <f>CG249/CB249-1</f>
        <v>-0.1029411764705882</v>
      </c>
      <c r="CH252" s="80">
        <f t="shared" si="234"/>
        <v>-0.15140845070422537</v>
      </c>
      <c r="CI252" s="80">
        <f t="shared" si="234"/>
        <v>-9.8360655737704916E-2</v>
      </c>
      <c r="CJ252" s="80">
        <f t="shared" si="234"/>
        <v>-0.11940298507462688</v>
      </c>
      <c r="CK252" s="80">
        <f t="shared" si="234"/>
        <v>-0.15384615384615385</v>
      </c>
      <c r="CL252" s="80">
        <f t="shared" si="234"/>
        <v>-0.18032786885245899</v>
      </c>
      <c r="CM252" s="80">
        <f>CM249/CH249-1</f>
        <v>-0.13692946058091282</v>
      </c>
      <c r="CN252" s="80"/>
      <c r="CO252" s="80"/>
      <c r="CP252" s="80"/>
      <c r="CQ252" s="80"/>
      <c r="CR252" s="80"/>
      <c r="CS252" s="80"/>
      <c r="CT252" s="80"/>
      <c r="CU252" s="80"/>
      <c r="CV252" s="80"/>
      <c r="CW252" s="80"/>
      <c r="CX252" s="80"/>
      <c r="CY252" s="80"/>
      <c r="CZ252" s="80"/>
      <c r="DA252" s="80"/>
      <c r="DB252" s="80"/>
      <c r="DC252" s="80"/>
      <c r="DD252" s="80"/>
      <c r="DE252" s="80"/>
      <c r="DF252" s="80"/>
      <c r="DG252" s="80"/>
      <c r="DH252" s="80"/>
      <c r="DI252" s="80"/>
      <c r="DJ252" s="80"/>
      <c r="DK252" s="80"/>
      <c r="DL252" s="189"/>
      <c r="DM252" s="189"/>
      <c r="DN252" s="189"/>
      <c r="DO252" s="189"/>
      <c r="DP252" s="189"/>
    </row>
    <row r="253" spans="1:120" x14ac:dyDescent="0.2">
      <c r="A253" s="36" t="s">
        <v>185</v>
      </c>
      <c r="G253" s="75"/>
      <c r="H253" s="75"/>
      <c r="I253" s="75"/>
      <c r="J253" s="75"/>
      <c r="K253" s="75"/>
      <c r="L253" s="75"/>
      <c r="M253" s="75"/>
      <c r="N253" s="75"/>
      <c r="O253" s="90"/>
      <c r="P253" s="75"/>
      <c r="Q253" s="90"/>
      <c r="R253" s="90"/>
      <c r="S253" s="90"/>
      <c r="T253" s="90"/>
      <c r="U253" s="119"/>
      <c r="V253" s="119"/>
      <c r="W253" s="119"/>
      <c r="X253" s="119"/>
      <c r="Y253" s="119"/>
      <c r="Z253" s="119"/>
      <c r="AA253" s="119"/>
      <c r="AB253" s="119"/>
      <c r="AC253" s="119"/>
      <c r="AD253" s="119"/>
      <c r="AE253" s="120"/>
      <c r="AF253" s="119"/>
      <c r="AG253" s="119"/>
      <c r="AH253" s="119"/>
      <c r="AI253" s="119"/>
      <c r="AJ253" s="120"/>
      <c r="AK253" s="119"/>
      <c r="AL253" s="119"/>
      <c r="AM253" s="119"/>
      <c r="AN253" s="119"/>
      <c r="AO253" s="120"/>
      <c r="AP253" s="119"/>
      <c r="AQ253" s="119"/>
      <c r="AR253" s="119"/>
      <c r="AS253" s="119"/>
      <c r="AT253" s="120"/>
      <c r="AU253" s="120"/>
      <c r="AV253" s="120"/>
      <c r="AW253" s="120"/>
      <c r="AX253" s="120"/>
      <c r="AY253" s="120"/>
      <c r="AZ253" s="120">
        <v>13</v>
      </c>
      <c r="BA253" s="120">
        <v>25</v>
      </c>
      <c r="BB253" s="120">
        <v>22</v>
      </c>
      <c r="BC253" s="120">
        <v>36</v>
      </c>
      <c r="BD253" s="120">
        <f>BC253+BB253+BA253+AZ253</f>
        <v>96</v>
      </c>
      <c r="BE253" s="120">
        <v>38</v>
      </c>
      <c r="BF253" s="120">
        <v>48</v>
      </c>
      <c r="BG253" s="120">
        <v>50</v>
      </c>
      <c r="BH253" s="120">
        <v>64</v>
      </c>
      <c r="BI253" s="120">
        <f>SUM(BE253:BH253)</f>
        <v>200</v>
      </c>
      <c r="BJ253" s="120">
        <v>66</v>
      </c>
      <c r="BK253" s="123">
        <v>75</v>
      </c>
      <c r="BL253" s="120">
        <v>78</v>
      </c>
      <c r="BM253" s="120">
        <v>91</v>
      </c>
      <c r="BN253" s="120">
        <f>SUM(BJ253:BM253)</f>
        <v>310</v>
      </c>
      <c r="BO253" s="120">
        <v>97</v>
      </c>
      <c r="BP253" s="123">
        <v>98</v>
      </c>
      <c r="BQ253" s="120">
        <v>117</v>
      </c>
      <c r="BR253" s="120">
        <v>125</v>
      </c>
      <c r="BS253" s="120">
        <f>SUM(BO253:BR253)</f>
        <v>437</v>
      </c>
      <c r="BT253" s="120">
        <v>125</v>
      </c>
      <c r="BU253" s="123">
        <v>116</v>
      </c>
      <c r="BV253" s="120">
        <v>128</v>
      </c>
      <c r="BW253" s="120">
        <v>146</v>
      </c>
      <c r="BX253" s="120">
        <f>SUM(BT253:BW253)</f>
        <v>515</v>
      </c>
      <c r="BY253" s="120">
        <v>107</v>
      </c>
      <c r="BZ253" s="120">
        <v>115</v>
      </c>
      <c r="CA253" s="120">
        <v>92</v>
      </c>
      <c r="CB253" s="120">
        <v>99</v>
      </c>
      <c r="CC253" s="120">
        <f>SUM(BY253:CB253)</f>
        <v>413</v>
      </c>
      <c r="CD253" s="120">
        <v>75</v>
      </c>
      <c r="CE253" s="120">
        <v>63</v>
      </c>
      <c r="CF253" s="120">
        <v>52</v>
      </c>
      <c r="CG253" s="120">
        <v>70</v>
      </c>
      <c r="CH253" s="120">
        <f>SUM(CD253:CG253)</f>
        <v>260</v>
      </c>
      <c r="CI253" s="120">
        <v>50</v>
      </c>
      <c r="CJ253" s="120">
        <v>35</v>
      </c>
      <c r="CK253" s="36">
        <v>44</v>
      </c>
      <c r="CL253" s="36">
        <v>57</v>
      </c>
      <c r="CM253" s="36">
        <f>SUM(CI253:CL253)</f>
        <v>186</v>
      </c>
      <c r="CN253" s="36"/>
      <c r="CO253" s="36"/>
      <c r="CP253" s="36"/>
      <c r="CQ253" s="36"/>
      <c r="CR253" s="36"/>
      <c r="CS253" s="36"/>
      <c r="CT253" s="36"/>
      <c r="CU253" s="36"/>
      <c r="CV253" s="36"/>
      <c r="CW253" s="36"/>
      <c r="CX253" s="36"/>
      <c r="CY253" s="36"/>
      <c r="CZ253" s="36"/>
      <c r="DA253" s="36"/>
      <c r="DB253" s="36"/>
      <c r="DC253" s="36"/>
      <c r="DD253" s="36"/>
      <c r="DE253" s="36"/>
      <c r="DF253" s="36"/>
      <c r="DG253" s="36"/>
      <c r="DH253" s="36"/>
      <c r="DI253" s="36"/>
      <c r="DJ253" s="36"/>
      <c r="DK253" s="36"/>
      <c r="DL253" s="183"/>
      <c r="DM253" s="183"/>
      <c r="DN253" s="183"/>
      <c r="DO253" s="183"/>
      <c r="DP253" s="183"/>
    </row>
    <row r="254" spans="1:120" x14ac:dyDescent="0.2">
      <c r="A254" s="36" t="s">
        <v>186</v>
      </c>
      <c r="G254" s="75"/>
      <c r="H254" s="75"/>
      <c r="I254" s="75"/>
      <c r="J254" s="75"/>
      <c r="K254" s="75"/>
      <c r="L254" s="75"/>
      <c r="M254" s="75"/>
      <c r="N254" s="75"/>
      <c r="O254" s="90"/>
      <c r="P254" s="75"/>
      <c r="Q254" s="90"/>
      <c r="R254" s="90"/>
      <c r="S254" s="90"/>
      <c r="T254" s="90"/>
      <c r="U254" s="119"/>
      <c r="V254" s="119"/>
      <c r="W254" s="119"/>
      <c r="X254" s="119"/>
      <c r="Y254" s="119"/>
      <c r="Z254" s="119"/>
      <c r="AA254" s="119"/>
      <c r="AB254" s="119"/>
      <c r="AC254" s="119"/>
      <c r="AD254" s="119"/>
      <c r="AE254" s="120"/>
      <c r="AF254" s="119"/>
      <c r="AG254" s="119"/>
      <c r="AH254" s="119"/>
      <c r="AI254" s="119"/>
      <c r="AJ254" s="120"/>
      <c r="AK254" s="119"/>
      <c r="AL254" s="119"/>
      <c r="AM254" s="119"/>
      <c r="AN254" s="119"/>
      <c r="AO254" s="120"/>
      <c r="AP254" s="119"/>
      <c r="AQ254" s="119"/>
      <c r="AR254" s="119"/>
      <c r="AS254" s="119"/>
      <c r="AT254" s="120"/>
      <c r="AU254" s="120"/>
      <c r="AV254" s="120"/>
      <c r="AW254" s="120"/>
      <c r="AX254" s="120"/>
      <c r="AY254" s="120"/>
      <c r="AZ254" s="120"/>
      <c r="BA254" s="120"/>
      <c r="BB254" s="120"/>
      <c r="BC254" s="120">
        <v>1</v>
      </c>
      <c r="BD254" s="120">
        <f>BC254+BB254+BA254+AZ254</f>
        <v>1</v>
      </c>
      <c r="BE254" s="120">
        <v>1</v>
      </c>
      <c r="BF254" s="120">
        <v>3</v>
      </c>
      <c r="BG254" s="120">
        <v>2</v>
      </c>
      <c r="BH254" s="120">
        <v>2</v>
      </c>
      <c r="BI254" s="120">
        <f>SUM(BE254:BH254)</f>
        <v>8</v>
      </c>
      <c r="BJ254" s="120">
        <v>3</v>
      </c>
      <c r="BK254" s="123">
        <v>4</v>
      </c>
      <c r="BL254" s="120">
        <v>4</v>
      </c>
      <c r="BM254" s="120">
        <v>5</v>
      </c>
      <c r="BN254" s="120">
        <f>SUM(BJ254:BM254)</f>
        <v>16</v>
      </c>
      <c r="BO254" s="120">
        <v>5</v>
      </c>
      <c r="BP254" s="123">
        <v>5</v>
      </c>
      <c r="BQ254" s="120">
        <v>6</v>
      </c>
      <c r="BR254" s="120">
        <v>7</v>
      </c>
      <c r="BS254" s="120">
        <f>SUM(BO254:BR254)</f>
        <v>23</v>
      </c>
      <c r="BT254" s="120">
        <v>5</v>
      </c>
      <c r="BU254" s="123">
        <v>5</v>
      </c>
      <c r="BV254" s="120">
        <v>5</v>
      </c>
      <c r="BW254" s="120">
        <v>7</v>
      </c>
      <c r="BX254" s="120">
        <f>SUM(BT254:BW254)</f>
        <v>22</v>
      </c>
      <c r="BY254" s="120">
        <v>6</v>
      </c>
      <c r="BZ254" s="120">
        <v>6</v>
      </c>
      <c r="CA254" s="120">
        <v>6</v>
      </c>
      <c r="CB254" s="120">
        <v>6</v>
      </c>
      <c r="CC254" s="120">
        <f>SUM(BY254:CB254)</f>
        <v>24</v>
      </c>
      <c r="CD254" s="120">
        <v>7</v>
      </c>
      <c r="CE254" s="120">
        <v>5</v>
      </c>
      <c r="CF254" s="120">
        <v>7</v>
      </c>
      <c r="CG254" s="120">
        <v>7</v>
      </c>
      <c r="CH254" s="120">
        <f>SUM(CD254:CG254)</f>
        <v>26</v>
      </c>
      <c r="CI254" s="120">
        <v>7</v>
      </c>
      <c r="CJ254" s="120">
        <v>7</v>
      </c>
      <c r="CK254" s="36">
        <v>6</v>
      </c>
      <c r="CL254" s="36">
        <v>8</v>
      </c>
      <c r="CM254" s="36">
        <f>SUM(CI254:CL254)</f>
        <v>28</v>
      </c>
      <c r="CN254" s="36"/>
      <c r="CO254" s="36"/>
      <c r="CP254" s="36"/>
      <c r="CQ254" s="36"/>
      <c r="CR254" s="36"/>
      <c r="CS254" s="36"/>
      <c r="CT254" s="36"/>
      <c r="CU254" s="36"/>
      <c r="CV254" s="36"/>
      <c r="CW254" s="36"/>
      <c r="CX254" s="36"/>
      <c r="CY254" s="36"/>
      <c r="CZ254" s="36"/>
      <c r="DA254" s="36"/>
      <c r="DB254" s="36"/>
      <c r="DC254" s="36"/>
      <c r="DD254" s="36"/>
      <c r="DE254" s="36"/>
      <c r="DF254" s="36"/>
      <c r="DG254" s="36"/>
      <c r="DH254" s="36"/>
      <c r="DI254" s="36"/>
      <c r="DJ254" s="36"/>
      <c r="DK254" s="36"/>
      <c r="DL254" s="183"/>
      <c r="DM254" s="183"/>
      <c r="DN254" s="183"/>
      <c r="DO254" s="183"/>
      <c r="DP254" s="183"/>
    </row>
    <row r="255" spans="1:120" x14ac:dyDescent="0.2">
      <c r="A255" s="39" t="s">
        <v>187</v>
      </c>
      <c r="G255" s="67"/>
      <c r="H255" s="67"/>
      <c r="I255" s="67"/>
      <c r="J255" s="67"/>
      <c r="K255" s="67"/>
      <c r="L255" s="67"/>
      <c r="M255" s="67"/>
      <c r="N255" s="67"/>
      <c r="O255" s="92"/>
      <c r="P255" s="67"/>
      <c r="Q255" s="92"/>
      <c r="R255" s="92"/>
      <c r="S255" s="92"/>
      <c r="T255" s="92"/>
      <c r="U255" s="93"/>
      <c r="V255" s="93"/>
      <c r="W255" s="93"/>
      <c r="X255" s="93"/>
      <c r="Y255" s="93"/>
      <c r="Z255" s="93"/>
      <c r="AA255" s="93"/>
      <c r="AB255" s="93"/>
      <c r="AC255" s="93"/>
      <c r="AD255" s="93"/>
      <c r="AE255" s="94"/>
      <c r="AF255" s="93"/>
      <c r="AG255" s="93"/>
      <c r="AH255" s="93"/>
      <c r="AI255" s="93"/>
      <c r="AJ255" s="94"/>
      <c r="AK255" s="93"/>
      <c r="AL255" s="93"/>
      <c r="AM255" s="93"/>
      <c r="AN255" s="93"/>
      <c r="AO255" s="94"/>
      <c r="AP255" s="93"/>
      <c r="AQ255" s="93"/>
      <c r="AR255" s="93"/>
      <c r="AS255" s="93"/>
      <c r="AT255" s="94"/>
      <c r="AU255" s="94"/>
      <c r="AV255" s="94"/>
      <c r="AW255" s="94"/>
      <c r="AX255" s="94"/>
      <c r="AY255" s="94"/>
      <c r="AZ255" s="94"/>
      <c r="BA255" s="94"/>
      <c r="BB255" s="94"/>
      <c r="BC255" s="94">
        <f>BC254+BC253</f>
        <v>37</v>
      </c>
      <c r="BD255" s="94">
        <f>BD254+BD253</f>
        <v>97</v>
      </c>
      <c r="BE255" s="94">
        <f>BE253+BE254</f>
        <v>39</v>
      </c>
      <c r="BF255" s="94">
        <f>BF253+BF254</f>
        <v>51</v>
      </c>
      <c r="BG255" s="94">
        <f>BG253+BG254</f>
        <v>52</v>
      </c>
      <c r="BH255" s="94">
        <f>BH253+BH254</f>
        <v>66</v>
      </c>
      <c r="BI255" s="94">
        <f t="shared" ref="BI255:CM255" si="235">BI254+BI253</f>
        <v>208</v>
      </c>
      <c r="BJ255" s="94">
        <f t="shared" si="235"/>
        <v>69</v>
      </c>
      <c r="BK255" s="124">
        <f t="shared" si="235"/>
        <v>79</v>
      </c>
      <c r="BL255" s="94">
        <f t="shared" si="235"/>
        <v>82</v>
      </c>
      <c r="BM255" s="94">
        <f t="shared" si="235"/>
        <v>96</v>
      </c>
      <c r="BN255" s="94">
        <f t="shared" si="235"/>
        <v>326</v>
      </c>
      <c r="BO255" s="94">
        <f t="shared" si="235"/>
        <v>102</v>
      </c>
      <c r="BP255" s="124">
        <f t="shared" si="235"/>
        <v>103</v>
      </c>
      <c r="BQ255" s="124">
        <f t="shared" si="235"/>
        <v>123</v>
      </c>
      <c r="BR255" s="94">
        <f t="shared" si="235"/>
        <v>132</v>
      </c>
      <c r="BS255" s="94">
        <f t="shared" si="235"/>
        <v>460</v>
      </c>
      <c r="BT255" s="94">
        <f t="shared" si="235"/>
        <v>130</v>
      </c>
      <c r="BU255" s="124">
        <f t="shared" si="235"/>
        <v>121</v>
      </c>
      <c r="BV255" s="124">
        <f t="shared" si="235"/>
        <v>133</v>
      </c>
      <c r="BW255" s="94">
        <f t="shared" si="235"/>
        <v>153</v>
      </c>
      <c r="BX255" s="94">
        <f t="shared" si="235"/>
        <v>537</v>
      </c>
      <c r="BY255" s="94">
        <f t="shared" si="235"/>
        <v>113</v>
      </c>
      <c r="BZ255" s="94">
        <f t="shared" si="235"/>
        <v>121</v>
      </c>
      <c r="CA255" s="94">
        <f t="shared" si="235"/>
        <v>98</v>
      </c>
      <c r="CB255" s="94">
        <f t="shared" si="235"/>
        <v>105</v>
      </c>
      <c r="CC255" s="94">
        <f t="shared" si="235"/>
        <v>437</v>
      </c>
      <c r="CD255" s="94">
        <f t="shared" si="235"/>
        <v>82</v>
      </c>
      <c r="CE255" s="94">
        <f t="shared" si="235"/>
        <v>68</v>
      </c>
      <c r="CF255" s="94">
        <f t="shared" si="235"/>
        <v>59</v>
      </c>
      <c r="CG255" s="94">
        <f t="shared" si="235"/>
        <v>77</v>
      </c>
      <c r="CH255" s="94">
        <f t="shared" si="235"/>
        <v>286</v>
      </c>
      <c r="CI255" s="94">
        <f t="shared" si="235"/>
        <v>57</v>
      </c>
      <c r="CJ255" s="94">
        <f t="shared" si="235"/>
        <v>42</v>
      </c>
      <c r="CK255" s="39">
        <f t="shared" si="235"/>
        <v>50</v>
      </c>
      <c r="CL255" s="39">
        <f t="shared" si="235"/>
        <v>65</v>
      </c>
      <c r="CM255" s="39">
        <f t="shared" si="235"/>
        <v>214</v>
      </c>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187"/>
      <c r="DM255" s="187"/>
      <c r="DN255" s="187"/>
      <c r="DO255" s="187"/>
      <c r="DP255" s="187"/>
    </row>
    <row r="256" spans="1:120" x14ac:dyDescent="0.2">
      <c r="A256" s="68" t="s">
        <v>54</v>
      </c>
      <c r="G256" s="67"/>
      <c r="H256" s="67"/>
      <c r="I256" s="67"/>
      <c r="J256" s="67"/>
      <c r="K256" s="67"/>
      <c r="L256" s="67"/>
      <c r="M256" s="67"/>
      <c r="N256" s="67"/>
      <c r="O256" s="92"/>
      <c r="P256" s="67"/>
      <c r="Q256" s="92"/>
      <c r="R256" s="92"/>
      <c r="S256" s="92"/>
      <c r="T256" s="92"/>
      <c r="U256" s="93"/>
      <c r="V256" s="93"/>
      <c r="W256" s="93"/>
      <c r="X256" s="93"/>
      <c r="Y256" s="93"/>
      <c r="Z256" s="93"/>
      <c r="AA256" s="93"/>
      <c r="AB256" s="93"/>
      <c r="AC256" s="93"/>
      <c r="AD256" s="93"/>
      <c r="AE256" s="94"/>
      <c r="AF256" s="93"/>
      <c r="AG256" s="93"/>
      <c r="AH256" s="93"/>
      <c r="AI256" s="93"/>
      <c r="AJ256" s="94"/>
      <c r="AK256" s="93"/>
      <c r="AL256" s="93"/>
      <c r="AM256" s="93"/>
      <c r="AN256" s="93"/>
      <c r="AO256" s="94"/>
      <c r="AP256" s="93"/>
      <c r="AQ256" s="93"/>
      <c r="AR256" s="93"/>
      <c r="AS256" s="93"/>
      <c r="AT256" s="94"/>
      <c r="AU256" s="94"/>
      <c r="AV256" s="94"/>
      <c r="AW256" s="94"/>
      <c r="AX256" s="94"/>
      <c r="AY256" s="94"/>
      <c r="AZ256" s="94"/>
      <c r="BA256" s="94"/>
      <c r="BB256" s="94"/>
      <c r="BC256" s="94"/>
      <c r="BD256" s="75"/>
      <c r="BE256" s="76">
        <f t="shared" ref="BE256:CL258" si="236">BE253/AZ253-1</f>
        <v>1.9230769230769229</v>
      </c>
      <c r="BF256" s="76">
        <f t="shared" si="236"/>
        <v>0.91999999999999993</v>
      </c>
      <c r="BG256" s="111">
        <f t="shared" si="236"/>
        <v>1.2727272727272729</v>
      </c>
      <c r="BH256" s="111">
        <f t="shared" si="236"/>
        <v>0.77777777777777768</v>
      </c>
      <c r="BI256" s="75">
        <f t="shared" si="236"/>
        <v>1.0833333333333335</v>
      </c>
      <c r="BJ256" s="76">
        <f t="shared" si="236"/>
        <v>0.73684210526315796</v>
      </c>
      <c r="BK256" s="76">
        <f t="shared" si="236"/>
        <v>0.5625</v>
      </c>
      <c r="BL256" s="111">
        <f t="shared" si="236"/>
        <v>0.56000000000000005</v>
      </c>
      <c r="BM256" s="111">
        <f t="shared" si="236"/>
        <v>0.421875</v>
      </c>
      <c r="BN256" s="75">
        <f t="shared" si="236"/>
        <v>0.55000000000000004</v>
      </c>
      <c r="BO256" s="76">
        <f t="shared" si="236"/>
        <v>0.46969696969696972</v>
      </c>
      <c r="BP256" s="76">
        <f t="shared" si="236"/>
        <v>0.30666666666666664</v>
      </c>
      <c r="BQ256" s="111">
        <f t="shared" si="236"/>
        <v>0.5</v>
      </c>
      <c r="BR256" s="111">
        <f t="shared" si="236"/>
        <v>0.37362637362637363</v>
      </c>
      <c r="BS256" s="75">
        <f t="shared" si="236"/>
        <v>0.4096774193548387</v>
      </c>
      <c r="BT256" s="76">
        <f t="shared" si="236"/>
        <v>0.28865979381443307</v>
      </c>
      <c r="BU256" s="76">
        <f t="shared" si="236"/>
        <v>0.18367346938775508</v>
      </c>
      <c r="BV256" s="111">
        <f t="shared" si="236"/>
        <v>9.4017094017094127E-2</v>
      </c>
      <c r="BW256" s="111">
        <f t="shared" si="236"/>
        <v>0.16799999999999993</v>
      </c>
      <c r="BX256" s="75">
        <f t="shared" si="236"/>
        <v>0.17848970251716256</v>
      </c>
      <c r="BY256" s="76">
        <f t="shared" si="236"/>
        <v>-0.14400000000000002</v>
      </c>
      <c r="BZ256" s="76">
        <f t="shared" si="236"/>
        <v>-8.6206896551723755E-3</v>
      </c>
      <c r="CA256" s="111">
        <f t="shared" si="236"/>
        <v>-0.28125</v>
      </c>
      <c r="CB256" s="111">
        <f t="shared" si="236"/>
        <v>-0.32191780821917804</v>
      </c>
      <c r="CC256" s="75">
        <f t="shared" si="236"/>
        <v>-0.19805825242718444</v>
      </c>
      <c r="CD256" s="76">
        <f t="shared" si="236"/>
        <v>-0.2990654205607477</v>
      </c>
      <c r="CE256" s="76">
        <f t="shared" si="236"/>
        <v>-0.45217391304347831</v>
      </c>
      <c r="CF256" s="111">
        <f t="shared" si="236"/>
        <v>-0.43478260869565222</v>
      </c>
      <c r="CG256" s="111">
        <f t="shared" si="236"/>
        <v>-0.29292929292929293</v>
      </c>
      <c r="CH256" s="75">
        <f t="shared" si="236"/>
        <v>-0.3704600484261501</v>
      </c>
      <c r="CI256" s="76">
        <f t="shared" si="236"/>
        <v>-0.33333333333333337</v>
      </c>
      <c r="CJ256" s="76">
        <f t="shared" si="236"/>
        <v>-0.44444444444444442</v>
      </c>
      <c r="CK256" s="76">
        <f t="shared" si="236"/>
        <v>-0.15384615384615385</v>
      </c>
      <c r="CL256" s="76">
        <f t="shared" si="236"/>
        <v>-0.18571428571428572</v>
      </c>
      <c r="CM256" s="90">
        <f>CM253/CH253-1</f>
        <v>-0.2846153846153846</v>
      </c>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188"/>
      <c r="DM256" s="188"/>
      <c r="DN256" s="188"/>
      <c r="DO256" s="188"/>
      <c r="DP256" s="188"/>
    </row>
    <row r="257" spans="1:120" x14ac:dyDescent="0.2">
      <c r="A257" s="68" t="s">
        <v>55</v>
      </c>
      <c r="G257" s="67"/>
      <c r="H257" s="67"/>
      <c r="I257" s="67"/>
      <c r="J257" s="67"/>
      <c r="K257" s="67"/>
      <c r="L257" s="67"/>
      <c r="M257" s="67"/>
      <c r="N257" s="67"/>
      <c r="O257" s="92"/>
      <c r="P257" s="67"/>
      <c r="Q257" s="92"/>
      <c r="R257" s="92"/>
      <c r="S257" s="92"/>
      <c r="T257" s="92"/>
      <c r="U257" s="93"/>
      <c r="V257" s="93"/>
      <c r="W257" s="93"/>
      <c r="X257" s="93"/>
      <c r="Y257" s="93"/>
      <c r="Z257" s="93"/>
      <c r="AA257" s="93"/>
      <c r="AB257" s="93"/>
      <c r="AC257" s="93"/>
      <c r="AD257" s="93"/>
      <c r="AE257" s="94"/>
      <c r="AF257" s="93"/>
      <c r="AG257" s="93"/>
      <c r="AH257" s="93"/>
      <c r="AI257" s="93"/>
      <c r="AJ257" s="94"/>
      <c r="AK257" s="93"/>
      <c r="AL257" s="93"/>
      <c r="AM257" s="93"/>
      <c r="AN257" s="93"/>
      <c r="AO257" s="94"/>
      <c r="AP257" s="93"/>
      <c r="AQ257" s="93"/>
      <c r="AR257" s="93"/>
      <c r="AS257" s="93"/>
      <c r="AT257" s="94"/>
      <c r="AU257" s="94"/>
      <c r="AV257" s="94"/>
      <c r="AW257" s="94"/>
      <c r="AX257" s="94"/>
      <c r="AY257" s="94"/>
      <c r="AZ257" s="94"/>
      <c r="BA257" s="94"/>
      <c r="BB257" s="94"/>
      <c r="BC257" s="94"/>
      <c r="BD257" s="75"/>
      <c r="BE257" s="76" t="e">
        <f t="shared" si="236"/>
        <v>#DIV/0!</v>
      </c>
      <c r="BF257" s="76" t="e">
        <f t="shared" si="236"/>
        <v>#DIV/0!</v>
      </c>
      <c r="BG257" s="111" t="e">
        <f t="shared" si="236"/>
        <v>#DIV/0!</v>
      </c>
      <c r="BH257" s="111">
        <f t="shared" si="236"/>
        <v>1</v>
      </c>
      <c r="BI257" s="75">
        <f t="shared" si="236"/>
        <v>7</v>
      </c>
      <c r="BJ257" s="76">
        <f t="shared" si="236"/>
        <v>2</v>
      </c>
      <c r="BK257" s="76">
        <f t="shared" si="236"/>
        <v>0.33333333333333326</v>
      </c>
      <c r="BL257" s="111">
        <f t="shared" si="236"/>
        <v>1</v>
      </c>
      <c r="BM257" s="111">
        <f t="shared" si="236"/>
        <v>1.5</v>
      </c>
      <c r="BN257" s="75">
        <f t="shared" si="236"/>
        <v>1</v>
      </c>
      <c r="BO257" s="76">
        <f t="shared" si="236"/>
        <v>0.66666666666666674</v>
      </c>
      <c r="BP257" s="76">
        <f t="shared" si="236"/>
        <v>0.25</v>
      </c>
      <c r="BQ257" s="111">
        <f t="shared" si="236"/>
        <v>0.5</v>
      </c>
      <c r="BR257" s="111">
        <f t="shared" si="236"/>
        <v>0.39999999999999991</v>
      </c>
      <c r="BS257" s="75">
        <f t="shared" si="236"/>
        <v>0.4375</v>
      </c>
      <c r="BT257" s="76">
        <f t="shared" si="236"/>
        <v>0</v>
      </c>
      <c r="BU257" s="76">
        <f t="shared" si="236"/>
        <v>0</v>
      </c>
      <c r="BV257" s="111">
        <f t="shared" si="236"/>
        <v>-0.16666666666666663</v>
      </c>
      <c r="BW257" s="111">
        <f t="shared" si="236"/>
        <v>0</v>
      </c>
      <c r="BX257" s="75">
        <f t="shared" si="236"/>
        <v>-4.3478260869565188E-2</v>
      </c>
      <c r="BY257" s="76">
        <f t="shared" si="236"/>
        <v>0.19999999999999996</v>
      </c>
      <c r="BZ257" s="76">
        <f t="shared" si="236"/>
        <v>0.19999999999999996</v>
      </c>
      <c r="CA257" s="111">
        <f t="shared" si="236"/>
        <v>0.19999999999999996</v>
      </c>
      <c r="CB257" s="111">
        <f t="shared" si="236"/>
        <v>-0.1428571428571429</v>
      </c>
      <c r="CC257" s="75">
        <f t="shared" si="236"/>
        <v>9.0909090909090828E-2</v>
      </c>
      <c r="CD257" s="76">
        <f t="shared" si="236"/>
        <v>0.16666666666666674</v>
      </c>
      <c r="CE257" s="76">
        <f t="shared" si="236"/>
        <v>-0.16666666666666663</v>
      </c>
      <c r="CF257" s="111">
        <f t="shared" si="236"/>
        <v>0.16666666666666674</v>
      </c>
      <c r="CG257" s="111">
        <f t="shared" si="236"/>
        <v>0.16666666666666674</v>
      </c>
      <c r="CH257" s="75">
        <f t="shared" si="236"/>
        <v>8.3333333333333259E-2</v>
      </c>
      <c r="CI257" s="76">
        <f t="shared" si="236"/>
        <v>0</v>
      </c>
      <c r="CJ257" s="76">
        <f t="shared" si="236"/>
        <v>0.39999999999999991</v>
      </c>
      <c r="CK257" s="76">
        <f t="shared" si="236"/>
        <v>-0.1428571428571429</v>
      </c>
      <c r="CL257" s="76">
        <f t="shared" si="236"/>
        <v>0.14285714285714279</v>
      </c>
      <c r="CM257" s="90">
        <f>CM254/CH254-1</f>
        <v>7.6923076923076872E-2</v>
      </c>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188"/>
      <c r="DM257" s="188"/>
      <c r="DN257" s="188"/>
      <c r="DO257" s="188"/>
      <c r="DP257" s="188"/>
    </row>
    <row r="258" spans="1:120" x14ac:dyDescent="0.2">
      <c r="A258" s="78" t="s">
        <v>56</v>
      </c>
      <c r="B258" s="98"/>
      <c r="C258" s="98"/>
      <c r="D258" s="98"/>
      <c r="E258" s="98"/>
      <c r="F258" s="98"/>
      <c r="G258" s="83"/>
      <c r="H258" s="83"/>
      <c r="I258" s="83"/>
      <c r="J258" s="83"/>
      <c r="K258" s="83"/>
      <c r="L258" s="83"/>
      <c r="M258" s="83"/>
      <c r="N258" s="83"/>
      <c r="O258" s="99"/>
      <c r="P258" s="83"/>
      <c r="Q258" s="99"/>
      <c r="R258" s="99"/>
      <c r="S258" s="99"/>
      <c r="T258" s="99"/>
      <c r="U258" s="100"/>
      <c r="V258" s="100"/>
      <c r="W258" s="100"/>
      <c r="X258" s="100"/>
      <c r="Y258" s="100"/>
      <c r="Z258" s="100"/>
      <c r="AA258" s="100"/>
      <c r="AB258" s="100"/>
      <c r="AC258" s="100"/>
      <c r="AD258" s="100"/>
      <c r="AE258" s="101"/>
      <c r="AF258" s="100"/>
      <c r="AG258" s="100"/>
      <c r="AH258" s="100"/>
      <c r="AI258" s="100"/>
      <c r="AJ258" s="101"/>
      <c r="AK258" s="100"/>
      <c r="AL258" s="100"/>
      <c r="AM258" s="100"/>
      <c r="AN258" s="100"/>
      <c r="AO258" s="101"/>
      <c r="AP258" s="100"/>
      <c r="AQ258" s="100"/>
      <c r="AR258" s="100"/>
      <c r="AS258" s="100"/>
      <c r="AT258" s="101"/>
      <c r="AU258" s="101"/>
      <c r="AV258" s="101"/>
      <c r="AW258" s="101"/>
      <c r="AX258" s="101"/>
      <c r="AY258" s="101"/>
      <c r="AZ258" s="101"/>
      <c r="BA258" s="101"/>
      <c r="BB258" s="101"/>
      <c r="BC258" s="101"/>
      <c r="BD258" s="83"/>
      <c r="BE258" s="83" t="e">
        <f t="shared" si="236"/>
        <v>#DIV/0!</v>
      </c>
      <c r="BF258" s="83" t="e">
        <f t="shared" si="236"/>
        <v>#DIV/0!</v>
      </c>
      <c r="BG258" s="102" t="e">
        <f t="shared" si="236"/>
        <v>#DIV/0!</v>
      </c>
      <c r="BH258" s="102">
        <f t="shared" si="236"/>
        <v>0.78378378378378377</v>
      </c>
      <c r="BI258" s="83">
        <f t="shared" si="236"/>
        <v>1.1443298969072164</v>
      </c>
      <c r="BJ258" s="83">
        <f t="shared" si="236"/>
        <v>0.76923076923076916</v>
      </c>
      <c r="BK258" s="83">
        <f t="shared" si="236"/>
        <v>0.5490196078431373</v>
      </c>
      <c r="BL258" s="102">
        <f t="shared" si="236"/>
        <v>0.57692307692307687</v>
      </c>
      <c r="BM258" s="102">
        <f t="shared" si="236"/>
        <v>0.45454545454545459</v>
      </c>
      <c r="BN258" s="83">
        <f t="shared" si="236"/>
        <v>0.56730769230769229</v>
      </c>
      <c r="BO258" s="83">
        <f t="shared" si="236"/>
        <v>0.47826086956521729</v>
      </c>
      <c r="BP258" s="83">
        <f t="shared" si="236"/>
        <v>0.30379746835443044</v>
      </c>
      <c r="BQ258" s="102">
        <f t="shared" si="236"/>
        <v>0.5</v>
      </c>
      <c r="BR258" s="102">
        <f t="shared" si="236"/>
        <v>0.375</v>
      </c>
      <c r="BS258" s="83">
        <f t="shared" si="236"/>
        <v>0.41104294478527614</v>
      </c>
      <c r="BT258" s="83">
        <f t="shared" si="236"/>
        <v>0.27450980392156854</v>
      </c>
      <c r="BU258" s="83">
        <f t="shared" si="236"/>
        <v>0.17475728155339798</v>
      </c>
      <c r="BV258" s="102">
        <f t="shared" si="236"/>
        <v>8.1300813008130079E-2</v>
      </c>
      <c r="BW258" s="102">
        <f t="shared" si="236"/>
        <v>0.15909090909090917</v>
      </c>
      <c r="BX258" s="83">
        <f t="shared" si="236"/>
        <v>0.16739130434782612</v>
      </c>
      <c r="BY258" s="83">
        <f t="shared" si="236"/>
        <v>-0.13076923076923075</v>
      </c>
      <c r="BZ258" s="83">
        <f t="shared" si="236"/>
        <v>0</v>
      </c>
      <c r="CA258" s="102">
        <f t="shared" si="236"/>
        <v>-0.26315789473684215</v>
      </c>
      <c r="CB258" s="102">
        <f t="shared" si="236"/>
        <v>-0.31372549019607843</v>
      </c>
      <c r="CC258" s="83">
        <f t="shared" si="236"/>
        <v>-0.18621973929236502</v>
      </c>
      <c r="CD258" s="83">
        <f t="shared" si="236"/>
        <v>-0.27433628318584069</v>
      </c>
      <c r="CE258" s="83">
        <f t="shared" si="236"/>
        <v>-0.43801652892561982</v>
      </c>
      <c r="CF258" s="102">
        <f t="shared" si="236"/>
        <v>-0.39795918367346939</v>
      </c>
      <c r="CG258" s="102">
        <f t="shared" si="236"/>
        <v>-0.26666666666666672</v>
      </c>
      <c r="CH258" s="83">
        <f t="shared" si="236"/>
        <v>-0.34553775743707094</v>
      </c>
      <c r="CI258" s="83">
        <f t="shared" si="236"/>
        <v>-0.30487804878048785</v>
      </c>
      <c r="CJ258" s="83">
        <f t="shared" si="236"/>
        <v>-0.38235294117647056</v>
      </c>
      <c r="CK258" s="83">
        <f t="shared" si="236"/>
        <v>-0.15254237288135597</v>
      </c>
      <c r="CL258" s="83">
        <f t="shared" si="236"/>
        <v>-0.1558441558441559</v>
      </c>
      <c r="CM258" s="80">
        <f>CM255/CH255-1</f>
        <v>-0.25174825174825177</v>
      </c>
      <c r="CN258" s="80"/>
      <c r="CO258" s="80"/>
      <c r="CP258" s="80"/>
      <c r="CQ258" s="80"/>
      <c r="CR258" s="80"/>
      <c r="CS258" s="80"/>
      <c r="CT258" s="80"/>
      <c r="CU258" s="80"/>
      <c r="CV258" s="80"/>
      <c r="CW258" s="80"/>
      <c r="CX258" s="80"/>
      <c r="CY258" s="80"/>
      <c r="CZ258" s="80"/>
      <c r="DA258" s="80"/>
      <c r="DB258" s="80"/>
      <c r="DC258" s="80"/>
      <c r="DD258" s="80"/>
      <c r="DE258" s="80"/>
      <c r="DF258" s="80"/>
      <c r="DG258" s="80"/>
      <c r="DH258" s="80"/>
      <c r="DI258" s="80"/>
      <c r="DJ258" s="80"/>
      <c r="DK258" s="80"/>
      <c r="DL258" s="189"/>
      <c r="DM258" s="189"/>
      <c r="DN258" s="189"/>
      <c r="DO258" s="189"/>
      <c r="DP258" s="189"/>
    </row>
    <row r="259" spans="1:120" hidden="1" x14ac:dyDescent="0.2">
      <c r="A259" s="66"/>
      <c r="G259" s="67"/>
      <c r="H259" s="67"/>
      <c r="I259" s="67"/>
      <c r="J259" s="67"/>
      <c r="K259" s="67"/>
      <c r="L259" s="67"/>
      <c r="M259" s="67"/>
      <c r="N259" s="67"/>
      <c r="O259" s="92"/>
      <c r="P259" s="67"/>
      <c r="Q259" s="92"/>
      <c r="R259" s="92"/>
      <c r="S259" s="92"/>
      <c r="T259" s="92"/>
      <c r="U259" s="93"/>
      <c r="V259" s="93"/>
      <c r="W259" s="93"/>
      <c r="X259" s="93"/>
      <c r="Y259" s="93"/>
      <c r="Z259" s="93"/>
      <c r="AA259" s="93"/>
      <c r="AB259" s="93"/>
      <c r="AC259" s="93"/>
      <c r="AD259" s="93"/>
      <c r="AE259" s="94"/>
      <c r="AF259" s="93"/>
      <c r="AG259" s="93"/>
      <c r="AH259" s="93"/>
      <c r="AI259" s="93"/>
      <c r="AJ259" s="94"/>
      <c r="AK259" s="93"/>
      <c r="AL259" s="93"/>
      <c r="AM259" s="93"/>
      <c r="AN259" s="93"/>
      <c r="AO259" s="94"/>
      <c r="AP259" s="93"/>
      <c r="AQ259" s="93"/>
      <c r="AR259" s="93"/>
      <c r="AS259" s="93"/>
      <c r="AT259" s="94"/>
      <c r="AU259" s="94"/>
      <c r="AV259" s="94"/>
      <c r="AW259" s="94"/>
      <c r="AX259" s="94"/>
      <c r="AY259" s="94"/>
      <c r="AZ259" s="94"/>
      <c r="BA259" s="94"/>
      <c r="BB259" s="94"/>
      <c r="BC259" s="94"/>
      <c r="BD259" s="67"/>
      <c r="BE259" s="67"/>
      <c r="BF259" s="67"/>
      <c r="BG259" s="95"/>
      <c r="BH259" s="95"/>
      <c r="BI259" s="67"/>
      <c r="BJ259" s="67"/>
      <c r="BK259" s="67"/>
      <c r="BL259" s="95"/>
      <c r="BM259" s="95"/>
      <c r="BN259" s="67"/>
      <c r="BO259" s="67"/>
      <c r="BP259" s="67"/>
      <c r="BQ259" s="95"/>
      <c r="BR259" s="95"/>
      <c r="BS259" s="67"/>
      <c r="BT259" s="67"/>
      <c r="BU259" s="67"/>
      <c r="BV259" s="95"/>
      <c r="BW259" s="95"/>
      <c r="BX259" s="67"/>
      <c r="BY259" s="67"/>
      <c r="BZ259" s="67"/>
      <c r="CA259" s="95"/>
      <c r="CB259" s="95"/>
      <c r="CC259" s="67"/>
      <c r="CD259" s="67"/>
      <c r="CE259" s="67"/>
      <c r="CF259" s="95"/>
      <c r="CG259" s="95"/>
      <c r="CH259" s="67"/>
      <c r="CI259" s="67"/>
      <c r="CJ259" s="67"/>
      <c r="CK259" s="67"/>
      <c r="CL259" s="69"/>
      <c r="CM259" s="69"/>
      <c r="CN259" s="69"/>
      <c r="CO259" s="69"/>
      <c r="CP259" s="69"/>
      <c r="CQ259" s="69"/>
      <c r="CR259" s="69"/>
      <c r="CS259" s="69"/>
      <c r="CT259" s="69"/>
      <c r="CU259" s="69"/>
      <c r="CV259" s="69"/>
      <c r="CW259" s="140"/>
      <c r="CX259" s="69"/>
      <c r="CY259" s="69"/>
      <c r="CZ259" s="69"/>
      <c r="DA259" s="69"/>
      <c r="DB259" s="140"/>
      <c r="DC259" s="140"/>
      <c r="DD259" s="140"/>
      <c r="DE259" s="140"/>
      <c r="DF259" s="140"/>
      <c r="DG259" s="140"/>
      <c r="DH259" s="140"/>
      <c r="DI259" s="140"/>
      <c r="DJ259" s="140"/>
      <c r="DK259" s="140"/>
      <c r="DL259" s="205"/>
      <c r="DM259" s="205"/>
      <c r="DN259" s="205"/>
      <c r="DO259" s="205"/>
      <c r="DP259" s="205"/>
    </row>
    <row r="260" spans="1:120" hidden="1" x14ac:dyDescent="0.2">
      <c r="A260" s="36" t="s">
        <v>188</v>
      </c>
      <c r="G260" s="36"/>
      <c r="H260" s="36"/>
      <c r="I260" s="36"/>
      <c r="J260" s="36"/>
      <c r="K260" s="36"/>
      <c r="L260" s="36">
        <v>132.5</v>
      </c>
      <c r="M260" s="36">
        <v>144</v>
      </c>
      <c r="N260" s="36">
        <v>128</v>
      </c>
      <c r="O260" s="36">
        <v>93</v>
      </c>
      <c r="P260" s="36">
        <f>O260+N260+M260+L260</f>
        <v>497.5</v>
      </c>
      <c r="Q260" s="36">
        <v>69</v>
      </c>
      <c r="R260" s="36">
        <v>126</v>
      </c>
      <c r="S260" s="36">
        <v>118</v>
      </c>
      <c r="T260" s="36">
        <v>106.8</v>
      </c>
      <c r="U260" s="36">
        <f>T260+S260+R260+Q260</f>
        <v>419.8</v>
      </c>
      <c r="V260" s="36">
        <v>67</v>
      </c>
      <c r="W260" s="36">
        <v>90</v>
      </c>
      <c r="X260" s="36">
        <v>93</v>
      </c>
      <c r="Y260" s="36">
        <v>76</v>
      </c>
      <c r="Z260" s="36">
        <f>Y260+X260+W260+V260</f>
        <v>326</v>
      </c>
      <c r="AA260" s="36">
        <v>70</v>
      </c>
      <c r="AB260" s="36">
        <v>97</v>
      </c>
      <c r="AC260" s="36">
        <v>98</v>
      </c>
      <c r="AD260" s="36">
        <v>94</v>
      </c>
      <c r="AE260" s="36">
        <f>AD260+AC260+AB260+AA260</f>
        <v>359</v>
      </c>
      <c r="AF260" s="36">
        <v>91</v>
      </c>
      <c r="AG260" s="36">
        <v>106</v>
      </c>
      <c r="AH260" s="36">
        <v>83</v>
      </c>
      <c r="AI260" s="36">
        <v>82</v>
      </c>
      <c r="AJ260" s="36">
        <f>AI260+AH260+AG260+AF260</f>
        <v>362</v>
      </c>
      <c r="AK260" s="36">
        <v>76</v>
      </c>
      <c r="AL260" s="36">
        <v>76</v>
      </c>
      <c r="AM260" s="36">
        <v>71</v>
      </c>
      <c r="AN260" s="36">
        <v>68</v>
      </c>
      <c r="AO260" s="36">
        <f>AN260+AM260+AL260+AK260</f>
        <v>291</v>
      </c>
      <c r="AP260" s="36">
        <v>59</v>
      </c>
      <c r="AQ260" s="36">
        <v>74</v>
      </c>
      <c r="AR260" s="36">
        <v>60</v>
      </c>
      <c r="AS260" s="36">
        <v>55</v>
      </c>
      <c r="AT260" s="36">
        <f>AS260+AR260+AQ260+AP260</f>
        <v>248</v>
      </c>
      <c r="AU260" s="36">
        <v>49</v>
      </c>
      <c r="AV260" s="36">
        <v>60</v>
      </c>
      <c r="AW260" s="36">
        <v>47</v>
      </c>
      <c r="AX260" s="36">
        <v>47</v>
      </c>
      <c r="AY260" s="36">
        <f>AX260+AW260+AV260+AU260</f>
        <v>203</v>
      </c>
      <c r="AZ260" s="36">
        <v>47</v>
      </c>
      <c r="BA260" s="36">
        <v>53</v>
      </c>
      <c r="BB260" s="36">
        <v>46</v>
      </c>
      <c r="BC260" s="36">
        <v>51</v>
      </c>
      <c r="BD260" s="36">
        <f>BC260+BB260+BA260+AZ260</f>
        <v>197</v>
      </c>
      <c r="BE260" s="36">
        <v>51</v>
      </c>
      <c r="BF260" s="36">
        <v>54</v>
      </c>
      <c r="BG260" s="36">
        <v>17</v>
      </c>
      <c r="BH260" s="36">
        <v>4</v>
      </c>
      <c r="BI260" s="36">
        <f>SUM(BE260:BH260)</f>
        <v>126</v>
      </c>
      <c r="BJ260" s="36">
        <v>6</v>
      </c>
      <c r="BK260" s="36">
        <v>2</v>
      </c>
      <c r="BL260" s="36">
        <v>6</v>
      </c>
      <c r="BM260" s="36">
        <v>5</v>
      </c>
      <c r="BN260" s="36">
        <f>SUM(BJ260:BM260)</f>
        <v>19</v>
      </c>
      <c r="BO260" s="36">
        <v>6</v>
      </c>
      <c r="BP260" s="36">
        <v>5</v>
      </c>
      <c r="BQ260" s="36">
        <v>7</v>
      </c>
      <c r="BR260" s="36">
        <v>6</v>
      </c>
      <c r="BS260" s="36">
        <f>SUM(BO260:BR260)</f>
        <v>24</v>
      </c>
      <c r="BT260" s="36">
        <v>5</v>
      </c>
      <c r="BU260" s="36">
        <v>6</v>
      </c>
      <c r="BV260" s="36">
        <v>5</v>
      </c>
      <c r="BW260" s="36">
        <v>5</v>
      </c>
      <c r="BX260" s="36">
        <f>SUM(BT260:BW260)</f>
        <v>21</v>
      </c>
      <c r="BY260" s="36"/>
      <c r="BZ260" s="36"/>
      <c r="CA260" s="36"/>
      <c r="CB260" s="36"/>
      <c r="CC260" s="36"/>
      <c r="CD260" s="36"/>
      <c r="CE260" s="36"/>
      <c r="CF260" s="36"/>
      <c r="CG260" s="36"/>
      <c r="CH260" s="36"/>
      <c r="CI260" s="36"/>
      <c r="CJ260" s="36"/>
      <c r="CK260" s="36"/>
      <c r="CL260" s="36"/>
      <c r="CM260" s="36"/>
      <c r="CN260" s="36"/>
      <c r="CO260" s="36"/>
      <c r="CP260" s="36"/>
      <c r="CQ260" s="36"/>
      <c r="CR260" s="36"/>
      <c r="CS260" s="36"/>
      <c r="CT260" s="36"/>
      <c r="CU260" s="36"/>
      <c r="CV260" s="36"/>
      <c r="CW260" s="36"/>
      <c r="CX260" s="36"/>
      <c r="CY260" s="36"/>
      <c r="CZ260" s="36"/>
      <c r="DA260" s="36"/>
      <c r="DB260" s="36"/>
      <c r="DC260" s="36"/>
      <c r="DD260" s="36"/>
      <c r="DE260" s="36"/>
      <c r="DF260" s="36"/>
      <c r="DG260" s="36"/>
      <c r="DH260" s="36"/>
      <c r="DI260" s="36"/>
      <c r="DJ260" s="36"/>
      <c r="DK260" s="36"/>
      <c r="DL260" s="183"/>
      <c r="DM260" s="183"/>
      <c r="DN260" s="183"/>
      <c r="DO260" s="183"/>
      <c r="DP260" s="183"/>
    </row>
    <row r="261" spans="1:120" hidden="1" x14ac:dyDescent="0.2">
      <c r="A261" s="36" t="s">
        <v>189</v>
      </c>
      <c r="G261" s="36"/>
      <c r="H261" s="36"/>
      <c r="I261" s="36"/>
      <c r="J261" s="36"/>
      <c r="K261" s="36"/>
      <c r="L261" s="36">
        <v>40.5</v>
      </c>
      <c r="M261" s="36">
        <v>75</v>
      </c>
      <c r="N261" s="36">
        <v>41</v>
      </c>
      <c r="O261" s="36">
        <v>40</v>
      </c>
      <c r="P261" s="36">
        <f>O261+N261+M261+L261</f>
        <v>196.5</v>
      </c>
      <c r="Q261" s="36">
        <v>61</v>
      </c>
      <c r="R261" s="36">
        <v>99.8</v>
      </c>
      <c r="S261" s="36">
        <v>56.8</v>
      </c>
      <c r="T261" s="36">
        <v>55</v>
      </c>
      <c r="U261" s="36">
        <f>T261+S261+R261+Q261</f>
        <v>272.60000000000002</v>
      </c>
      <c r="V261" s="36">
        <v>77</v>
      </c>
      <c r="W261" s="36">
        <v>117</v>
      </c>
      <c r="X261" s="36">
        <v>64</v>
      </c>
      <c r="Y261" s="36">
        <v>63</v>
      </c>
      <c r="Z261" s="36">
        <f>Y261+X261+W261+V261</f>
        <v>321</v>
      </c>
      <c r="AA261" s="36">
        <v>90</v>
      </c>
      <c r="AB261" s="36">
        <v>129</v>
      </c>
      <c r="AC261" s="36">
        <v>73</v>
      </c>
      <c r="AD261" s="36">
        <v>70</v>
      </c>
      <c r="AE261" s="36">
        <f>AD261+AC261+AB261+AA261</f>
        <v>362</v>
      </c>
      <c r="AF261" s="36">
        <v>113</v>
      </c>
      <c r="AG261" s="36">
        <v>144</v>
      </c>
      <c r="AH261" s="36">
        <v>88</v>
      </c>
      <c r="AI261" s="36">
        <v>93</v>
      </c>
      <c r="AJ261" s="36">
        <f>AI261+AH261+AG261+AF261</f>
        <v>438</v>
      </c>
      <c r="AK261" s="36">
        <v>137</v>
      </c>
      <c r="AL261" s="36">
        <v>161</v>
      </c>
      <c r="AM261" s="36">
        <v>105</v>
      </c>
      <c r="AN261" s="36">
        <v>92</v>
      </c>
      <c r="AO261" s="36">
        <f>AN261+AM261+AL261+AK261</f>
        <v>495</v>
      </c>
      <c r="AP261" s="36">
        <v>115</v>
      </c>
      <c r="AQ261" s="36">
        <v>152</v>
      </c>
      <c r="AR261" s="36">
        <v>104</v>
      </c>
      <c r="AS261" s="36">
        <v>100</v>
      </c>
      <c r="AT261" s="36">
        <f>AS261+AR261+AQ261+AP261</f>
        <v>471</v>
      </c>
      <c r="AU261" s="36">
        <v>125</v>
      </c>
      <c r="AV261" s="36">
        <v>143</v>
      </c>
      <c r="AW261" s="36">
        <v>90</v>
      </c>
      <c r="AX261" s="36">
        <v>99</v>
      </c>
      <c r="AY261" s="36">
        <f>AX261+AW261+AV261+AU261</f>
        <v>457</v>
      </c>
      <c r="AZ261" s="36">
        <v>109</v>
      </c>
      <c r="BA261" s="36">
        <v>156</v>
      </c>
      <c r="BB261" s="36">
        <v>82</v>
      </c>
      <c r="BC261" s="36">
        <v>78</v>
      </c>
      <c r="BD261" s="36">
        <f>BC261+BB261+BA261+AZ261</f>
        <v>425</v>
      </c>
      <c r="BE261" s="36">
        <v>82</v>
      </c>
      <c r="BF261" s="36">
        <v>86</v>
      </c>
      <c r="BG261" s="36">
        <v>46</v>
      </c>
      <c r="BH261" s="36">
        <v>52</v>
      </c>
      <c r="BI261" s="36">
        <f>SUM(BE261:BH261)</f>
        <v>266</v>
      </c>
      <c r="BJ261" s="36">
        <v>55</v>
      </c>
      <c r="BK261" s="36">
        <v>63</v>
      </c>
      <c r="BL261" s="36">
        <v>48</v>
      </c>
      <c r="BM261" s="36">
        <v>50</v>
      </c>
      <c r="BN261" s="36">
        <f>SUM(BJ261:BM261)</f>
        <v>216</v>
      </c>
      <c r="BO261" s="36">
        <v>55</v>
      </c>
      <c r="BP261" s="36">
        <v>64</v>
      </c>
      <c r="BQ261" s="36">
        <v>42</v>
      </c>
      <c r="BR261" s="36">
        <v>46</v>
      </c>
      <c r="BS261" s="36">
        <f>SUM(BO261:BR261)</f>
        <v>207</v>
      </c>
      <c r="BT261" s="36">
        <v>46</v>
      </c>
      <c r="BU261" s="36">
        <v>49</v>
      </c>
      <c r="BV261" s="36">
        <v>34</v>
      </c>
      <c r="BW261" s="36">
        <v>37</v>
      </c>
      <c r="BX261" s="36">
        <f>SUM(BT261:BW261)</f>
        <v>166</v>
      </c>
      <c r="BY261" s="36"/>
      <c r="BZ261" s="36"/>
      <c r="CA261" s="36"/>
      <c r="CB261" s="36"/>
      <c r="CC261" s="36"/>
      <c r="CD261" s="36"/>
      <c r="CE261" s="36"/>
      <c r="CF261" s="36"/>
      <c r="CG261" s="36"/>
      <c r="CH261" s="36"/>
      <c r="CI261" s="36"/>
      <c r="CJ261" s="36"/>
      <c r="CK261" s="36"/>
      <c r="CL261" s="36"/>
      <c r="CM261" s="36"/>
      <c r="CN261" s="36"/>
      <c r="CO261" s="36"/>
      <c r="CP261" s="36"/>
      <c r="CQ261" s="36"/>
      <c r="CR261" s="36"/>
      <c r="CS261" s="36"/>
      <c r="CT261" s="36"/>
      <c r="CU261" s="36"/>
      <c r="CV261" s="36"/>
      <c r="CW261" s="36"/>
      <c r="CX261" s="36"/>
      <c r="CY261" s="36"/>
      <c r="CZ261" s="36"/>
      <c r="DA261" s="36"/>
      <c r="DB261" s="36"/>
      <c r="DC261" s="36"/>
      <c r="DD261" s="36"/>
      <c r="DE261" s="36"/>
      <c r="DF261" s="36"/>
      <c r="DG261" s="36"/>
      <c r="DH261" s="36"/>
      <c r="DI261" s="36"/>
      <c r="DJ261" s="36"/>
      <c r="DK261" s="36"/>
      <c r="DL261" s="183"/>
      <c r="DM261" s="183"/>
      <c r="DN261" s="183"/>
      <c r="DO261" s="183"/>
      <c r="DP261" s="183"/>
    </row>
    <row r="262" spans="1:120" hidden="1" x14ac:dyDescent="0.2">
      <c r="A262" s="39" t="s">
        <v>190</v>
      </c>
      <c r="G262" s="39"/>
      <c r="H262" s="39"/>
      <c r="I262" s="39"/>
      <c r="J262" s="39"/>
      <c r="K262" s="39"/>
      <c r="L262" s="39">
        <f>L261+L260</f>
        <v>173</v>
      </c>
      <c r="M262" s="39">
        <f>M261+M260</f>
        <v>219</v>
      </c>
      <c r="N262" s="39">
        <f>N261+N260</f>
        <v>169</v>
      </c>
      <c r="O262" s="39">
        <f>O261+O260</f>
        <v>133</v>
      </c>
      <c r="P262" s="39">
        <f>O262+N262+M262+L262</f>
        <v>694</v>
      </c>
      <c r="Q262" s="39">
        <f>Q261+Q260</f>
        <v>130</v>
      </c>
      <c r="R262" s="39">
        <f>R261+R260</f>
        <v>225.8</v>
      </c>
      <c r="S262" s="39">
        <f>S261+S260</f>
        <v>174.8</v>
      </c>
      <c r="T262" s="39">
        <f>T261+T260</f>
        <v>161.80000000000001</v>
      </c>
      <c r="U262" s="39">
        <f>T262+S262+R262+Q262</f>
        <v>692.40000000000009</v>
      </c>
      <c r="V262" s="39">
        <f>V261+V260</f>
        <v>144</v>
      </c>
      <c r="W262" s="39">
        <f>W261+W260</f>
        <v>207</v>
      </c>
      <c r="X262" s="39">
        <f>X261+X260</f>
        <v>157</v>
      </c>
      <c r="Y262" s="39">
        <f>Y261+Y260</f>
        <v>139</v>
      </c>
      <c r="Z262" s="39">
        <f>Y262+X262+W262+V262</f>
        <v>647</v>
      </c>
      <c r="AA262" s="39">
        <f>AA261+AA260</f>
        <v>160</v>
      </c>
      <c r="AB262" s="39">
        <f>AB261+AB260</f>
        <v>226</v>
      </c>
      <c r="AC262" s="39">
        <f>AC261+AC260</f>
        <v>171</v>
      </c>
      <c r="AD262" s="39">
        <f>AD261+AD260</f>
        <v>164</v>
      </c>
      <c r="AE262" s="39">
        <f>AD262+AC262+AB262+AA262</f>
        <v>721</v>
      </c>
      <c r="AF262" s="39">
        <f>AF261+AF260</f>
        <v>204</v>
      </c>
      <c r="AG262" s="39">
        <f>AG261+AG260</f>
        <v>250</v>
      </c>
      <c r="AH262" s="39">
        <f>AH261+AH260</f>
        <v>171</v>
      </c>
      <c r="AI262" s="39">
        <f>AI261+AI260</f>
        <v>175</v>
      </c>
      <c r="AJ262" s="39">
        <f>AI262+AH262+AG262+AF262</f>
        <v>800</v>
      </c>
      <c r="AK262" s="39">
        <f>AK261+AK260</f>
        <v>213</v>
      </c>
      <c r="AL262" s="39">
        <f>AL261+AL260</f>
        <v>237</v>
      </c>
      <c r="AM262" s="39">
        <f>AM261+AM260</f>
        <v>176</v>
      </c>
      <c r="AN262" s="39">
        <f>AN261+AN260</f>
        <v>160</v>
      </c>
      <c r="AO262" s="39">
        <f>AN262+AM262+AL262+AK262</f>
        <v>786</v>
      </c>
      <c r="AP262" s="39">
        <f>AP261+AP260</f>
        <v>174</v>
      </c>
      <c r="AQ262" s="39">
        <f>AQ261+AQ260</f>
        <v>226</v>
      </c>
      <c r="AR262" s="39">
        <f>AR261+AR260</f>
        <v>164</v>
      </c>
      <c r="AS262" s="39">
        <f>AS261+AS260</f>
        <v>155</v>
      </c>
      <c r="AT262" s="39">
        <f>AS262+AR262+AQ262+AP262</f>
        <v>719</v>
      </c>
      <c r="AU262" s="39">
        <f>AU261+AU260</f>
        <v>174</v>
      </c>
      <c r="AV262" s="39">
        <f>AV261+AV260</f>
        <v>203</v>
      </c>
      <c r="AW262" s="39">
        <f>AW261+AW260</f>
        <v>137</v>
      </c>
      <c r="AX262" s="39">
        <f>AX261+AX260</f>
        <v>146</v>
      </c>
      <c r="AY262" s="39">
        <f>AX262+AW262+AV262+AU262</f>
        <v>660</v>
      </c>
      <c r="AZ262" s="39">
        <f>AZ261+AZ260</f>
        <v>156</v>
      </c>
      <c r="BA262" s="39">
        <f>BA261+BA260</f>
        <v>209</v>
      </c>
      <c r="BB262" s="39">
        <f>BB261+BB260</f>
        <v>128</v>
      </c>
      <c r="BC262" s="39">
        <f>BC261+BC260</f>
        <v>129</v>
      </c>
      <c r="BD262" s="39">
        <f>BC262+BB262+BA262+AZ262</f>
        <v>622</v>
      </c>
      <c r="BE262" s="39">
        <f>BE260+BE261</f>
        <v>133</v>
      </c>
      <c r="BF262" s="39">
        <f>BF260+BF261</f>
        <v>140</v>
      </c>
      <c r="BG262" s="39">
        <f>BG260+BG261</f>
        <v>63</v>
      </c>
      <c r="BH262" s="39">
        <f>BH260+BH261</f>
        <v>56</v>
      </c>
      <c r="BI262" s="39">
        <f t="shared" ref="BI262:BS262" si="237">BI261+BI260</f>
        <v>392</v>
      </c>
      <c r="BJ262" s="39">
        <f t="shared" si="237"/>
        <v>61</v>
      </c>
      <c r="BK262" s="39">
        <f t="shared" si="237"/>
        <v>65</v>
      </c>
      <c r="BL262" s="39">
        <f t="shared" si="237"/>
        <v>54</v>
      </c>
      <c r="BM262" s="39">
        <f t="shared" si="237"/>
        <v>55</v>
      </c>
      <c r="BN262" s="39">
        <f t="shared" si="237"/>
        <v>235</v>
      </c>
      <c r="BO262" s="39">
        <f t="shared" si="237"/>
        <v>61</v>
      </c>
      <c r="BP262" s="39">
        <f t="shared" si="237"/>
        <v>69</v>
      </c>
      <c r="BQ262" s="39">
        <f t="shared" si="237"/>
        <v>49</v>
      </c>
      <c r="BR262" s="39">
        <f t="shared" si="237"/>
        <v>52</v>
      </c>
      <c r="BS262" s="39">
        <f t="shared" si="237"/>
        <v>231</v>
      </c>
      <c r="BT262" s="39">
        <f>BT261+BT260</f>
        <v>51</v>
      </c>
      <c r="BU262" s="39">
        <f>BU261+BU260</f>
        <v>55</v>
      </c>
      <c r="BV262" s="39">
        <f>BV261+BV260</f>
        <v>39</v>
      </c>
      <c r="BW262" s="39">
        <f>BW261+BW260</f>
        <v>42</v>
      </c>
      <c r="BX262" s="39">
        <f>BX261+BX260</f>
        <v>187</v>
      </c>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187"/>
      <c r="DM262" s="187"/>
      <c r="DN262" s="187"/>
      <c r="DO262" s="187"/>
      <c r="DP262" s="187"/>
    </row>
    <row r="263" spans="1:120" hidden="1" x14ac:dyDescent="0.2">
      <c r="A263" s="68" t="s">
        <v>54</v>
      </c>
      <c r="G263" s="127"/>
      <c r="H263" s="127"/>
      <c r="I263" s="127"/>
      <c r="J263" s="127"/>
      <c r="K263" s="75"/>
      <c r="L263" s="75" t="e">
        <f t="shared" ref="L263:O265" si="238">L260/G260-1</f>
        <v>#DIV/0!</v>
      </c>
      <c r="M263" s="75" t="e">
        <f t="shared" si="238"/>
        <v>#DIV/0!</v>
      </c>
      <c r="N263" s="75" t="e">
        <f t="shared" si="238"/>
        <v>#DIV/0!</v>
      </c>
      <c r="O263" s="75" t="e">
        <f t="shared" si="238"/>
        <v>#DIV/0!</v>
      </c>
      <c r="P263" s="75"/>
      <c r="Q263" s="75">
        <f t="shared" ref="Q263:BW265" si="239">Q260/L260-1</f>
        <v>-0.47924528301886793</v>
      </c>
      <c r="R263" s="75">
        <f t="shared" si="239"/>
        <v>-0.125</v>
      </c>
      <c r="S263" s="75">
        <f t="shared" si="239"/>
        <v>-7.8125E-2</v>
      </c>
      <c r="T263" s="75">
        <f t="shared" si="239"/>
        <v>0.14838709677419359</v>
      </c>
      <c r="U263" s="75">
        <f t="shared" si="239"/>
        <v>-0.15618090452261302</v>
      </c>
      <c r="V263" s="75">
        <f t="shared" si="239"/>
        <v>-2.8985507246376829E-2</v>
      </c>
      <c r="W263" s="75">
        <f t="shared" si="239"/>
        <v>-0.2857142857142857</v>
      </c>
      <c r="X263" s="75">
        <f t="shared" si="239"/>
        <v>-0.21186440677966101</v>
      </c>
      <c r="Y263" s="75">
        <f t="shared" si="239"/>
        <v>-0.28838951310861416</v>
      </c>
      <c r="Z263" s="75">
        <f t="shared" si="239"/>
        <v>-0.22343973320628874</v>
      </c>
      <c r="AA263" s="75">
        <f t="shared" si="239"/>
        <v>4.4776119402984982E-2</v>
      </c>
      <c r="AB263" s="75">
        <f t="shared" si="239"/>
        <v>7.7777777777777724E-2</v>
      </c>
      <c r="AC263" s="75">
        <f t="shared" si="239"/>
        <v>5.3763440860215006E-2</v>
      </c>
      <c r="AD263" s="75">
        <f t="shared" si="239"/>
        <v>0.23684210526315796</v>
      </c>
      <c r="AE263" s="75">
        <f t="shared" si="239"/>
        <v>0.10122699386503076</v>
      </c>
      <c r="AF263" s="75">
        <f t="shared" si="239"/>
        <v>0.30000000000000004</v>
      </c>
      <c r="AG263" s="75">
        <f t="shared" si="239"/>
        <v>9.2783505154639068E-2</v>
      </c>
      <c r="AH263" s="75">
        <f t="shared" si="239"/>
        <v>-0.15306122448979587</v>
      </c>
      <c r="AI263" s="75">
        <f t="shared" si="239"/>
        <v>-0.12765957446808507</v>
      </c>
      <c r="AJ263" s="75">
        <f t="shared" si="239"/>
        <v>8.3565459610028814E-3</v>
      </c>
      <c r="AK263" s="75">
        <f t="shared" si="239"/>
        <v>-0.1648351648351648</v>
      </c>
      <c r="AL263" s="75">
        <f t="shared" si="239"/>
        <v>-0.28301886792452835</v>
      </c>
      <c r="AM263" s="75">
        <f t="shared" si="239"/>
        <v>-0.14457831325301207</v>
      </c>
      <c r="AN263" s="75">
        <f t="shared" si="239"/>
        <v>-0.17073170731707321</v>
      </c>
      <c r="AO263" s="75">
        <f t="shared" si="239"/>
        <v>-0.19613259668508287</v>
      </c>
      <c r="AP263" s="75">
        <f t="shared" si="239"/>
        <v>-0.22368421052631582</v>
      </c>
      <c r="AQ263" s="75">
        <f t="shared" si="239"/>
        <v>-2.6315789473684181E-2</v>
      </c>
      <c r="AR263" s="75">
        <f t="shared" si="239"/>
        <v>-0.15492957746478875</v>
      </c>
      <c r="AS263" s="75">
        <f t="shared" si="239"/>
        <v>-0.19117647058823528</v>
      </c>
      <c r="AT263" s="75">
        <f t="shared" si="239"/>
        <v>-0.14776632302405501</v>
      </c>
      <c r="AU263" s="75">
        <f t="shared" si="239"/>
        <v>-0.16949152542372881</v>
      </c>
      <c r="AV263" s="75">
        <f t="shared" si="239"/>
        <v>-0.18918918918918914</v>
      </c>
      <c r="AW263" s="75">
        <f t="shared" si="239"/>
        <v>-0.21666666666666667</v>
      </c>
      <c r="AX263" s="75">
        <f t="shared" si="239"/>
        <v>-0.1454545454545455</v>
      </c>
      <c r="AY263" s="75">
        <f t="shared" si="239"/>
        <v>-0.18145161290322576</v>
      </c>
      <c r="AZ263" s="75">
        <f t="shared" si="239"/>
        <v>-4.081632653061229E-2</v>
      </c>
      <c r="BA263" s="75">
        <f t="shared" si="239"/>
        <v>-0.1166666666666667</v>
      </c>
      <c r="BB263" s="75">
        <f t="shared" si="239"/>
        <v>-2.1276595744680882E-2</v>
      </c>
      <c r="BC263" s="75">
        <f t="shared" si="239"/>
        <v>8.5106382978723305E-2</v>
      </c>
      <c r="BD263" s="75">
        <f t="shared" si="239"/>
        <v>-2.9556650246305383E-2</v>
      </c>
      <c r="BE263" s="76">
        <f t="shared" si="239"/>
        <v>8.5106382978723305E-2</v>
      </c>
      <c r="BF263" s="76">
        <f t="shared" si="239"/>
        <v>1.8867924528301883E-2</v>
      </c>
      <c r="BG263" s="76">
        <f t="shared" si="239"/>
        <v>-0.63043478260869568</v>
      </c>
      <c r="BH263" s="76">
        <f t="shared" si="239"/>
        <v>-0.92156862745098045</v>
      </c>
      <c r="BI263" s="90">
        <f t="shared" si="239"/>
        <v>-0.36040609137055835</v>
      </c>
      <c r="BJ263" s="76">
        <f t="shared" si="239"/>
        <v>-0.88235294117647056</v>
      </c>
      <c r="BK263" s="76">
        <f t="shared" si="239"/>
        <v>-0.96296296296296302</v>
      </c>
      <c r="BL263" s="76">
        <f t="shared" si="239"/>
        <v>-0.64705882352941169</v>
      </c>
      <c r="BM263" s="76">
        <f t="shared" si="239"/>
        <v>0.25</v>
      </c>
      <c r="BN263" s="90">
        <f>BN260/BI260-1</f>
        <v>-0.84920634920634919</v>
      </c>
      <c r="BO263" s="76">
        <f t="shared" si="239"/>
        <v>0</v>
      </c>
      <c r="BP263" s="76">
        <f t="shared" si="239"/>
        <v>1.5</v>
      </c>
      <c r="BQ263" s="76">
        <f t="shared" si="239"/>
        <v>0.16666666666666674</v>
      </c>
      <c r="BR263" s="76">
        <f t="shared" si="239"/>
        <v>0.19999999999999996</v>
      </c>
      <c r="BS263" s="75">
        <f>BS260/BN260-1</f>
        <v>0.26315789473684204</v>
      </c>
      <c r="BT263" s="76">
        <f t="shared" si="239"/>
        <v>-0.16666666666666663</v>
      </c>
      <c r="BU263" s="76">
        <f t="shared" si="239"/>
        <v>0.19999999999999996</v>
      </c>
      <c r="BV263" s="76">
        <f t="shared" si="239"/>
        <v>-0.2857142857142857</v>
      </c>
      <c r="BW263" s="76">
        <f t="shared" si="239"/>
        <v>-0.16666666666666663</v>
      </c>
      <c r="BX263" s="75">
        <f>BX260/BS260-1</f>
        <v>-0.125</v>
      </c>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5"/>
      <c r="DA263" s="75"/>
      <c r="DB263" s="75"/>
      <c r="DC263" s="75"/>
      <c r="DD263" s="75"/>
      <c r="DE263" s="75"/>
      <c r="DF263" s="75"/>
      <c r="DG263" s="75"/>
      <c r="DH263" s="75"/>
      <c r="DI263" s="75"/>
      <c r="DJ263" s="75"/>
      <c r="DK263" s="75"/>
      <c r="DL263" s="192"/>
      <c r="DM263" s="192"/>
      <c r="DN263" s="192"/>
      <c r="DO263" s="192"/>
      <c r="DP263" s="192"/>
    </row>
    <row r="264" spans="1:120" hidden="1" x14ac:dyDescent="0.2">
      <c r="A264" s="68" t="s">
        <v>55</v>
      </c>
      <c r="G264" s="127"/>
      <c r="H264" s="127"/>
      <c r="I264" s="127"/>
      <c r="J264" s="127"/>
      <c r="K264" s="75"/>
      <c r="L264" s="75" t="e">
        <f t="shared" si="238"/>
        <v>#DIV/0!</v>
      </c>
      <c r="M264" s="75" t="e">
        <f t="shared" si="238"/>
        <v>#DIV/0!</v>
      </c>
      <c r="N264" s="75" t="e">
        <f t="shared" si="238"/>
        <v>#DIV/0!</v>
      </c>
      <c r="O264" s="75" t="e">
        <f t="shared" si="238"/>
        <v>#DIV/0!</v>
      </c>
      <c r="P264" s="75"/>
      <c r="Q264" s="75">
        <f t="shared" si="239"/>
        <v>0.50617283950617287</v>
      </c>
      <c r="R264" s="75">
        <f t="shared" si="239"/>
        <v>0.33066666666666666</v>
      </c>
      <c r="S264" s="75">
        <f t="shared" si="239"/>
        <v>0.38536585365853648</v>
      </c>
      <c r="T264" s="75">
        <f t="shared" si="239"/>
        <v>0.375</v>
      </c>
      <c r="U264" s="75">
        <f t="shared" si="239"/>
        <v>0.38727735368956751</v>
      </c>
      <c r="V264" s="75">
        <f t="shared" si="239"/>
        <v>0.26229508196721318</v>
      </c>
      <c r="W264" s="75">
        <f t="shared" si="239"/>
        <v>0.17234468937875747</v>
      </c>
      <c r="X264" s="75">
        <f t="shared" si="239"/>
        <v>0.12676056338028174</v>
      </c>
      <c r="Y264" s="75">
        <f t="shared" si="239"/>
        <v>0.1454545454545455</v>
      </c>
      <c r="Z264" s="75">
        <f t="shared" si="239"/>
        <v>0.17754952311078487</v>
      </c>
      <c r="AA264" s="75">
        <f t="shared" si="239"/>
        <v>0.16883116883116878</v>
      </c>
      <c r="AB264" s="75">
        <f t="shared" si="239"/>
        <v>0.10256410256410264</v>
      </c>
      <c r="AC264" s="75">
        <f t="shared" si="239"/>
        <v>0.140625</v>
      </c>
      <c r="AD264" s="75">
        <f t="shared" si="239"/>
        <v>0.11111111111111116</v>
      </c>
      <c r="AE264" s="75">
        <f t="shared" si="239"/>
        <v>0.12772585669781922</v>
      </c>
      <c r="AF264" s="75">
        <f t="shared" si="239"/>
        <v>0.25555555555555554</v>
      </c>
      <c r="AG264" s="75">
        <f t="shared" si="239"/>
        <v>0.11627906976744184</v>
      </c>
      <c r="AH264" s="75">
        <f t="shared" si="239"/>
        <v>0.20547945205479445</v>
      </c>
      <c r="AI264" s="75">
        <f t="shared" si="239"/>
        <v>0.32857142857142851</v>
      </c>
      <c r="AJ264" s="75">
        <f t="shared" si="239"/>
        <v>0.20994475138121538</v>
      </c>
      <c r="AK264" s="75">
        <f t="shared" si="239"/>
        <v>0.21238938053097356</v>
      </c>
      <c r="AL264" s="75">
        <f t="shared" si="239"/>
        <v>0.11805555555555558</v>
      </c>
      <c r="AM264" s="75">
        <f t="shared" si="239"/>
        <v>0.19318181818181812</v>
      </c>
      <c r="AN264" s="75">
        <f t="shared" si="239"/>
        <v>-1.0752688172043001E-2</v>
      </c>
      <c r="AO264" s="75">
        <f t="shared" si="239"/>
        <v>0.13013698630136994</v>
      </c>
      <c r="AP264" s="75">
        <f t="shared" si="239"/>
        <v>-0.16058394160583944</v>
      </c>
      <c r="AQ264" s="75">
        <f t="shared" si="239"/>
        <v>-5.5900621118012417E-2</v>
      </c>
      <c r="AR264" s="75">
        <f t="shared" si="239"/>
        <v>-9.52380952380949E-3</v>
      </c>
      <c r="AS264" s="75">
        <f t="shared" si="239"/>
        <v>8.6956521739130377E-2</v>
      </c>
      <c r="AT264" s="75">
        <f t="shared" si="239"/>
        <v>-4.8484848484848464E-2</v>
      </c>
      <c r="AU264" s="75">
        <f t="shared" si="239"/>
        <v>8.6956521739130377E-2</v>
      </c>
      <c r="AV264" s="75">
        <f t="shared" si="239"/>
        <v>-5.9210526315789491E-2</v>
      </c>
      <c r="AW264" s="75">
        <f t="shared" si="239"/>
        <v>-0.13461538461538458</v>
      </c>
      <c r="AX264" s="75">
        <f t="shared" si="239"/>
        <v>-1.0000000000000009E-2</v>
      </c>
      <c r="AY264" s="75">
        <f t="shared" si="239"/>
        <v>-2.9723991507430991E-2</v>
      </c>
      <c r="AZ264" s="75">
        <f t="shared" si="239"/>
        <v>-0.128</v>
      </c>
      <c r="BA264" s="75">
        <f t="shared" si="239"/>
        <v>9.0909090909090828E-2</v>
      </c>
      <c r="BB264" s="75">
        <f t="shared" si="239"/>
        <v>-8.8888888888888906E-2</v>
      </c>
      <c r="BC264" s="75">
        <f t="shared" si="239"/>
        <v>-0.21212121212121215</v>
      </c>
      <c r="BD264" s="75">
        <f t="shared" si="239"/>
        <v>-7.0021881838074451E-2</v>
      </c>
      <c r="BE264" s="76">
        <f t="shared" si="239"/>
        <v>-0.24770642201834858</v>
      </c>
      <c r="BF264" s="76">
        <f t="shared" si="239"/>
        <v>-0.44871794871794868</v>
      </c>
      <c r="BG264" s="76">
        <f t="shared" si="239"/>
        <v>-0.43902439024390238</v>
      </c>
      <c r="BH264" s="76">
        <f t="shared" si="239"/>
        <v>-0.33333333333333337</v>
      </c>
      <c r="BI264" s="90">
        <f t="shared" si="239"/>
        <v>-0.37411764705882355</v>
      </c>
      <c r="BJ264" s="76">
        <f t="shared" si="239"/>
        <v>-0.32926829268292679</v>
      </c>
      <c r="BK264" s="76">
        <f t="shared" si="239"/>
        <v>-0.26744186046511631</v>
      </c>
      <c r="BL264" s="76">
        <f t="shared" si="239"/>
        <v>4.3478260869565188E-2</v>
      </c>
      <c r="BM264" s="76">
        <f t="shared" si="239"/>
        <v>-3.8461538461538436E-2</v>
      </c>
      <c r="BN264" s="90">
        <f>BN261/BI261-1</f>
        <v>-0.18796992481203012</v>
      </c>
      <c r="BO264" s="76">
        <f t="shared" si="239"/>
        <v>0</v>
      </c>
      <c r="BP264" s="76">
        <f t="shared" si="239"/>
        <v>1.5873015873015817E-2</v>
      </c>
      <c r="BQ264" s="76">
        <f t="shared" si="239"/>
        <v>-0.125</v>
      </c>
      <c r="BR264" s="76">
        <f t="shared" si="239"/>
        <v>-7.999999999999996E-2</v>
      </c>
      <c r="BS264" s="75">
        <f>BS261/BN261-1</f>
        <v>-4.166666666666663E-2</v>
      </c>
      <c r="BT264" s="76">
        <f t="shared" si="239"/>
        <v>-0.16363636363636369</v>
      </c>
      <c r="BU264" s="76">
        <f t="shared" si="239"/>
        <v>-0.234375</v>
      </c>
      <c r="BV264" s="76">
        <f t="shared" si="239"/>
        <v>-0.19047619047619047</v>
      </c>
      <c r="BW264" s="76">
        <f t="shared" si="239"/>
        <v>-0.19565217391304346</v>
      </c>
      <c r="BX264" s="75">
        <f>BX261/BS261-1</f>
        <v>-0.19806763285024154</v>
      </c>
      <c r="BY264" s="75"/>
      <c r="BZ264" s="75"/>
      <c r="CA264" s="75"/>
      <c r="CB264" s="75"/>
      <c r="CC264" s="75"/>
      <c r="CD264" s="75"/>
      <c r="CE264" s="75"/>
      <c r="CF264" s="75"/>
      <c r="CG264" s="75"/>
      <c r="CH264" s="75"/>
      <c r="CI264" s="75"/>
      <c r="CJ264" s="75"/>
      <c r="CK264" s="75"/>
      <c r="CL264" s="75"/>
      <c r="CM264" s="75"/>
      <c r="CN264" s="75"/>
      <c r="CO264" s="75"/>
      <c r="CP264" s="75"/>
      <c r="CQ264" s="75"/>
      <c r="CR264" s="75"/>
      <c r="CS264" s="75"/>
      <c r="CT264" s="75"/>
      <c r="CU264" s="75"/>
      <c r="CV264" s="75"/>
      <c r="CW264" s="75"/>
      <c r="CX264" s="75"/>
      <c r="CY264" s="75"/>
      <c r="CZ264" s="75"/>
      <c r="DA264" s="75"/>
      <c r="DB264" s="75"/>
      <c r="DC264" s="75"/>
      <c r="DD264" s="75"/>
      <c r="DE264" s="75"/>
      <c r="DF264" s="75"/>
      <c r="DG264" s="75"/>
      <c r="DH264" s="75"/>
      <c r="DI264" s="75"/>
      <c r="DJ264" s="75"/>
      <c r="DK264" s="75"/>
      <c r="DL264" s="192"/>
      <c r="DM264" s="192"/>
      <c r="DN264" s="192"/>
      <c r="DO264" s="192"/>
      <c r="DP264" s="192"/>
    </row>
    <row r="265" spans="1:120" hidden="1" x14ac:dyDescent="0.2">
      <c r="A265" s="78" t="s">
        <v>56</v>
      </c>
      <c r="F265" s="98"/>
      <c r="G265" s="130"/>
      <c r="H265" s="130"/>
      <c r="I265" s="130"/>
      <c r="J265" s="130"/>
      <c r="K265" s="83"/>
      <c r="L265" s="83" t="e">
        <f t="shared" si="238"/>
        <v>#DIV/0!</v>
      </c>
      <c r="M265" s="83" t="e">
        <f t="shared" si="238"/>
        <v>#DIV/0!</v>
      </c>
      <c r="N265" s="83" t="e">
        <f t="shared" si="238"/>
        <v>#DIV/0!</v>
      </c>
      <c r="O265" s="83" t="e">
        <f t="shared" si="238"/>
        <v>#DIV/0!</v>
      </c>
      <c r="P265" s="83"/>
      <c r="Q265" s="83">
        <f t="shared" si="239"/>
        <v>-0.24855491329479773</v>
      </c>
      <c r="R265" s="83">
        <f t="shared" si="239"/>
        <v>3.1050228310502304E-2</v>
      </c>
      <c r="S265" s="83">
        <f t="shared" si="239"/>
        <v>3.4319526627218933E-2</v>
      </c>
      <c r="T265" s="83">
        <f t="shared" si="239"/>
        <v>0.21654135338345881</v>
      </c>
      <c r="U265" s="83">
        <f t="shared" si="239"/>
        <v>-2.305475504322585E-3</v>
      </c>
      <c r="V265" s="83">
        <f t="shared" si="239"/>
        <v>0.10769230769230775</v>
      </c>
      <c r="W265" s="83">
        <f t="shared" si="239"/>
        <v>-8.3259521700620009E-2</v>
      </c>
      <c r="X265" s="83">
        <f t="shared" si="239"/>
        <v>-0.1018306636155607</v>
      </c>
      <c r="Y265" s="83">
        <f t="shared" si="239"/>
        <v>-0.1409147095179234</v>
      </c>
      <c r="Z265" s="83">
        <f t="shared" si="239"/>
        <v>-6.5569035239745888E-2</v>
      </c>
      <c r="AA265" s="83">
        <f t="shared" si="239"/>
        <v>0.11111111111111116</v>
      </c>
      <c r="AB265" s="83">
        <f t="shared" si="239"/>
        <v>9.1787439613526534E-2</v>
      </c>
      <c r="AC265" s="83">
        <f t="shared" si="239"/>
        <v>8.9171974522292974E-2</v>
      </c>
      <c r="AD265" s="83">
        <f t="shared" si="239"/>
        <v>0.17985611510791366</v>
      </c>
      <c r="AE265" s="83">
        <f t="shared" si="239"/>
        <v>0.11437403400309121</v>
      </c>
      <c r="AF265" s="83">
        <f t="shared" si="239"/>
        <v>0.27499999999999991</v>
      </c>
      <c r="AG265" s="83">
        <f t="shared" si="239"/>
        <v>0.10619469026548667</v>
      </c>
      <c r="AH265" s="83">
        <f t="shared" si="239"/>
        <v>0</v>
      </c>
      <c r="AI265" s="83">
        <f t="shared" si="239"/>
        <v>6.7073170731707377E-2</v>
      </c>
      <c r="AJ265" s="83">
        <f t="shared" si="239"/>
        <v>0.10957004160887651</v>
      </c>
      <c r="AK265" s="83">
        <f t="shared" si="239"/>
        <v>4.4117647058823595E-2</v>
      </c>
      <c r="AL265" s="83">
        <f t="shared" si="239"/>
        <v>-5.2000000000000046E-2</v>
      </c>
      <c r="AM265" s="83">
        <f t="shared" si="239"/>
        <v>2.9239766081871288E-2</v>
      </c>
      <c r="AN265" s="83">
        <f t="shared" si="239"/>
        <v>-8.5714285714285743E-2</v>
      </c>
      <c r="AO265" s="83">
        <f t="shared" si="239"/>
        <v>-1.749999999999996E-2</v>
      </c>
      <c r="AP265" s="83">
        <f t="shared" si="239"/>
        <v>-0.18309859154929575</v>
      </c>
      <c r="AQ265" s="83">
        <f t="shared" si="239"/>
        <v>-4.641350210970463E-2</v>
      </c>
      <c r="AR265" s="83">
        <f t="shared" si="239"/>
        <v>-6.8181818181818232E-2</v>
      </c>
      <c r="AS265" s="83">
        <f t="shared" si="239"/>
        <v>-3.125E-2</v>
      </c>
      <c r="AT265" s="83">
        <f t="shared" si="239"/>
        <v>-8.5241730279898231E-2</v>
      </c>
      <c r="AU265" s="83">
        <f t="shared" si="239"/>
        <v>0</v>
      </c>
      <c r="AV265" s="83">
        <f t="shared" si="239"/>
        <v>-0.10176991150442483</v>
      </c>
      <c r="AW265" s="83">
        <f t="shared" si="239"/>
        <v>-0.16463414634146345</v>
      </c>
      <c r="AX265" s="83">
        <f t="shared" si="239"/>
        <v>-5.8064516129032295E-2</v>
      </c>
      <c r="AY265" s="83">
        <f t="shared" si="239"/>
        <v>-8.2058414464534102E-2</v>
      </c>
      <c r="AZ265" s="83">
        <f t="shared" si="239"/>
        <v>-0.10344827586206895</v>
      </c>
      <c r="BA265" s="83">
        <f t="shared" si="239"/>
        <v>2.9556650246305383E-2</v>
      </c>
      <c r="BB265" s="83">
        <f t="shared" si="239"/>
        <v>-6.5693430656934337E-2</v>
      </c>
      <c r="BC265" s="83">
        <f t="shared" si="239"/>
        <v>-0.11643835616438358</v>
      </c>
      <c r="BD265" s="83">
        <f t="shared" si="239"/>
        <v>-5.7575757575757613E-2</v>
      </c>
      <c r="BE265" s="80">
        <f t="shared" si="239"/>
        <v>-0.14743589743589747</v>
      </c>
      <c r="BF265" s="80">
        <f t="shared" si="239"/>
        <v>-0.33014354066985641</v>
      </c>
      <c r="BG265" s="80">
        <f>BG262/BB262-1</f>
        <v>-0.5078125</v>
      </c>
      <c r="BH265" s="80">
        <f>BH262/BC262-1</f>
        <v>-0.56589147286821706</v>
      </c>
      <c r="BI265" s="80">
        <f t="shared" si="239"/>
        <v>-0.36977491961414788</v>
      </c>
      <c r="BJ265" s="80">
        <f t="shared" si="239"/>
        <v>-0.54135338345864659</v>
      </c>
      <c r="BK265" s="91">
        <f>BK262/BF262-1</f>
        <v>-0.5357142857142857</v>
      </c>
      <c r="BL265" s="91">
        <f>BL262/BG262-1</f>
        <v>-0.1428571428571429</v>
      </c>
      <c r="BM265" s="91">
        <f>BM262/BH262-1</f>
        <v>-1.7857142857142905E-2</v>
      </c>
      <c r="BN265" s="80">
        <f>BN262/BI262-1</f>
        <v>-0.40051020408163263</v>
      </c>
      <c r="BO265" s="80">
        <f>BO262/BJ262-1</f>
        <v>0</v>
      </c>
      <c r="BP265" s="91">
        <f>BP262/BK262-1</f>
        <v>6.1538461538461542E-2</v>
      </c>
      <c r="BQ265" s="91">
        <f>BQ262/BL262-1</f>
        <v>-9.259259259259256E-2</v>
      </c>
      <c r="BR265" s="91">
        <f>BR262/BM262-1</f>
        <v>-5.4545454545454564E-2</v>
      </c>
      <c r="BS265" s="83">
        <f>BS262/BN262-1</f>
        <v>-1.7021276595744705E-2</v>
      </c>
      <c r="BT265" s="80">
        <f>BT262/BO262-1</f>
        <v>-0.16393442622950816</v>
      </c>
      <c r="BU265" s="80">
        <f>BU262/BP262-1</f>
        <v>-0.20289855072463769</v>
      </c>
      <c r="BV265" s="91">
        <f>BV262/BQ262-1</f>
        <v>-0.20408163265306123</v>
      </c>
      <c r="BW265" s="91">
        <f>BW262/BR262-1</f>
        <v>-0.19230769230769229</v>
      </c>
      <c r="BX265" s="83">
        <f>BX262/BS262-1</f>
        <v>-0.19047619047619047</v>
      </c>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c r="DC265" s="83"/>
      <c r="DD265" s="83"/>
      <c r="DE265" s="83"/>
      <c r="DF265" s="83"/>
      <c r="DG265" s="83"/>
      <c r="DH265" s="83"/>
      <c r="DI265" s="83"/>
      <c r="DJ265" s="83"/>
      <c r="DK265" s="83"/>
      <c r="DL265" s="193"/>
      <c r="DM265" s="193"/>
      <c r="DN265" s="193"/>
      <c r="DO265" s="193"/>
      <c r="DP265" s="193"/>
    </row>
    <row r="266" spans="1:120" hidden="1" x14ac:dyDescent="0.2">
      <c r="A266" s="115" t="s">
        <v>191</v>
      </c>
      <c r="B266" s="36">
        <v>30.11</v>
      </c>
      <c r="C266" s="36">
        <v>30.11</v>
      </c>
      <c r="D266" s="86">
        <v>25</v>
      </c>
      <c r="E266" s="36">
        <v>20.05</v>
      </c>
      <c r="F266" s="106">
        <v>105.2807486631016</v>
      </c>
      <c r="G266" s="106">
        <v>21</v>
      </c>
      <c r="H266" s="106">
        <v>25</v>
      </c>
      <c r="I266" s="141">
        <v>25</v>
      </c>
      <c r="J266" s="141">
        <v>27</v>
      </c>
      <c r="K266" s="106">
        <f>J266+I266+H266+G266</f>
        <v>98</v>
      </c>
      <c r="L266" s="141">
        <v>36</v>
      </c>
      <c r="M266" s="141">
        <v>21</v>
      </c>
      <c r="N266" s="141">
        <v>27</v>
      </c>
      <c r="O266" s="106">
        <v>27</v>
      </c>
      <c r="P266" s="106">
        <f>O266+N266+M266+L266</f>
        <v>111</v>
      </c>
      <c r="Q266" s="106">
        <v>29</v>
      </c>
      <c r="R266" s="106">
        <v>32</v>
      </c>
      <c r="S266" s="106">
        <v>33</v>
      </c>
      <c r="T266" s="106">
        <v>35</v>
      </c>
      <c r="U266" s="106">
        <f>T266+S266+R266+Q266</f>
        <v>129</v>
      </c>
      <c r="V266" s="106">
        <v>32</v>
      </c>
      <c r="W266" s="106">
        <v>32</v>
      </c>
      <c r="X266" s="106">
        <v>29</v>
      </c>
      <c r="Y266" s="106">
        <v>36</v>
      </c>
      <c r="Z266" s="106">
        <f>Y266+X266+W266+V266</f>
        <v>129</v>
      </c>
      <c r="AA266" s="106">
        <v>34</v>
      </c>
      <c r="AB266" s="106">
        <v>37</v>
      </c>
      <c r="AC266" s="106">
        <v>36</v>
      </c>
      <c r="AD266" s="106">
        <v>37</v>
      </c>
      <c r="AE266" s="106">
        <f>AD266+AC266+AB266+AA266</f>
        <v>144</v>
      </c>
      <c r="AF266" s="106">
        <v>37</v>
      </c>
      <c r="AG266" s="106">
        <v>39</v>
      </c>
      <c r="AH266" s="106">
        <v>38</v>
      </c>
      <c r="AI266" s="106">
        <v>39</v>
      </c>
      <c r="AJ266" s="106">
        <f>AI266+AH266+AG266+AF266</f>
        <v>153</v>
      </c>
      <c r="AK266" s="106">
        <v>37</v>
      </c>
      <c r="AL266" s="106">
        <v>38</v>
      </c>
      <c r="AM266" s="106">
        <v>39</v>
      </c>
      <c r="AN266" s="106">
        <v>37</v>
      </c>
      <c r="AO266" s="106">
        <f>AN266+AM266+AL266+AK266</f>
        <v>151</v>
      </c>
      <c r="AP266" s="106">
        <v>36</v>
      </c>
      <c r="AQ266" s="106">
        <v>37</v>
      </c>
      <c r="AR266" s="106">
        <v>37</v>
      </c>
      <c r="AS266" s="106">
        <v>38</v>
      </c>
      <c r="AT266" s="106">
        <f>AS266+AR266+AQ266+AP266</f>
        <v>148</v>
      </c>
      <c r="AU266" s="106">
        <v>35</v>
      </c>
      <c r="AV266" s="106">
        <v>37</v>
      </c>
      <c r="AW266" s="106">
        <v>37</v>
      </c>
      <c r="AX266" s="106">
        <v>39</v>
      </c>
      <c r="AY266" s="106">
        <f>AX266+AW266+AV266+AU266</f>
        <v>148</v>
      </c>
      <c r="AZ266" s="106">
        <v>32</v>
      </c>
      <c r="BA266" s="106">
        <v>33</v>
      </c>
      <c r="BB266" s="106">
        <v>33</v>
      </c>
      <c r="BC266" s="106">
        <v>36</v>
      </c>
      <c r="BD266" s="106">
        <f>BC266+BB266+BA266+AZ266</f>
        <v>134</v>
      </c>
      <c r="BE266" s="36">
        <v>32</v>
      </c>
      <c r="BF266" s="36">
        <v>33</v>
      </c>
      <c r="BG266" s="36">
        <v>30</v>
      </c>
      <c r="BH266" s="36">
        <v>29</v>
      </c>
      <c r="BI266" s="36">
        <f>SUM(BE266:BH266)</f>
        <v>124</v>
      </c>
      <c r="BJ266" s="36">
        <v>6</v>
      </c>
      <c r="BK266" s="36">
        <v>5</v>
      </c>
      <c r="BL266" s="36">
        <v>7</v>
      </c>
      <c r="BM266" s="36">
        <v>6</v>
      </c>
      <c r="BN266" s="36">
        <f>SUM(BJ266:BM266)</f>
        <v>24</v>
      </c>
      <c r="BO266" s="36">
        <v>5</v>
      </c>
      <c r="BP266" s="36">
        <v>5</v>
      </c>
      <c r="BQ266" s="36">
        <v>5</v>
      </c>
      <c r="BR266" s="36">
        <v>5</v>
      </c>
      <c r="BS266" s="106">
        <f>SUM(BO266:BR266)</f>
        <v>20</v>
      </c>
      <c r="BT266" s="36">
        <f ca="1">BO266*(1+BT269)</f>
        <v>4.166666666666667</v>
      </c>
      <c r="BU266" s="36">
        <v>4</v>
      </c>
      <c r="BV266" s="36">
        <v>4</v>
      </c>
      <c r="BW266" s="36">
        <v>4</v>
      </c>
      <c r="BX266" s="106">
        <f ca="1">SUM(BT266:BW266)</f>
        <v>16.166666666666668</v>
      </c>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206"/>
      <c r="DM266" s="206"/>
      <c r="DN266" s="206"/>
      <c r="DO266" s="206"/>
      <c r="DP266" s="206"/>
    </row>
    <row r="267" spans="1:120" hidden="1" x14ac:dyDescent="0.2">
      <c r="A267" s="115" t="s">
        <v>192</v>
      </c>
      <c r="B267" s="36">
        <v>22.32</v>
      </c>
      <c r="C267" s="36">
        <v>22.32</v>
      </c>
      <c r="D267" s="86">
        <v>30.12</v>
      </c>
      <c r="E267" s="36">
        <v>29.9</v>
      </c>
      <c r="F267" s="36">
        <v>104.67289719626169</v>
      </c>
      <c r="G267" s="36">
        <v>26</v>
      </c>
      <c r="H267" s="36">
        <v>27</v>
      </c>
      <c r="I267" s="86">
        <v>29</v>
      </c>
      <c r="J267" s="86">
        <v>33</v>
      </c>
      <c r="K267" s="36">
        <f>J267+I267+H267+G267</f>
        <v>115</v>
      </c>
      <c r="L267" s="86">
        <v>30</v>
      </c>
      <c r="M267" s="86">
        <v>30</v>
      </c>
      <c r="N267" s="86">
        <v>31.74</v>
      </c>
      <c r="O267" s="36">
        <v>36.75</v>
      </c>
      <c r="P267" s="36">
        <f>O267+N267+M267+L267</f>
        <v>128.49</v>
      </c>
      <c r="Q267" s="36">
        <v>34</v>
      </c>
      <c r="R267" s="36">
        <v>33</v>
      </c>
      <c r="S267" s="36">
        <v>34</v>
      </c>
      <c r="T267" s="36">
        <v>41</v>
      </c>
      <c r="U267" s="36">
        <f>T267+S267+R267+Q267</f>
        <v>142</v>
      </c>
      <c r="V267" s="36">
        <v>38</v>
      </c>
      <c r="W267" s="36">
        <v>37</v>
      </c>
      <c r="X267" s="36">
        <v>38</v>
      </c>
      <c r="Y267" s="36">
        <v>50</v>
      </c>
      <c r="Z267" s="36">
        <f>Y267+X267+W267+V267</f>
        <v>163</v>
      </c>
      <c r="AA267" s="36">
        <v>41</v>
      </c>
      <c r="AB267" s="36">
        <v>47</v>
      </c>
      <c r="AC267" s="36">
        <v>53</v>
      </c>
      <c r="AD267" s="36">
        <v>66</v>
      </c>
      <c r="AE267" s="36">
        <f>AD267+AC267+AB267+AA267</f>
        <v>207</v>
      </c>
      <c r="AF267" s="36">
        <v>59</v>
      </c>
      <c r="AG267" s="36">
        <v>59</v>
      </c>
      <c r="AH267" s="36">
        <v>61</v>
      </c>
      <c r="AI267" s="36">
        <v>73</v>
      </c>
      <c r="AJ267" s="36">
        <f>AI267+AH267+AG267+AF267</f>
        <v>252</v>
      </c>
      <c r="AK267" s="36">
        <v>68</v>
      </c>
      <c r="AL267" s="36">
        <v>70</v>
      </c>
      <c r="AM267" s="36">
        <v>69</v>
      </c>
      <c r="AN267" s="36">
        <v>71</v>
      </c>
      <c r="AO267" s="36">
        <f>AN267+AM267+AL267+AK267</f>
        <v>278</v>
      </c>
      <c r="AP267" s="36">
        <v>67</v>
      </c>
      <c r="AQ267" s="36">
        <v>69</v>
      </c>
      <c r="AR267" s="36">
        <v>72</v>
      </c>
      <c r="AS267" s="36">
        <v>84</v>
      </c>
      <c r="AT267" s="36">
        <f>AS267+AR267+AQ267+AP267</f>
        <v>292</v>
      </c>
      <c r="AU267" s="36">
        <v>64</v>
      </c>
      <c r="AV267" s="36">
        <v>77</v>
      </c>
      <c r="AW267" s="36">
        <v>72</v>
      </c>
      <c r="AX267" s="36">
        <v>85</v>
      </c>
      <c r="AY267" s="36">
        <f>AX267+AW267+AV267+AU267</f>
        <v>298</v>
      </c>
      <c r="AZ267" s="36">
        <v>74</v>
      </c>
      <c r="BA267" s="36">
        <v>79</v>
      </c>
      <c r="BB267" s="36">
        <v>78</v>
      </c>
      <c r="BC267" s="36">
        <v>81</v>
      </c>
      <c r="BD267" s="36">
        <f>BC267+BB267+BA267+AZ267</f>
        <v>312</v>
      </c>
      <c r="BE267" s="36">
        <v>76</v>
      </c>
      <c r="BF267" s="36">
        <v>68</v>
      </c>
      <c r="BG267" s="36">
        <v>74</v>
      </c>
      <c r="BH267" s="36">
        <v>83</v>
      </c>
      <c r="BI267" s="36">
        <f>SUM(BE267:BH267)</f>
        <v>301</v>
      </c>
      <c r="BJ267" s="36">
        <v>62</v>
      </c>
      <c r="BK267" s="36">
        <v>62</v>
      </c>
      <c r="BL267" s="36">
        <v>64</v>
      </c>
      <c r="BM267" s="36">
        <v>70</v>
      </c>
      <c r="BN267" s="36">
        <f>SUM(BJ267:BM267)</f>
        <v>258</v>
      </c>
      <c r="BO267" s="36">
        <v>69</v>
      </c>
      <c r="BP267" s="36">
        <v>53</v>
      </c>
      <c r="BQ267" s="36">
        <v>61</v>
      </c>
      <c r="BR267" s="36">
        <v>62</v>
      </c>
      <c r="BS267" s="36">
        <f>SUM(BO267:BR267)</f>
        <v>245</v>
      </c>
      <c r="BT267" s="36">
        <v>49</v>
      </c>
      <c r="BU267" s="36">
        <v>35</v>
      </c>
      <c r="BV267" s="36">
        <v>37</v>
      </c>
      <c r="BW267" s="36">
        <v>46</v>
      </c>
      <c r="BX267" s="36">
        <f>SUM(BT267:BW267)</f>
        <v>167</v>
      </c>
      <c r="BY267" s="36"/>
      <c r="BZ267" s="36"/>
      <c r="CA267" s="36"/>
      <c r="CB267" s="36"/>
      <c r="CC267" s="36"/>
      <c r="CD267" s="36"/>
      <c r="CE267" s="36"/>
      <c r="CF267" s="36"/>
      <c r="CG267" s="36"/>
      <c r="CH267" s="36"/>
      <c r="CI267" s="36"/>
      <c r="CJ267" s="36"/>
      <c r="CK267" s="36"/>
      <c r="CL267" s="36"/>
      <c r="CM267" s="36"/>
      <c r="CN267" s="36"/>
      <c r="CO267" s="36"/>
      <c r="CP267" s="36"/>
      <c r="CQ267" s="36"/>
      <c r="CR267" s="36"/>
      <c r="CS267" s="36"/>
      <c r="CT267" s="36"/>
      <c r="CU267" s="36"/>
      <c r="CV267" s="36"/>
      <c r="CW267" s="36"/>
      <c r="CX267" s="36"/>
      <c r="CY267" s="36"/>
      <c r="CZ267" s="36"/>
      <c r="DA267" s="36"/>
      <c r="DB267" s="36"/>
      <c r="DC267" s="36"/>
      <c r="DD267" s="36"/>
      <c r="DE267" s="36"/>
      <c r="DF267" s="36"/>
      <c r="DG267" s="36"/>
      <c r="DH267" s="36"/>
      <c r="DI267" s="36"/>
      <c r="DJ267" s="36"/>
      <c r="DK267" s="36"/>
      <c r="DL267" s="183"/>
      <c r="DM267" s="183"/>
      <c r="DN267" s="183"/>
      <c r="DO267" s="183"/>
      <c r="DP267" s="183"/>
    </row>
    <row r="268" spans="1:120" hidden="1" x14ac:dyDescent="0.2">
      <c r="A268" s="116" t="s">
        <v>193</v>
      </c>
      <c r="B268" s="39">
        <f t="shared" ref="B268:U268" si="240">B267+B266</f>
        <v>52.43</v>
      </c>
      <c r="C268" s="39">
        <f t="shared" si="240"/>
        <v>52.43</v>
      </c>
      <c r="D268" s="39">
        <f t="shared" si="240"/>
        <v>55.120000000000005</v>
      </c>
      <c r="E268" s="39">
        <f t="shared" si="240"/>
        <v>49.95</v>
      </c>
      <c r="F268" s="39">
        <f t="shared" si="240"/>
        <v>209.95364585936329</v>
      </c>
      <c r="G268" s="39">
        <f t="shared" si="240"/>
        <v>47</v>
      </c>
      <c r="H268" s="39">
        <f t="shared" si="240"/>
        <v>52</v>
      </c>
      <c r="I268" s="39">
        <f t="shared" si="240"/>
        <v>54</v>
      </c>
      <c r="J268" s="39">
        <f t="shared" si="240"/>
        <v>60</v>
      </c>
      <c r="K268" s="39">
        <f t="shared" si="240"/>
        <v>213</v>
      </c>
      <c r="L268" s="39">
        <f t="shared" si="240"/>
        <v>66</v>
      </c>
      <c r="M268" s="39">
        <f t="shared" si="240"/>
        <v>51</v>
      </c>
      <c r="N268" s="39">
        <f t="shared" si="240"/>
        <v>58.739999999999995</v>
      </c>
      <c r="O268" s="39">
        <f t="shared" si="240"/>
        <v>63.75</v>
      </c>
      <c r="P268" s="39">
        <f t="shared" si="240"/>
        <v>239.49</v>
      </c>
      <c r="Q268" s="39">
        <f t="shared" si="240"/>
        <v>63</v>
      </c>
      <c r="R268" s="39">
        <f t="shared" si="240"/>
        <v>65</v>
      </c>
      <c r="S268" s="39">
        <f t="shared" si="240"/>
        <v>67</v>
      </c>
      <c r="T268" s="39">
        <f t="shared" si="240"/>
        <v>76</v>
      </c>
      <c r="U268" s="39">
        <f t="shared" si="240"/>
        <v>271</v>
      </c>
      <c r="V268" s="39">
        <f>V267+V266+1</f>
        <v>71</v>
      </c>
      <c r="W268" s="39">
        <f>W267+W266+1</f>
        <v>70</v>
      </c>
      <c r="X268" s="39">
        <f>X267+X266+1</f>
        <v>68</v>
      </c>
      <c r="Y268" s="39">
        <f>Y267+Y266+1</f>
        <v>87</v>
      </c>
      <c r="Z268" s="39">
        <f>Z267+Z266</f>
        <v>292</v>
      </c>
      <c r="AA268" s="39">
        <f>AA267+AA266+1</f>
        <v>76</v>
      </c>
      <c r="AB268" s="39">
        <f>AB267+AB266+1</f>
        <v>85</v>
      </c>
      <c r="AC268" s="39">
        <f t="shared" ref="AC268:BD268" si="241">AC267+AC266</f>
        <v>89</v>
      </c>
      <c r="AD268" s="39">
        <f t="shared" si="241"/>
        <v>103</v>
      </c>
      <c r="AE268" s="39">
        <f t="shared" si="241"/>
        <v>351</v>
      </c>
      <c r="AF268" s="39">
        <f t="shared" si="241"/>
        <v>96</v>
      </c>
      <c r="AG268" s="39">
        <f t="shared" si="241"/>
        <v>98</v>
      </c>
      <c r="AH268" s="39">
        <f t="shared" si="241"/>
        <v>99</v>
      </c>
      <c r="AI268" s="39">
        <f t="shared" si="241"/>
        <v>112</v>
      </c>
      <c r="AJ268" s="39">
        <f t="shared" si="241"/>
        <v>405</v>
      </c>
      <c r="AK268" s="39">
        <f t="shared" si="241"/>
        <v>105</v>
      </c>
      <c r="AL268" s="39">
        <f t="shared" si="241"/>
        <v>108</v>
      </c>
      <c r="AM268" s="39">
        <f t="shared" si="241"/>
        <v>108</v>
      </c>
      <c r="AN268" s="39">
        <f t="shared" si="241"/>
        <v>108</v>
      </c>
      <c r="AO268" s="39">
        <f t="shared" si="241"/>
        <v>429</v>
      </c>
      <c r="AP268" s="39">
        <f t="shared" si="241"/>
        <v>103</v>
      </c>
      <c r="AQ268" s="39">
        <f t="shared" si="241"/>
        <v>106</v>
      </c>
      <c r="AR268" s="39">
        <f t="shared" si="241"/>
        <v>109</v>
      </c>
      <c r="AS268" s="39">
        <f t="shared" si="241"/>
        <v>122</v>
      </c>
      <c r="AT268" s="39">
        <f t="shared" si="241"/>
        <v>440</v>
      </c>
      <c r="AU268" s="39">
        <f t="shared" si="241"/>
        <v>99</v>
      </c>
      <c r="AV268" s="39">
        <f t="shared" si="241"/>
        <v>114</v>
      </c>
      <c r="AW268" s="39">
        <f t="shared" si="241"/>
        <v>109</v>
      </c>
      <c r="AX268" s="39">
        <f t="shared" si="241"/>
        <v>124</v>
      </c>
      <c r="AY268" s="39">
        <f t="shared" si="241"/>
        <v>446</v>
      </c>
      <c r="AZ268" s="39">
        <f t="shared" si="241"/>
        <v>106</v>
      </c>
      <c r="BA268" s="39">
        <f t="shared" si="241"/>
        <v>112</v>
      </c>
      <c r="BB268" s="39">
        <f t="shared" si="241"/>
        <v>111</v>
      </c>
      <c r="BC268" s="39">
        <f t="shared" si="241"/>
        <v>117</v>
      </c>
      <c r="BD268" s="39">
        <f t="shared" si="241"/>
        <v>446</v>
      </c>
      <c r="BE268" s="39">
        <f>BE266+BE267</f>
        <v>108</v>
      </c>
      <c r="BF268" s="39">
        <f>BF266+BF267</f>
        <v>101</v>
      </c>
      <c r="BG268" s="39">
        <f>BG266+BG267</f>
        <v>104</v>
      </c>
      <c r="BH268" s="39">
        <f>BH266+BH267</f>
        <v>112</v>
      </c>
      <c r="BI268" s="39">
        <f t="shared" ref="BI268:BS268" si="242">BI267+BI266</f>
        <v>425</v>
      </c>
      <c r="BJ268" s="39">
        <f t="shared" si="242"/>
        <v>68</v>
      </c>
      <c r="BK268" s="39">
        <f t="shared" si="242"/>
        <v>67</v>
      </c>
      <c r="BL268" s="39">
        <f t="shared" si="242"/>
        <v>71</v>
      </c>
      <c r="BM268" s="39">
        <f t="shared" si="242"/>
        <v>76</v>
      </c>
      <c r="BN268" s="39">
        <f t="shared" si="242"/>
        <v>282</v>
      </c>
      <c r="BO268" s="39">
        <f t="shared" si="242"/>
        <v>74</v>
      </c>
      <c r="BP268" s="39">
        <f t="shared" si="242"/>
        <v>58</v>
      </c>
      <c r="BQ268" s="39">
        <f t="shared" si="242"/>
        <v>66</v>
      </c>
      <c r="BR268" s="39">
        <f t="shared" si="242"/>
        <v>67</v>
      </c>
      <c r="BS268" s="39">
        <f t="shared" si="242"/>
        <v>265</v>
      </c>
      <c r="BT268" s="39">
        <f ca="1">BT267+BT266</f>
        <v>53.166666666666664</v>
      </c>
      <c r="BU268" s="39">
        <f>BU267+BU266</f>
        <v>39</v>
      </c>
      <c r="BV268" s="39">
        <f>BV267+BV266</f>
        <v>41</v>
      </c>
      <c r="BW268" s="39">
        <f>BW267+BW266</f>
        <v>50</v>
      </c>
      <c r="BX268" s="39">
        <f ca="1">BX267+BX266</f>
        <v>183.16666666666666</v>
      </c>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187"/>
      <c r="DM268" s="187"/>
      <c r="DN268" s="187"/>
      <c r="DO268" s="187"/>
      <c r="DP268" s="187"/>
    </row>
    <row r="269" spans="1:120" hidden="1" x14ac:dyDescent="0.2">
      <c r="A269" s="68" t="s">
        <v>54</v>
      </c>
      <c r="G269" s="76">
        <f t="shared" ref="G269:BR271" si="243">G266/B266-1</f>
        <v>-0.30255728993689801</v>
      </c>
      <c r="H269" s="76">
        <f t="shared" si="243"/>
        <v>-0.16971105944868814</v>
      </c>
      <c r="I269" s="76">
        <f t="shared" si="243"/>
        <v>0</v>
      </c>
      <c r="J269" s="76">
        <f t="shared" si="243"/>
        <v>0.34663341645885293</v>
      </c>
      <c r="K269" s="76">
        <f t="shared" si="243"/>
        <v>-6.9155555555555526E-2</v>
      </c>
      <c r="L269" s="76">
        <f t="shared" si="243"/>
        <v>0.71428571428571419</v>
      </c>
      <c r="M269" s="76">
        <f t="shared" si="243"/>
        <v>-0.16000000000000003</v>
      </c>
      <c r="N269" s="76">
        <f t="shared" si="243"/>
        <v>8.0000000000000071E-2</v>
      </c>
      <c r="O269" s="76">
        <f t="shared" si="243"/>
        <v>0</v>
      </c>
      <c r="P269" s="76">
        <f t="shared" si="243"/>
        <v>0.13265306122448983</v>
      </c>
      <c r="Q269" s="90">
        <f t="shared" si="243"/>
        <v>-0.19444444444444442</v>
      </c>
      <c r="R269" s="90">
        <f t="shared" si="243"/>
        <v>0.52380952380952372</v>
      </c>
      <c r="S269" s="90">
        <f t="shared" si="243"/>
        <v>0.22222222222222232</v>
      </c>
      <c r="T269" s="90">
        <f t="shared" si="243"/>
        <v>0.29629629629629628</v>
      </c>
      <c r="U269" s="76">
        <f t="shared" si="243"/>
        <v>0.16216216216216206</v>
      </c>
      <c r="V269" s="90">
        <f t="shared" si="243"/>
        <v>0.10344827586206895</v>
      </c>
      <c r="W269" s="90">
        <f t="shared" si="243"/>
        <v>0</v>
      </c>
      <c r="X269" s="90">
        <f t="shared" si="243"/>
        <v>-0.12121212121212122</v>
      </c>
      <c r="Y269" s="90">
        <f t="shared" si="243"/>
        <v>2.857142857142847E-2</v>
      </c>
      <c r="Z269" s="76">
        <f t="shared" si="243"/>
        <v>0</v>
      </c>
      <c r="AA269" s="90">
        <f t="shared" si="243"/>
        <v>6.25E-2</v>
      </c>
      <c r="AB269" s="90">
        <f t="shared" si="243"/>
        <v>0.15625</v>
      </c>
      <c r="AC269" s="90">
        <f t="shared" si="243"/>
        <v>0.24137931034482762</v>
      </c>
      <c r="AD269" s="90">
        <f t="shared" si="243"/>
        <v>2.7777777777777679E-2</v>
      </c>
      <c r="AE269" s="76">
        <f t="shared" si="243"/>
        <v>0.11627906976744184</v>
      </c>
      <c r="AF269" s="90">
        <f t="shared" si="243"/>
        <v>8.8235294117646967E-2</v>
      </c>
      <c r="AG269" s="90">
        <f t="shared" si="243"/>
        <v>5.4054054054053946E-2</v>
      </c>
      <c r="AH269" s="90">
        <f t="shared" si="243"/>
        <v>5.555555555555558E-2</v>
      </c>
      <c r="AI269" s="90">
        <f t="shared" si="243"/>
        <v>5.4054054054053946E-2</v>
      </c>
      <c r="AJ269" s="76">
        <f t="shared" si="243"/>
        <v>6.25E-2</v>
      </c>
      <c r="AK269" s="90">
        <f t="shared" si="243"/>
        <v>0</v>
      </c>
      <c r="AL269" s="90">
        <f t="shared" si="243"/>
        <v>-2.5641025641025661E-2</v>
      </c>
      <c r="AM269" s="90">
        <f t="shared" si="243"/>
        <v>2.6315789473684292E-2</v>
      </c>
      <c r="AN269" s="90">
        <f t="shared" si="243"/>
        <v>-5.1282051282051322E-2</v>
      </c>
      <c r="AO269" s="76">
        <f t="shared" si="243"/>
        <v>-1.3071895424836555E-2</v>
      </c>
      <c r="AP269" s="90">
        <f t="shared" si="243"/>
        <v>-2.7027027027026973E-2</v>
      </c>
      <c r="AQ269" s="90">
        <f t="shared" si="243"/>
        <v>-2.6315789473684181E-2</v>
      </c>
      <c r="AR269" s="90">
        <f t="shared" si="243"/>
        <v>-5.1282051282051322E-2</v>
      </c>
      <c r="AS269" s="90">
        <f t="shared" si="243"/>
        <v>2.7027027027026973E-2</v>
      </c>
      <c r="AT269" s="76">
        <f t="shared" si="243"/>
        <v>-1.9867549668874163E-2</v>
      </c>
      <c r="AU269" s="90">
        <f t="shared" si="243"/>
        <v>-2.777777777777779E-2</v>
      </c>
      <c r="AV269" s="90">
        <f t="shared" si="243"/>
        <v>0</v>
      </c>
      <c r="AW269" s="90">
        <f t="shared" si="243"/>
        <v>0</v>
      </c>
      <c r="AX269" s="90">
        <f t="shared" si="243"/>
        <v>2.6315789473684292E-2</v>
      </c>
      <c r="AY269" s="76">
        <f t="shared" si="243"/>
        <v>0</v>
      </c>
      <c r="AZ269" s="90">
        <f t="shared" si="243"/>
        <v>-8.5714285714285743E-2</v>
      </c>
      <c r="BA269" s="90">
        <f t="shared" si="243"/>
        <v>-0.10810810810810811</v>
      </c>
      <c r="BB269" s="90">
        <f t="shared" si="243"/>
        <v>-0.10810810810810811</v>
      </c>
      <c r="BC269" s="90">
        <f t="shared" si="243"/>
        <v>-7.6923076923076872E-2</v>
      </c>
      <c r="BD269" s="76">
        <f t="shared" si="243"/>
        <v>-9.4594594594594628E-2</v>
      </c>
      <c r="BE269" s="76">
        <f t="shared" si="243"/>
        <v>0</v>
      </c>
      <c r="BF269" s="76">
        <f t="shared" si="243"/>
        <v>0</v>
      </c>
      <c r="BG269" s="76">
        <f t="shared" si="243"/>
        <v>-9.0909090909090939E-2</v>
      </c>
      <c r="BH269" s="76">
        <f t="shared" si="243"/>
        <v>-0.19444444444444442</v>
      </c>
      <c r="BI269" s="90">
        <f t="shared" si="243"/>
        <v>-7.4626865671641784E-2</v>
      </c>
      <c r="BJ269" s="76">
        <f t="shared" si="243"/>
        <v>-0.8125</v>
      </c>
      <c r="BK269" s="76">
        <f t="shared" si="243"/>
        <v>-0.84848484848484851</v>
      </c>
      <c r="BL269" s="76">
        <f t="shared" si="243"/>
        <v>-0.76666666666666661</v>
      </c>
      <c r="BM269" s="76">
        <f t="shared" si="243"/>
        <v>-0.7931034482758621</v>
      </c>
      <c r="BN269" s="90">
        <f>BN266/BI266-1</f>
        <v>-0.80645161290322576</v>
      </c>
      <c r="BO269" s="76">
        <f t="shared" si="243"/>
        <v>-0.16666666666666663</v>
      </c>
      <c r="BP269" s="76">
        <f t="shared" si="243"/>
        <v>0</v>
      </c>
      <c r="BQ269" s="76">
        <f t="shared" si="243"/>
        <v>-0.2857142857142857</v>
      </c>
      <c r="BR269" s="76">
        <f t="shared" si="243"/>
        <v>-0.16666666666666663</v>
      </c>
      <c r="BS269" s="90">
        <f>BS266/BN266-1</f>
        <v>-0.16666666666666663</v>
      </c>
      <c r="BT269" s="76">
        <f ca="1">BT266/BO266-1</f>
        <v>-0.16666666666666663</v>
      </c>
      <c r="BU269" s="76">
        <f t="shared" ref="BT269:BW270" si="244">BU266/BP266-1</f>
        <v>-0.19999999999999996</v>
      </c>
      <c r="BV269" s="76">
        <f t="shared" si="244"/>
        <v>-0.19999999999999996</v>
      </c>
      <c r="BW269" s="76">
        <f t="shared" si="244"/>
        <v>-0.19999999999999996</v>
      </c>
      <c r="BX269" s="90">
        <f ca="1">BX266/BS266-1</f>
        <v>-0.19166666666666665</v>
      </c>
      <c r="BY269" s="90"/>
      <c r="BZ269" s="90"/>
      <c r="CA269" s="90"/>
      <c r="CB269" s="90"/>
      <c r="CC269" s="90"/>
      <c r="CD269" s="90"/>
      <c r="CE269" s="90"/>
      <c r="CF269" s="90"/>
      <c r="CG269" s="90"/>
      <c r="CH269" s="90"/>
      <c r="CI269" s="90"/>
      <c r="CJ269" s="90"/>
      <c r="CK269" s="90"/>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188"/>
      <c r="DM269" s="188"/>
      <c r="DN269" s="188"/>
      <c r="DO269" s="188"/>
      <c r="DP269" s="188"/>
    </row>
    <row r="270" spans="1:120" hidden="1" x14ac:dyDescent="0.2">
      <c r="A270" s="68" t="s">
        <v>55</v>
      </c>
      <c r="G270" s="76">
        <f t="shared" si="243"/>
        <v>0.16487455197132617</v>
      </c>
      <c r="H270" s="76">
        <f t="shared" si="243"/>
        <v>0.20967741935483875</v>
      </c>
      <c r="I270" s="76">
        <f t="shared" si="243"/>
        <v>-3.7184594953519334E-2</v>
      </c>
      <c r="J270" s="76">
        <f t="shared" si="243"/>
        <v>0.10367892976588644</v>
      </c>
      <c r="K270" s="76">
        <f t="shared" si="243"/>
        <v>9.8660714285714324E-2</v>
      </c>
      <c r="L270" s="76">
        <f t="shared" si="243"/>
        <v>0.15384615384615374</v>
      </c>
      <c r="M270" s="76">
        <f t="shared" si="243"/>
        <v>0.11111111111111116</v>
      </c>
      <c r="N270" s="76">
        <f t="shared" si="243"/>
        <v>9.4482758620689555E-2</v>
      </c>
      <c r="O270" s="76">
        <f t="shared" si="243"/>
        <v>0.11363636363636354</v>
      </c>
      <c r="P270" s="76">
        <f t="shared" si="243"/>
        <v>0.11730434782608712</v>
      </c>
      <c r="Q270" s="90">
        <f t="shared" si="243"/>
        <v>0.1333333333333333</v>
      </c>
      <c r="R270" s="90">
        <f t="shared" si="243"/>
        <v>0.10000000000000009</v>
      </c>
      <c r="S270" s="90">
        <f t="shared" si="243"/>
        <v>7.1203528670447547E-2</v>
      </c>
      <c r="T270" s="90">
        <f t="shared" si="243"/>
        <v>0.11564625850340127</v>
      </c>
      <c r="U270" s="76">
        <f t="shared" si="243"/>
        <v>0.10514436921161163</v>
      </c>
      <c r="V270" s="90">
        <f t="shared" si="243"/>
        <v>0.11764705882352944</v>
      </c>
      <c r="W270" s="90">
        <f t="shared" si="243"/>
        <v>0.1212121212121211</v>
      </c>
      <c r="X270" s="90">
        <f t="shared" si="243"/>
        <v>0.11764705882352944</v>
      </c>
      <c r="Y270" s="90">
        <f t="shared" si="243"/>
        <v>0.21951219512195119</v>
      </c>
      <c r="Z270" s="76">
        <f t="shared" si="243"/>
        <v>0.147887323943662</v>
      </c>
      <c r="AA270" s="90">
        <f t="shared" si="243"/>
        <v>7.8947368421052655E-2</v>
      </c>
      <c r="AB270" s="90">
        <f t="shared" si="243"/>
        <v>0.27027027027027017</v>
      </c>
      <c r="AC270" s="90">
        <f t="shared" si="243"/>
        <v>0.39473684210526305</v>
      </c>
      <c r="AD270" s="90">
        <f t="shared" si="243"/>
        <v>0.32000000000000006</v>
      </c>
      <c r="AE270" s="76">
        <f t="shared" si="243"/>
        <v>0.26993865030674846</v>
      </c>
      <c r="AF270" s="90">
        <f t="shared" si="243"/>
        <v>0.43902439024390238</v>
      </c>
      <c r="AG270" s="90">
        <f t="shared" si="243"/>
        <v>0.25531914893617014</v>
      </c>
      <c r="AH270" s="90">
        <f t="shared" si="243"/>
        <v>0.15094339622641506</v>
      </c>
      <c r="AI270" s="90">
        <f t="shared" si="243"/>
        <v>0.10606060606060597</v>
      </c>
      <c r="AJ270" s="76">
        <f t="shared" si="243"/>
        <v>0.21739130434782616</v>
      </c>
      <c r="AK270" s="90">
        <f t="shared" si="243"/>
        <v>0.15254237288135597</v>
      </c>
      <c r="AL270" s="90">
        <f t="shared" si="243"/>
        <v>0.18644067796610164</v>
      </c>
      <c r="AM270" s="90">
        <f t="shared" si="243"/>
        <v>0.13114754098360648</v>
      </c>
      <c r="AN270" s="90">
        <f t="shared" si="243"/>
        <v>-2.7397260273972601E-2</v>
      </c>
      <c r="AO270" s="76">
        <f t="shared" si="243"/>
        <v>0.10317460317460325</v>
      </c>
      <c r="AP270" s="90">
        <f t="shared" si="243"/>
        <v>-1.4705882352941124E-2</v>
      </c>
      <c r="AQ270" s="90">
        <f t="shared" si="243"/>
        <v>-1.4285714285714235E-2</v>
      </c>
      <c r="AR270" s="90">
        <f t="shared" si="243"/>
        <v>4.3478260869565188E-2</v>
      </c>
      <c r="AS270" s="90">
        <f t="shared" si="243"/>
        <v>0.18309859154929575</v>
      </c>
      <c r="AT270" s="76">
        <f t="shared" si="243"/>
        <v>5.0359712230215736E-2</v>
      </c>
      <c r="AU270" s="90">
        <f t="shared" si="243"/>
        <v>-4.4776119402985093E-2</v>
      </c>
      <c r="AV270" s="90">
        <f t="shared" si="243"/>
        <v>0.11594202898550732</v>
      </c>
      <c r="AW270" s="90">
        <f t="shared" si="243"/>
        <v>0</v>
      </c>
      <c r="AX270" s="90">
        <f t="shared" si="243"/>
        <v>1.1904761904761862E-2</v>
      </c>
      <c r="AY270" s="76">
        <f t="shared" si="243"/>
        <v>2.0547945205479534E-2</v>
      </c>
      <c r="AZ270" s="90">
        <f t="shared" si="243"/>
        <v>0.15625</v>
      </c>
      <c r="BA270" s="90">
        <f t="shared" si="243"/>
        <v>2.5974025974025983E-2</v>
      </c>
      <c r="BB270" s="90">
        <f t="shared" si="243"/>
        <v>8.3333333333333259E-2</v>
      </c>
      <c r="BC270" s="90">
        <f t="shared" si="243"/>
        <v>-4.705882352941182E-2</v>
      </c>
      <c r="BD270" s="76">
        <f t="shared" si="243"/>
        <v>4.6979865771812124E-2</v>
      </c>
      <c r="BE270" s="76">
        <f t="shared" si="243"/>
        <v>2.7027027027026973E-2</v>
      </c>
      <c r="BF270" s="76">
        <f t="shared" si="243"/>
        <v>-0.13924050632911389</v>
      </c>
      <c r="BG270" s="76">
        <f t="shared" si="243"/>
        <v>-5.1282051282051322E-2</v>
      </c>
      <c r="BH270" s="76">
        <f t="shared" si="243"/>
        <v>2.4691358024691468E-2</v>
      </c>
      <c r="BI270" s="90">
        <f t="shared" si="243"/>
        <v>-3.5256410256410242E-2</v>
      </c>
      <c r="BJ270" s="76">
        <f t="shared" si="243"/>
        <v>-0.18421052631578949</v>
      </c>
      <c r="BK270" s="76">
        <f t="shared" si="243"/>
        <v>-8.8235294117647078E-2</v>
      </c>
      <c r="BL270" s="76">
        <f t="shared" si="243"/>
        <v>-0.13513513513513509</v>
      </c>
      <c r="BM270" s="76">
        <f t="shared" si="243"/>
        <v>-0.15662650602409633</v>
      </c>
      <c r="BN270" s="90">
        <f>BN267/BI267-1</f>
        <v>-0.1428571428571429</v>
      </c>
      <c r="BO270" s="76">
        <f t="shared" si="243"/>
        <v>0.11290322580645151</v>
      </c>
      <c r="BP270" s="76">
        <f t="shared" si="243"/>
        <v>-0.14516129032258063</v>
      </c>
      <c r="BQ270" s="76">
        <f t="shared" si="243"/>
        <v>-4.6875E-2</v>
      </c>
      <c r="BR270" s="76">
        <f t="shared" si="243"/>
        <v>-0.11428571428571432</v>
      </c>
      <c r="BS270" s="90">
        <f>BS267/BN267-1</f>
        <v>-5.0387596899224785E-2</v>
      </c>
      <c r="BT270" s="76">
        <f t="shared" si="244"/>
        <v>-0.28985507246376807</v>
      </c>
      <c r="BU270" s="76">
        <f t="shared" si="244"/>
        <v>-0.339622641509434</v>
      </c>
      <c r="BV270" s="76">
        <f t="shared" si="244"/>
        <v>-0.39344262295081966</v>
      </c>
      <c r="BW270" s="76">
        <f t="shared" si="244"/>
        <v>-0.25806451612903225</v>
      </c>
      <c r="BX270" s="90">
        <f>BX267/BS267-1</f>
        <v>-0.31836734693877555</v>
      </c>
      <c r="BY270" s="90"/>
      <c r="BZ270" s="90"/>
      <c r="CA270" s="90"/>
      <c r="CB270" s="90"/>
      <c r="CC270" s="90"/>
      <c r="CD270" s="90"/>
      <c r="CE270" s="90"/>
      <c r="CF270" s="90"/>
      <c r="CG270" s="90"/>
      <c r="CH270" s="90"/>
      <c r="CI270" s="90"/>
      <c r="CJ270" s="90"/>
      <c r="CK270" s="90"/>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188"/>
      <c r="DM270" s="188"/>
      <c r="DN270" s="188"/>
      <c r="DO270" s="188"/>
      <c r="DP270" s="188"/>
    </row>
    <row r="271" spans="1:120" hidden="1" x14ac:dyDescent="0.2">
      <c r="A271" s="78" t="s">
        <v>56</v>
      </c>
      <c r="B271" s="79"/>
      <c r="C271" s="79"/>
      <c r="D271" s="79"/>
      <c r="E271" s="79"/>
      <c r="F271" s="79"/>
      <c r="G271" s="80">
        <f t="shared" si="243"/>
        <v>-0.10356666030898343</v>
      </c>
      <c r="H271" s="80">
        <f t="shared" si="243"/>
        <v>-8.2014114056837562E-3</v>
      </c>
      <c r="I271" s="80">
        <f t="shared" si="243"/>
        <v>-2.0319303338171335E-2</v>
      </c>
      <c r="J271" s="80">
        <f t="shared" si="243"/>
        <v>0.20120120120120122</v>
      </c>
      <c r="K271" s="80">
        <f t="shared" si="243"/>
        <v>1.4509651062107665E-2</v>
      </c>
      <c r="L271" s="80">
        <f t="shared" si="243"/>
        <v>0.4042553191489362</v>
      </c>
      <c r="M271" s="80">
        <f t="shared" si="243"/>
        <v>-1.9230769230769273E-2</v>
      </c>
      <c r="N271" s="80">
        <f t="shared" si="243"/>
        <v>8.7777777777777732E-2</v>
      </c>
      <c r="O271" s="80">
        <f t="shared" si="243"/>
        <v>6.25E-2</v>
      </c>
      <c r="P271" s="80">
        <f t="shared" si="243"/>
        <v>0.12436619718309871</v>
      </c>
      <c r="Q271" s="80">
        <f t="shared" si="243"/>
        <v>-4.5454545454545414E-2</v>
      </c>
      <c r="R271" s="80">
        <f t="shared" si="243"/>
        <v>0.27450980392156854</v>
      </c>
      <c r="S271" s="80">
        <f t="shared" si="243"/>
        <v>0.14061967994552282</v>
      </c>
      <c r="T271" s="80">
        <f t="shared" si="243"/>
        <v>0.19215686274509802</v>
      </c>
      <c r="U271" s="80">
        <f t="shared" si="243"/>
        <v>0.13157125558478433</v>
      </c>
      <c r="V271" s="80">
        <f t="shared" si="243"/>
        <v>0.12698412698412698</v>
      </c>
      <c r="W271" s="80">
        <f t="shared" si="243"/>
        <v>7.6923076923076872E-2</v>
      </c>
      <c r="X271" s="80">
        <f t="shared" si="243"/>
        <v>1.4925373134328401E-2</v>
      </c>
      <c r="Y271" s="80">
        <f t="shared" si="243"/>
        <v>0.14473684210526305</v>
      </c>
      <c r="Z271" s="80">
        <f t="shared" si="243"/>
        <v>7.7490774907749138E-2</v>
      </c>
      <c r="AA271" s="80">
        <f t="shared" si="243"/>
        <v>7.0422535211267512E-2</v>
      </c>
      <c r="AB271" s="80">
        <f t="shared" si="243"/>
        <v>0.21428571428571419</v>
      </c>
      <c r="AC271" s="80">
        <f t="shared" si="243"/>
        <v>0.30882352941176472</v>
      </c>
      <c r="AD271" s="80">
        <f t="shared" si="243"/>
        <v>0.18390804597701149</v>
      </c>
      <c r="AE271" s="80">
        <f t="shared" si="243"/>
        <v>0.20205479452054798</v>
      </c>
      <c r="AF271" s="80">
        <f t="shared" si="243"/>
        <v>0.26315789473684204</v>
      </c>
      <c r="AG271" s="80">
        <f t="shared" si="243"/>
        <v>0.15294117647058814</v>
      </c>
      <c r="AH271" s="80">
        <f t="shared" si="243"/>
        <v>0.11235955056179781</v>
      </c>
      <c r="AI271" s="80">
        <f t="shared" si="243"/>
        <v>8.737864077669899E-2</v>
      </c>
      <c r="AJ271" s="80">
        <f t="shared" si="243"/>
        <v>0.15384615384615374</v>
      </c>
      <c r="AK271" s="80">
        <f t="shared" si="243"/>
        <v>9.375E-2</v>
      </c>
      <c r="AL271" s="80">
        <f t="shared" si="243"/>
        <v>0.1020408163265305</v>
      </c>
      <c r="AM271" s="80">
        <f t="shared" si="243"/>
        <v>9.0909090909090828E-2</v>
      </c>
      <c r="AN271" s="80">
        <f t="shared" si="243"/>
        <v>-3.5714285714285698E-2</v>
      </c>
      <c r="AO271" s="80">
        <f t="shared" si="243"/>
        <v>5.9259259259259345E-2</v>
      </c>
      <c r="AP271" s="80">
        <f t="shared" si="243"/>
        <v>-1.9047619047619091E-2</v>
      </c>
      <c r="AQ271" s="80">
        <f t="shared" si="243"/>
        <v>-1.851851851851849E-2</v>
      </c>
      <c r="AR271" s="80">
        <f t="shared" si="243"/>
        <v>9.2592592592593004E-3</v>
      </c>
      <c r="AS271" s="80">
        <f t="shared" si="243"/>
        <v>0.12962962962962954</v>
      </c>
      <c r="AT271" s="80">
        <f t="shared" si="243"/>
        <v>2.564102564102555E-2</v>
      </c>
      <c r="AU271" s="80">
        <f t="shared" si="243"/>
        <v>-3.8834951456310662E-2</v>
      </c>
      <c r="AV271" s="80">
        <f t="shared" si="243"/>
        <v>7.547169811320753E-2</v>
      </c>
      <c r="AW271" s="80">
        <f t="shared" si="243"/>
        <v>0</v>
      </c>
      <c r="AX271" s="80">
        <f t="shared" si="243"/>
        <v>1.6393442622950838E-2</v>
      </c>
      <c r="AY271" s="80">
        <f t="shared" si="243"/>
        <v>1.3636363636363669E-2</v>
      </c>
      <c r="AZ271" s="80">
        <f t="shared" si="243"/>
        <v>7.0707070707070718E-2</v>
      </c>
      <c r="BA271" s="80">
        <f t="shared" si="243"/>
        <v>-1.7543859649122862E-2</v>
      </c>
      <c r="BB271" s="80">
        <f t="shared" si="243"/>
        <v>1.8348623853210899E-2</v>
      </c>
      <c r="BC271" s="80">
        <f t="shared" si="243"/>
        <v>-5.6451612903225756E-2</v>
      </c>
      <c r="BD271" s="80">
        <f t="shared" si="243"/>
        <v>0</v>
      </c>
      <c r="BE271" s="80">
        <f t="shared" si="243"/>
        <v>1.8867924528301883E-2</v>
      </c>
      <c r="BF271" s="80">
        <f t="shared" si="243"/>
        <v>-9.8214285714285698E-2</v>
      </c>
      <c r="BG271" s="80">
        <f>BG268/BB268-1</f>
        <v>-6.3063063063063085E-2</v>
      </c>
      <c r="BH271" s="80">
        <f>BH268/BC268-1</f>
        <v>-4.2735042735042694E-2</v>
      </c>
      <c r="BI271" s="80">
        <f t="shared" si="243"/>
        <v>-4.7085201793721998E-2</v>
      </c>
      <c r="BJ271" s="80">
        <f t="shared" si="243"/>
        <v>-0.37037037037037035</v>
      </c>
      <c r="BK271" s="91">
        <f>BK268/BF268-1</f>
        <v>-0.3366336633663366</v>
      </c>
      <c r="BL271" s="91">
        <f>BL268/BG268-1</f>
        <v>-0.31730769230769229</v>
      </c>
      <c r="BM271" s="91">
        <f>BM268/BH268-1</f>
        <v>-0.3214285714285714</v>
      </c>
      <c r="BN271" s="80">
        <f>BN268/BI268-1</f>
        <v>-0.33647058823529408</v>
      </c>
      <c r="BO271" s="80">
        <f>BO268/BJ268-1</f>
        <v>8.8235294117646967E-2</v>
      </c>
      <c r="BP271" s="91">
        <f>BP268/BK268-1</f>
        <v>-0.13432835820895528</v>
      </c>
      <c r="BQ271" s="91">
        <f>BQ268/BL268-1</f>
        <v>-7.0422535211267623E-2</v>
      </c>
      <c r="BR271" s="91">
        <f>BR268/BM268-1</f>
        <v>-0.11842105263157898</v>
      </c>
      <c r="BS271" s="80">
        <f>BS268/BN268-1</f>
        <v>-6.0283687943262443E-2</v>
      </c>
      <c r="BT271" s="80">
        <f ca="1">BT268/BO268-1</f>
        <v>-0.28153153153153154</v>
      </c>
      <c r="BU271" s="80">
        <f>BU268/BP268-1</f>
        <v>-0.32758620689655171</v>
      </c>
      <c r="BV271" s="91">
        <f>BV268/BQ268-1</f>
        <v>-0.37878787878787878</v>
      </c>
      <c r="BW271" s="91">
        <f>BW268/BR268-1</f>
        <v>-0.25373134328358204</v>
      </c>
      <c r="BX271" s="80">
        <f ca="1">BX268/BS268-1</f>
        <v>-0.30880503144654092</v>
      </c>
      <c r="BY271" s="80"/>
      <c r="BZ271" s="80"/>
      <c r="CA271" s="80"/>
      <c r="CB271" s="80"/>
      <c r="CC271" s="80"/>
      <c r="CD271" s="80"/>
      <c r="CE271" s="80"/>
      <c r="CF271" s="80"/>
      <c r="CG271" s="80"/>
      <c r="CH271" s="80"/>
      <c r="CI271" s="80"/>
      <c r="CJ271" s="80"/>
      <c r="CK271" s="80"/>
      <c r="CL271" s="80"/>
      <c r="CM271" s="80"/>
      <c r="CN271" s="80"/>
      <c r="CO271" s="80"/>
      <c r="CP271" s="80"/>
      <c r="CQ271" s="80"/>
      <c r="CR271" s="80"/>
      <c r="CS271" s="80"/>
      <c r="CT271" s="80"/>
      <c r="CU271" s="80"/>
      <c r="CV271" s="80"/>
      <c r="CW271" s="80"/>
      <c r="CX271" s="80"/>
      <c r="CY271" s="80"/>
      <c r="CZ271" s="80"/>
      <c r="DA271" s="80"/>
      <c r="DB271" s="80"/>
      <c r="DC271" s="80"/>
      <c r="DD271" s="80"/>
      <c r="DE271" s="80"/>
      <c r="DF271" s="80"/>
      <c r="DG271" s="80"/>
      <c r="DH271" s="80"/>
      <c r="DI271" s="80"/>
      <c r="DJ271" s="80"/>
      <c r="DK271" s="80"/>
      <c r="DL271" s="189"/>
      <c r="DM271" s="189"/>
      <c r="DN271" s="189"/>
      <c r="DO271" s="189"/>
      <c r="DP271" s="189"/>
    </row>
    <row r="272" spans="1:120" hidden="1" x14ac:dyDescent="0.2">
      <c r="A272" s="36" t="s">
        <v>194</v>
      </c>
      <c r="G272" s="67"/>
      <c r="H272" s="67"/>
      <c r="I272" s="67"/>
      <c r="J272" s="67"/>
      <c r="K272" s="67"/>
      <c r="L272" s="67"/>
      <c r="M272" s="67"/>
      <c r="N272" s="67"/>
      <c r="O272" s="67"/>
      <c r="P272" s="67"/>
      <c r="Q272" s="67"/>
      <c r="R272" s="67"/>
      <c r="S272" s="120"/>
      <c r="T272" s="120"/>
      <c r="U272" s="120"/>
      <c r="V272" s="36"/>
      <c r="W272" s="36"/>
      <c r="X272" s="36"/>
      <c r="Y272" s="36"/>
      <c r="Z272" s="120"/>
      <c r="AA272" s="120">
        <v>18</v>
      </c>
      <c r="AB272" s="120">
        <v>18</v>
      </c>
      <c r="AC272" s="120">
        <v>26</v>
      </c>
      <c r="AD272" s="120">
        <v>33</v>
      </c>
      <c r="AE272" s="36">
        <f>AD272+AC272+AB272+AA272</f>
        <v>95</v>
      </c>
      <c r="AF272" s="120">
        <v>40</v>
      </c>
      <c r="AG272" s="36">
        <v>39</v>
      </c>
      <c r="AH272" s="36">
        <v>34</v>
      </c>
      <c r="AI272" s="36">
        <v>38</v>
      </c>
      <c r="AJ272" s="36">
        <f>AI272+AH272+AG272+AF272</f>
        <v>151</v>
      </c>
      <c r="AK272" s="36">
        <v>39</v>
      </c>
      <c r="AL272" s="36">
        <v>45</v>
      </c>
      <c r="AM272" s="36">
        <v>38</v>
      </c>
      <c r="AN272" s="36">
        <v>46</v>
      </c>
      <c r="AO272" s="36">
        <f>AN272+AM272+AL272+AK272</f>
        <v>168</v>
      </c>
      <c r="AP272" s="36">
        <v>46</v>
      </c>
      <c r="AQ272" s="36">
        <v>52</v>
      </c>
      <c r="AR272" s="36">
        <v>49</v>
      </c>
      <c r="AS272" s="36">
        <v>55</v>
      </c>
      <c r="AT272" s="36">
        <f>AS272+AR272+AQ272+AP272</f>
        <v>202</v>
      </c>
      <c r="AU272" s="36">
        <v>49</v>
      </c>
      <c r="AV272" s="36">
        <v>54</v>
      </c>
      <c r="AW272" s="36">
        <v>45</v>
      </c>
      <c r="AX272" s="36">
        <v>47</v>
      </c>
      <c r="AY272" s="36">
        <f>AX272+AW272+AV272+AU272</f>
        <v>195</v>
      </c>
      <c r="AZ272" s="36">
        <v>54</v>
      </c>
      <c r="BA272" s="36">
        <v>42</v>
      </c>
      <c r="BB272" s="36">
        <v>38</v>
      </c>
      <c r="BC272" s="36">
        <v>51</v>
      </c>
      <c r="BD272" s="36">
        <f>BC272+BB272+BA272+AZ272</f>
        <v>185</v>
      </c>
      <c r="BE272" s="36">
        <v>44</v>
      </c>
      <c r="BF272" s="36">
        <v>46</v>
      </c>
      <c r="BG272" s="36">
        <v>38</v>
      </c>
      <c r="BH272" s="36">
        <v>38</v>
      </c>
      <c r="BI272" s="36">
        <f>SUM(BE272:BH272)</f>
        <v>166</v>
      </c>
      <c r="BJ272" s="36">
        <v>34</v>
      </c>
      <c r="BK272" s="36">
        <v>44</v>
      </c>
      <c r="BL272" s="36">
        <v>39</v>
      </c>
      <c r="BM272" s="36">
        <v>45</v>
      </c>
      <c r="BN272" s="36">
        <f>SUM(BJ272:BM272)</f>
        <v>162</v>
      </c>
      <c r="BO272" s="36">
        <v>0</v>
      </c>
      <c r="BP272" s="36"/>
      <c r="BQ272" s="36"/>
      <c r="BR272" s="36"/>
      <c r="BS272" s="36"/>
      <c r="BT272" s="36"/>
      <c r="BU272" s="36"/>
      <c r="BV272" s="36"/>
      <c r="BW272" s="36"/>
      <c r="BX272" s="36"/>
      <c r="BY272" s="36"/>
      <c r="BZ272" s="36"/>
      <c r="CA272" s="36"/>
      <c r="CB272" s="36"/>
      <c r="CC272" s="36"/>
      <c r="CD272" s="36"/>
      <c r="CE272" s="36"/>
      <c r="CF272" s="36"/>
      <c r="CG272" s="36"/>
      <c r="CH272" s="36"/>
      <c r="CI272" s="36"/>
      <c r="CJ272" s="36"/>
      <c r="CK272" s="36"/>
      <c r="CL272" s="36"/>
      <c r="CM272" s="36"/>
      <c r="CN272" s="36"/>
      <c r="CO272" s="36"/>
      <c r="CP272" s="36"/>
      <c r="CQ272" s="36"/>
      <c r="CR272" s="36"/>
      <c r="CS272" s="36"/>
      <c r="CT272" s="36"/>
      <c r="CU272" s="36"/>
      <c r="CV272" s="36"/>
      <c r="CW272" s="36"/>
      <c r="CX272" s="36"/>
      <c r="CY272" s="36"/>
      <c r="CZ272" s="36"/>
      <c r="DA272" s="36"/>
      <c r="DB272" s="36"/>
      <c r="DC272" s="36"/>
      <c r="DD272" s="36"/>
      <c r="DE272" s="36"/>
      <c r="DF272" s="36"/>
      <c r="DG272" s="36"/>
      <c r="DH272" s="36"/>
      <c r="DI272" s="36"/>
      <c r="DJ272" s="36"/>
      <c r="DK272" s="36"/>
      <c r="DL272" s="183"/>
      <c r="DM272" s="183"/>
      <c r="DN272" s="183"/>
      <c r="DO272" s="183"/>
      <c r="DP272" s="183"/>
    </row>
    <row r="273" spans="1:120" hidden="1" x14ac:dyDescent="0.2">
      <c r="A273" s="36" t="s">
        <v>195</v>
      </c>
      <c r="G273" s="67"/>
      <c r="H273" s="67"/>
      <c r="I273" s="67"/>
      <c r="J273" s="67"/>
      <c r="K273" s="67"/>
      <c r="L273" s="67"/>
      <c r="M273" s="67"/>
      <c r="N273" s="67"/>
      <c r="O273" s="67"/>
      <c r="P273" s="67"/>
      <c r="Q273" s="67"/>
      <c r="R273" s="67"/>
      <c r="S273" s="120"/>
      <c r="T273" s="120"/>
      <c r="U273" s="120"/>
      <c r="V273" s="36"/>
      <c r="W273" s="36"/>
      <c r="X273" s="36"/>
      <c r="Y273" s="36"/>
      <c r="Z273" s="120"/>
      <c r="AA273" s="120">
        <v>2</v>
      </c>
      <c r="AB273" s="120">
        <v>2</v>
      </c>
      <c r="AC273" s="120">
        <v>2</v>
      </c>
      <c r="AD273" s="120">
        <v>3</v>
      </c>
      <c r="AE273" s="36">
        <f>AD273+AC273+AB273+AA273</f>
        <v>9</v>
      </c>
      <c r="AF273" s="120">
        <v>3</v>
      </c>
      <c r="AG273" s="36">
        <v>3</v>
      </c>
      <c r="AH273" s="36">
        <v>2</v>
      </c>
      <c r="AI273" s="36">
        <v>3</v>
      </c>
      <c r="AJ273" s="36">
        <f>AI273+AH273+AG273+AF273</f>
        <v>11</v>
      </c>
      <c r="AK273" s="36">
        <v>3</v>
      </c>
      <c r="AL273" s="36">
        <v>3</v>
      </c>
      <c r="AM273" s="36">
        <v>2</v>
      </c>
      <c r="AN273" s="36">
        <v>3</v>
      </c>
      <c r="AO273" s="36">
        <f>AN273+AM273+AL273+AK273</f>
        <v>11</v>
      </c>
      <c r="AP273" s="36">
        <v>3</v>
      </c>
      <c r="AQ273" s="36">
        <v>2</v>
      </c>
      <c r="AR273" s="36">
        <v>4</v>
      </c>
      <c r="AS273" s="36">
        <v>2</v>
      </c>
      <c r="AT273" s="36">
        <f>AS273+AR273+AQ273+AP273</f>
        <v>11</v>
      </c>
      <c r="AU273" s="36">
        <v>2</v>
      </c>
      <c r="AV273" s="36">
        <v>2</v>
      </c>
      <c r="AW273" s="36">
        <v>3</v>
      </c>
      <c r="AX273" s="36">
        <v>6</v>
      </c>
      <c r="AY273" s="36">
        <f>AX273+AW273+AV273+AU273</f>
        <v>13</v>
      </c>
      <c r="AZ273" s="36">
        <v>5</v>
      </c>
      <c r="BA273" s="36">
        <v>5</v>
      </c>
      <c r="BB273" s="36">
        <v>4</v>
      </c>
      <c r="BC273" s="36">
        <v>6</v>
      </c>
      <c r="BD273" s="36">
        <f>BC273+BB273+BA273+AZ273</f>
        <v>20</v>
      </c>
      <c r="BE273" s="36">
        <f ca="1">AZ273*(1+BE276)</f>
        <v>4.9305555555555554</v>
      </c>
      <c r="BF273" s="36">
        <v>5</v>
      </c>
      <c r="BG273" s="36">
        <v>4</v>
      </c>
      <c r="BH273" s="36">
        <v>5</v>
      </c>
      <c r="BI273" s="36">
        <f ca="1">SUM(BE273:BH273)</f>
        <v>18.930555555555557</v>
      </c>
      <c r="BJ273" s="36">
        <v>6</v>
      </c>
      <c r="BK273" s="36">
        <v>5</v>
      </c>
      <c r="BL273" s="36">
        <v>4</v>
      </c>
      <c r="BM273" s="36">
        <v>6</v>
      </c>
      <c r="BN273" s="36">
        <f>SUM(BJ273:BM273)</f>
        <v>21</v>
      </c>
      <c r="BO273" s="36">
        <v>0</v>
      </c>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183"/>
      <c r="DM273" s="183"/>
      <c r="DN273" s="183"/>
      <c r="DO273" s="183"/>
      <c r="DP273" s="183"/>
    </row>
    <row r="274" spans="1:120" hidden="1" x14ac:dyDescent="0.2">
      <c r="A274" s="39" t="s">
        <v>196</v>
      </c>
      <c r="G274" s="67"/>
      <c r="H274" s="67"/>
      <c r="I274" s="67"/>
      <c r="J274" s="67"/>
      <c r="K274" s="67"/>
      <c r="L274" s="67"/>
      <c r="M274" s="67"/>
      <c r="N274" s="67"/>
      <c r="O274" s="67"/>
      <c r="P274" s="67"/>
      <c r="Q274" s="67"/>
      <c r="R274" s="67"/>
      <c r="S274" s="94"/>
      <c r="T274" s="94"/>
      <c r="U274" s="94"/>
      <c r="V274" s="39"/>
      <c r="W274" s="39"/>
      <c r="X274" s="39"/>
      <c r="Y274" s="39"/>
      <c r="Z274" s="94"/>
      <c r="AA274" s="94">
        <f t="shared" ref="AA274:AI274" si="245">AA273+AA272</f>
        <v>20</v>
      </c>
      <c r="AB274" s="94">
        <f t="shared" si="245"/>
        <v>20</v>
      </c>
      <c r="AC274" s="94">
        <f t="shared" si="245"/>
        <v>28</v>
      </c>
      <c r="AD274" s="94">
        <f t="shared" si="245"/>
        <v>36</v>
      </c>
      <c r="AE274" s="94">
        <f t="shared" si="245"/>
        <v>104</v>
      </c>
      <c r="AF274" s="94">
        <f t="shared" si="245"/>
        <v>43</v>
      </c>
      <c r="AG274" s="39">
        <f t="shared" si="245"/>
        <v>42</v>
      </c>
      <c r="AH274" s="39">
        <f t="shared" si="245"/>
        <v>36</v>
      </c>
      <c r="AI274" s="39">
        <f t="shared" si="245"/>
        <v>41</v>
      </c>
      <c r="AJ274" s="39">
        <f>AI274+AH274+AG274+AF274</f>
        <v>162</v>
      </c>
      <c r="AK274" s="39">
        <f>AK273+AK272</f>
        <v>42</v>
      </c>
      <c r="AL274" s="39">
        <f>AL273+AL272</f>
        <v>48</v>
      </c>
      <c r="AM274" s="39">
        <f>AM273+AM272</f>
        <v>40</v>
      </c>
      <c r="AN274" s="39">
        <f>AN273+AN272</f>
        <v>49</v>
      </c>
      <c r="AO274" s="39">
        <f>AN274+AM274+AL274+AK274</f>
        <v>179</v>
      </c>
      <c r="AP274" s="39">
        <f>AP273+AP272</f>
        <v>49</v>
      </c>
      <c r="AQ274" s="39">
        <f>AQ273+AQ272</f>
        <v>54</v>
      </c>
      <c r="AR274" s="39">
        <f>AR273+AR272</f>
        <v>53</v>
      </c>
      <c r="AS274" s="39">
        <f>AS273+AS272</f>
        <v>57</v>
      </c>
      <c r="AT274" s="39">
        <f>AS274+AR274+AQ274+AP274</f>
        <v>213</v>
      </c>
      <c r="AU274" s="39">
        <f>AU273+AU272</f>
        <v>51</v>
      </c>
      <c r="AV274" s="39">
        <f>AV273+AV272</f>
        <v>56</v>
      </c>
      <c r="AW274" s="39">
        <f>AW273+AW272</f>
        <v>48</v>
      </c>
      <c r="AX274" s="39">
        <f>AX273+AX272</f>
        <v>53</v>
      </c>
      <c r="AY274" s="39">
        <f>AX274+AW274+AV274+AU274</f>
        <v>208</v>
      </c>
      <c r="AZ274" s="39">
        <f>AZ273+AZ272</f>
        <v>59</v>
      </c>
      <c r="BA274" s="39">
        <f>BA273+BA272</f>
        <v>47</v>
      </c>
      <c r="BB274" s="39">
        <f>BB273+BB272</f>
        <v>42</v>
      </c>
      <c r="BC274" s="39">
        <f>BC273+BC272</f>
        <v>57</v>
      </c>
      <c r="BD274" s="39">
        <f>BC274+BB274+BA274+AZ274</f>
        <v>205</v>
      </c>
      <c r="BE274" s="39">
        <f ca="1">BE272+BE273</f>
        <v>48.930555555555557</v>
      </c>
      <c r="BF274" s="39">
        <f>BF272+BF273</f>
        <v>51</v>
      </c>
      <c r="BG274" s="39">
        <f>BG272+BG273</f>
        <v>42</v>
      </c>
      <c r="BH274" s="39">
        <f>BH272+BH273</f>
        <v>43</v>
      </c>
      <c r="BI274" s="39">
        <f ca="1">BI273+BI272</f>
        <v>184.93055555555554</v>
      </c>
      <c r="BJ274" s="39">
        <f t="shared" ref="BJ274:BO274" si="246">BJ273+BJ272</f>
        <v>40</v>
      </c>
      <c r="BK274" s="39">
        <f t="shared" si="246"/>
        <v>49</v>
      </c>
      <c r="BL274" s="39">
        <f t="shared" si="246"/>
        <v>43</v>
      </c>
      <c r="BM274" s="39">
        <f t="shared" si="246"/>
        <v>51</v>
      </c>
      <c r="BN274" s="39">
        <f t="shared" si="246"/>
        <v>183</v>
      </c>
      <c r="BO274" s="39">
        <f t="shared" si="246"/>
        <v>0</v>
      </c>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187"/>
      <c r="DM274" s="187"/>
      <c r="DN274" s="187"/>
      <c r="DO274" s="187"/>
      <c r="DP274" s="187"/>
    </row>
    <row r="275" spans="1:120" hidden="1" x14ac:dyDescent="0.2">
      <c r="A275" s="68" t="s">
        <v>54</v>
      </c>
      <c r="G275" s="67"/>
      <c r="H275" s="67"/>
      <c r="I275" s="67"/>
      <c r="J275" s="67"/>
      <c r="K275" s="67"/>
      <c r="L275" s="67"/>
      <c r="M275" s="67"/>
      <c r="N275" s="67"/>
      <c r="O275" s="67"/>
      <c r="P275" s="67"/>
      <c r="Q275" s="67"/>
      <c r="R275" s="67"/>
      <c r="S275" s="67"/>
      <c r="T275" s="67"/>
      <c r="U275" s="67"/>
      <c r="V275" s="75"/>
      <c r="W275" s="75"/>
      <c r="X275" s="75"/>
      <c r="Y275" s="75"/>
      <c r="Z275" s="67"/>
      <c r="AA275" s="67"/>
      <c r="AB275" s="67"/>
      <c r="AC275" s="67"/>
      <c r="AD275" s="67"/>
      <c r="AE275" s="75"/>
      <c r="AF275" s="75">
        <f t="shared" ref="AF275:BM277" si="247">AF272/AA272-1</f>
        <v>1.2222222222222223</v>
      </c>
      <c r="AG275" s="75">
        <f t="shared" si="247"/>
        <v>1.1666666666666665</v>
      </c>
      <c r="AH275" s="75">
        <f t="shared" si="247"/>
        <v>0.30769230769230771</v>
      </c>
      <c r="AI275" s="75">
        <f t="shared" si="247"/>
        <v>0.1515151515151516</v>
      </c>
      <c r="AJ275" s="75">
        <f t="shared" si="247"/>
        <v>0.58947368421052637</v>
      </c>
      <c r="AK275" s="75">
        <f t="shared" si="247"/>
        <v>-2.5000000000000022E-2</v>
      </c>
      <c r="AL275" s="75">
        <f t="shared" si="247"/>
        <v>0.15384615384615374</v>
      </c>
      <c r="AM275" s="75">
        <f t="shared" si="247"/>
        <v>0.11764705882352944</v>
      </c>
      <c r="AN275" s="75">
        <f t="shared" si="247"/>
        <v>0.21052631578947367</v>
      </c>
      <c r="AO275" s="75">
        <f t="shared" si="247"/>
        <v>0.11258278145695355</v>
      </c>
      <c r="AP275" s="75">
        <f t="shared" si="247"/>
        <v>0.17948717948717952</v>
      </c>
      <c r="AQ275" s="75">
        <f t="shared" si="247"/>
        <v>0.15555555555555545</v>
      </c>
      <c r="AR275" s="75">
        <f t="shared" si="247"/>
        <v>0.28947368421052633</v>
      </c>
      <c r="AS275" s="75">
        <f t="shared" si="247"/>
        <v>0.19565217391304346</v>
      </c>
      <c r="AT275" s="75">
        <f t="shared" si="247"/>
        <v>0.20238095238095233</v>
      </c>
      <c r="AU275" s="75">
        <f t="shared" si="247"/>
        <v>6.5217391304347894E-2</v>
      </c>
      <c r="AV275" s="75">
        <f t="shared" si="247"/>
        <v>3.8461538461538547E-2</v>
      </c>
      <c r="AW275" s="75">
        <f t="shared" si="247"/>
        <v>-8.1632653061224469E-2</v>
      </c>
      <c r="AX275" s="75">
        <f t="shared" si="247"/>
        <v>-0.1454545454545455</v>
      </c>
      <c r="AY275" s="75">
        <f t="shared" si="247"/>
        <v>-3.4653465346534684E-2</v>
      </c>
      <c r="AZ275" s="75">
        <f t="shared" si="247"/>
        <v>0.1020408163265305</v>
      </c>
      <c r="BA275" s="75">
        <f t="shared" si="247"/>
        <v>-0.22222222222222221</v>
      </c>
      <c r="BB275" s="75">
        <f t="shared" si="247"/>
        <v>-0.15555555555555556</v>
      </c>
      <c r="BC275" s="75">
        <f t="shared" si="247"/>
        <v>8.5106382978723305E-2</v>
      </c>
      <c r="BD275" s="75">
        <f t="shared" si="247"/>
        <v>-5.1282051282051322E-2</v>
      </c>
      <c r="BE275" s="76">
        <f t="shared" si="247"/>
        <v>-0.18518518518518523</v>
      </c>
      <c r="BF275" s="76">
        <f t="shared" si="247"/>
        <v>9.5238095238095344E-2</v>
      </c>
      <c r="BG275" s="76">
        <f t="shared" si="247"/>
        <v>0</v>
      </c>
      <c r="BH275" s="76">
        <f t="shared" si="247"/>
        <v>-0.25490196078431371</v>
      </c>
      <c r="BI275" s="90">
        <f>BI272/BD272-1</f>
        <v>-0.10270270270270265</v>
      </c>
      <c r="BJ275" s="76">
        <f t="shared" si="247"/>
        <v>-0.22727272727272729</v>
      </c>
      <c r="BK275" s="76">
        <f t="shared" si="247"/>
        <v>-4.3478260869565188E-2</v>
      </c>
      <c r="BL275" s="76">
        <f t="shared" si="247"/>
        <v>2.6315789473684292E-2</v>
      </c>
      <c r="BM275" s="76">
        <f t="shared" si="247"/>
        <v>0.18421052631578938</v>
      </c>
      <c r="BN275" s="90">
        <f>BN272/BI272-1</f>
        <v>-2.4096385542168641E-2</v>
      </c>
      <c r="BO275" s="76"/>
      <c r="BP275" s="76"/>
      <c r="BQ275" s="76"/>
      <c r="BR275" s="76"/>
      <c r="BS275" s="75"/>
      <c r="BT275" s="76"/>
      <c r="BU275" s="76"/>
      <c r="BV275" s="76"/>
      <c r="BW275" s="76"/>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5"/>
      <c r="DA275" s="75"/>
      <c r="DB275" s="75"/>
      <c r="DC275" s="75"/>
      <c r="DD275" s="75"/>
      <c r="DE275" s="75"/>
      <c r="DF275" s="75"/>
      <c r="DG275" s="75"/>
      <c r="DH275" s="75"/>
      <c r="DI275" s="75"/>
      <c r="DJ275" s="75"/>
      <c r="DK275" s="75"/>
      <c r="DL275" s="192"/>
      <c r="DM275" s="192"/>
      <c r="DN275" s="192"/>
      <c r="DO275" s="192"/>
      <c r="DP275" s="192"/>
    </row>
    <row r="276" spans="1:120" hidden="1" x14ac:dyDescent="0.2">
      <c r="A276" s="68" t="s">
        <v>55</v>
      </c>
      <c r="G276" s="67"/>
      <c r="H276" s="67"/>
      <c r="I276" s="67"/>
      <c r="J276" s="67"/>
      <c r="K276" s="67"/>
      <c r="L276" s="67"/>
      <c r="M276" s="67"/>
      <c r="N276" s="67"/>
      <c r="O276" s="67"/>
      <c r="P276" s="67"/>
      <c r="Q276" s="67"/>
      <c r="R276" s="67"/>
      <c r="S276" s="67"/>
      <c r="T276" s="67"/>
      <c r="U276" s="67"/>
      <c r="V276" s="75"/>
      <c r="W276" s="75"/>
      <c r="X276" s="75"/>
      <c r="Y276" s="75"/>
      <c r="Z276" s="67"/>
      <c r="AA276" s="67"/>
      <c r="AB276" s="67"/>
      <c r="AC276" s="67"/>
      <c r="AD276" s="67"/>
      <c r="AE276" s="75"/>
      <c r="AF276" s="75">
        <f t="shared" si="247"/>
        <v>0.5</v>
      </c>
      <c r="AG276" s="75">
        <f t="shared" si="247"/>
        <v>0.5</v>
      </c>
      <c r="AH276" s="75">
        <f t="shared" si="247"/>
        <v>0</v>
      </c>
      <c r="AI276" s="75">
        <f t="shared" si="247"/>
        <v>0</v>
      </c>
      <c r="AJ276" s="75">
        <f t="shared" si="247"/>
        <v>0.22222222222222232</v>
      </c>
      <c r="AK276" s="75">
        <f t="shared" si="247"/>
        <v>0</v>
      </c>
      <c r="AL276" s="75">
        <f t="shared" si="247"/>
        <v>0</v>
      </c>
      <c r="AM276" s="75">
        <f t="shared" si="247"/>
        <v>0</v>
      </c>
      <c r="AN276" s="75">
        <f t="shared" si="247"/>
        <v>0</v>
      </c>
      <c r="AO276" s="75">
        <f t="shared" si="247"/>
        <v>0</v>
      </c>
      <c r="AP276" s="75">
        <f t="shared" si="247"/>
        <v>0</v>
      </c>
      <c r="AQ276" s="75">
        <f t="shared" si="247"/>
        <v>-0.33333333333333337</v>
      </c>
      <c r="AR276" s="75">
        <f t="shared" si="247"/>
        <v>1</v>
      </c>
      <c r="AS276" s="75">
        <f t="shared" si="247"/>
        <v>-0.33333333333333337</v>
      </c>
      <c r="AT276" s="75">
        <f t="shared" si="247"/>
        <v>0</v>
      </c>
      <c r="AU276" s="75">
        <f t="shared" si="247"/>
        <v>-0.33333333333333337</v>
      </c>
      <c r="AV276" s="75">
        <f t="shared" si="247"/>
        <v>0</v>
      </c>
      <c r="AW276" s="75">
        <f t="shared" si="247"/>
        <v>-0.25</v>
      </c>
      <c r="AX276" s="75">
        <f t="shared" si="247"/>
        <v>2</v>
      </c>
      <c r="AY276" s="75">
        <f t="shared" si="247"/>
        <v>0.18181818181818188</v>
      </c>
      <c r="AZ276" s="75">
        <f t="shared" si="247"/>
        <v>1.5</v>
      </c>
      <c r="BA276" s="75">
        <f t="shared" si="247"/>
        <v>1.5</v>
      </c>
      <c r="BB276" s="75">
        <f t="shared" si="247"/>
        <v>0.33333333333333326</v>
      </c>
      <c r="BC276" s="75">
        <f t="shared" si="247"/>
        <v>0</v>
      </c>
      <c r="BD276" s="75">
        <f t="shared" si="247"/>
        <v>0.53846153846153855</v>
      </c>
      <c r="BE276" s="76">
        <f ca="1">BE273/AZ273-1</f>
        <v>-1.3888888888888951E-2</v>
      </c>
      <c r="BF276" s="76">
        <f t="shared" si="247"/>
        <v>0</v>
      </c>
      <c r="BG276" s="76">
        <f t="shared" si="247"/>
        <v>0</v>
      </c>
      <c r="BH276" s="76">
        <f t="shared" si="247"/>
        <v>-0.16666666666666663</v>
      </c>
      <c r="BI276" s="90">
        <f ca="1">BI273/BD273-1</f>
        <v>-5.3472222222222143E-2</v>
      </c>
      <c r="BJ276" s="76">
        <f ca="1">BJ273/BE273-1</f>
        <v>0.21690140845070438</v>
      </c>
      <c r="BK276" s="76">
        <f t="shared" si="247"/>
        <v>0</v>
      </c>
      <c r="BL276" s="76">
        <f t="shared" si="247"/>
        <v>0</v>
      </c>
      <c r="BM276" s="76">
        <f t="shared" si="247"/>
        <v>0.19999999999999996</v>
      </c>
      <c r="BN276" s="90">
        <f ca="1">BN273/BI273-1</f>
        <v>0.10931768158473942</v>
      </c>
      <c r="BO276" s="76"/>
      <c r="BP276" s="76"/>
      <c r="BQ276" s="76"/>
      <c r="BR276" s="76"/>
      <c r="BS276" s="75"/>
      <c r="BT276" s="76"/>
      <c r="BU276" s="76"/>
      <c r="BV276" s="76"/>
      <c r="BW276" s="76"/>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5"/>
      <c r="DA276" s="75"/>
      <c r="DB276" s="75"/>
      <c r="DC276" s="75"/>
      <c r="DD276" s="75"/>
      <c r="DE276" s="75"/>
      <c r="DF276" s="75"/>
      <c r="DG276" s="75"/>
      <c r="DH276" s="75"/>
      <c r="DI276" s="75"/>
      <c r="DJ276" s="75"/>
      <c r="DK276" s="75"/>
      <c r="DL276" s="192"/>
      <c r="DM276" s="192"/>
      <c r="DN276" s="192"/>
      <c r="DO276" s="192"/>
      <c r="DP276" s="192"/>
    </row>
    <row r="277" spans="1:120" hidden="1" x14ac:dyDescent="0.2">
      <c r="A277" s="78" t="s">
        <v>56</v>
      </c>
      <c r="F277" s="98"/>
      <c r="G277" s="83"/>
      <c r="H277" s="83"/>
      <c r="I277" s="83"/>
      <c r="J277" s="83"/>
      <c r="K277" s="83"/>
      <c r="L277" s="83"/>
      <c r="M277" s="83"/>
      <c r="N277" s="83"/>
      <c r="O277" s="83"/>
      <c r="P277" s="83"/>
      <c r="Q277" s="83"/>
      <c r="R277" s="83"/>
      <c r="S277" s="83"/>
      <c r="T277" s="83"/>
      <c r="U277" s="83"/>
      <c r="V277" s="142"/>
      <c r="W277" s="142"/>
      <c r="X277" s="142"/>
      <c r="Y277" s="142"/>
      <c r="Z277" s="83"/>
      <c r="AA277" s="83"/>
      <c r="AB277" s="83"/>
      <c r="AC277" s="83"/>
      <c r="AD277" s="83"/>
      <c r="AE277" s="83"/>
      <c r="AF277" s="83">
        <f t="shared" si="247"/>
        <v>1.1499999999999999</v>
      </c>
      <c r="AG277" s="83">
        <f t="shared" si="247"/>
        <v>1.1000000000000001</v>
      </c>
      <c r="AH277" s="83">
        <f t="shared" si="247"/>
        <v>0.28571428571428581</v>
      </c>
      <c r="AI277" s="83">
        <f t="shared" si="247"/>
        <v>0.13888888888888884</v>
      </c>
      <c r="AJ277" s="83">
        <f t="shared" si="247"/>
        <v>0.55769230769230771</v>
      </c>
      <c r="AK277" s="83">
        <f t="shared" si="247"/>
        <v>-2.3255813953488413E-2</v>
      </c>
      <c r="AL277" s="83">
        <f t="shared" si="247"/>
        <v>0.14285714285714279</v>
      </c>
      <c r="AM277" s="83">
        <f t="shared" si="247"/>
        <v>0.11111111111111116</v>
      </c>
      <c r="AN277" s="83">
        <f t="shared" si="247"/>
        <v>0.19512195121951215</v>
      </c>
      <c r="AO277" s="83">
        <f t="shared" si="247"/>
        <v>0.10493827160493829</v>
      </c>
      <c r="AP277" s="83">
        <f t="shared" si="247"/>
        <v>0.16666666666666674</v>
      </c>
      <c r="AQ277" s="83">
        <f t="shared" si="247"/>
        <v>0.125</v>
      </c>
      <c r="AR277" s="83">
        <f t="shared" si="247"/>
        <v>0.32499999999999996</v>
      </c>
      <c r="AS277" s="83">
        <f t="shared" si="247"/>
        <v>0.16326530612244894</v>
      </c>
      <c r="AT277" s="83">
        <f t="shared" si="247"/>
        <v>0.1899441340782122</v>
      </c>
      <c r="AU277" s="83">
        <f t="shared" si="247"/>
        <v>4.081632653061229E-2</v>
      </c>
      <c r="AV277" s="83">
        <f t="shared" si="247"/>
        <v>3.7037037037036979E-2</v>
      </c>
      <c r="AW277" s="83">
        <f t="shared" si="247"/>
        <v>-9.4339622641509413E-2</v>
      </c>
      <c r="AX277" s="83">
        <f t="shared" si="247"/>
        <v>-7.0175438596491224E-2</v>
      </c>
      <c r="AY277" s="83">
        <f t="shared" si="247"/>
        <v>-2.3474178403755874E-2</v>
      </c>
      <c r="AZ277" s="83">
        <f t="shared" si="247"/>
        <v>0.15686274509803932</v>
      </c>
      <c r="BA277" s="83">
        <f t="shared" si="247"/>
        <v>-0.1607142857142857</v>
      </c>
      <c r="BB277" s="83">
        <f t="shared" si="247"/>
        <v>-0.125</v>
      </c>
      <c r="BC277" s="83">
        <f t="shared" si="247"/>
        <v>7.547169811320753E-2</v>
      </c>
      <c r="BD277" s="83">
        <f t="shared" si="247"/>
        <v>-1.4423076923076872E-2</v>
      </c>
      <c r="BE277" s="80">
        <f ca="1">BE274/AZ274-1</f>
        <v>-0.17066854990583802</v>
      </c>
      <c r="BF277" s="80">
        <f t="shared" si="247"/>
        <v>8.5106382978723305E-2</v>
      </c>
      <c r="BG277" s="80">
        <f>BG274/BB274-1</f>
        <v>0</v>
      </c>
      <c r="BH277" s="80">
        <f>BH274/BC274-1</f>
        <v>-0.24561403508771928</v>
      </c>
      <c r="BI277" s="80">
        <f ca="1">BI274/BD274-1</f>
        <v>-9.7899728997290048E-2</v>
      </c>
      <c r="BJ277" s="80">
        <f ca="1">BJ274/BE274-1</f>
        <v>-0.18251490207209764</v>
      </c>
      <c r="BK277" s="91">
        <f>BK274/BF274-1</f>
        <v>-3.9215686274509776E-2</v>
      </c>
      <c r="BL277" s="91">
        <f>BL274/BG274-1</f>
        <v>2.3809523809523725E-2</v>
      </c>
      <c r="BM277" s="91">
        <f>BM274/BH274-1</f>
        <v>0.18604651162790709</v>
      </c>
      <c r="BN277" s="80">
        <f ca="1">BN274/BI274-1</f>
        <v>-1.0439354111903776E-2</v>
      </c>
      <c r="BO277" s="91">
        <f>BO274/BJ274-1</f>
        <v>-1</v>
      </c>
      <c r="BP277" s="91"/>
      <c r="BQ277" s="91"/>
      <c r="BR277" s="91"/>
      <c r="BS277" s="83"/>
      <c r="BT277" s="91"/>
      <c r="BU277" s="91"/>
      <c r="BV277" s="91"/>
      <c r="BW277" s="91"/>
      <c r="BX277" s="83"/>
      <c r="BY277" s="83"/>
      <c r="BZ277" s="83"/>
      <c r="CA277" s="83"/>
      <c r="CB277" s="83"/>
      <c r="CC277" s="83"/>
      <c r="CD277" s="83"/>
      <c r="CE277" s="83"/>
      <c r="CF277" s="83"/>
      <c r="CG277" s="83"/>
      <c r="CH277" s="83"/>
      <c r="CI277" s="83"/>
      <c r="CJ277" s="83"/>
      <c r="CK277" s="83"/>
      <c r="CL277" s="83"/>
      <c r="CM277" s="83"/>
      <c r="CN277" s="83"/>
      <c r="CO277" s="83"/>
      <c r="CP277" s="83"/>
      <c r="CQ277" s="83"/>
      <c r="CR277" s="83"/>
      <c r="CS277" s="83"/>
      <c r="CT277" s="83"/>
      <c r="CU277" s="83"/>
      <c r="CV277" s="83"/>
      <c r="CW277" s="83"/>
      <c r="CX277" s="83"/>
      <c r="CY277" s="83"/>
      <c r="CZ277" s="83"/>
      <c r="DA277" s="83"/>
      <c r="DB277" s="83"/>
      <c r="DC277" s="83"/>
      <c r="DD277" s="83"/>
      <c r="DE277" s="83"/>
      <c r="DF277" s="83"/>
      <c r="DG277" s="83"/>
      <c r="DH277" s="83"/>
      <c r="DI277" s="83"/>
      <c r="DJ277" s="83"/>
      <c r="DK277" s="83"/>
      <c r="DL277" s="193"/>
      <c r="DM277" s="193"/>
      <c r="DN277" s="193"/>
      <c r="DO277" s="193"/>
      <c r="DP277" s="193"/>
    </row>
    <row r="278" spans="1:120" hidden="1" x14ac:dyDescent="0.2">
      <c r="A278" s="36" t="s">
        <v>197</v>
      </c>
      <c r="G278" s="36"/>
      <c r="H278" s="36"/>
      <c r="I278" s="36"/>
      <c r="J278" s="36"/>
      <c r="K278" s="36"/>
      <c r="L278" s="36">
        <v>84</v>
      </c>
      <c r="M278" s="36">
        <v>87</v>
      </c>
      <c r="N278" s="36">
        <v>73</v>
      </c>
      <c r="O278" s="36">
        <v>40</v>
      </c>
      <c r="P278" s="36">
        <f>O278+N278+M278+L278</f>
        <v>284</v>
      </c>
      <c r="Q278" s="36">
        <v>68</v>
      </c>
      <c r="R278" s="36">
        <v>72</v>
      </c>
      <c r="S278" s="36">
        <v>88</v>
      </c>
      <c r="T278" s="36">
        <v>74</v>
      </c>
      <c r="U278" s="36">
        <f>T278+S278+R278+Q278</f>
        <v>302</v>
      </c>
      <c r="V278" s="36">
        <v>71</v>
      </c>
      <c r="W278" s="36">
        <v>78</v>
      </c>
      <c r="X278" s="36">
        <v>82</v>
      </c>
      <c r="Y278" s="36">
        <v>67</v>
      </c>
      <c r="Z278" s="36">
        <f>Y278+X278+W278+V278</f>
        <v>298</v>
      </c>
      <c r="AA278" s="36">
        <v>76</v>
      </c>
      <c r="AB278" s="36">
        <v>78</v>
      </c>
      <c r="AC278" s="36">
        <v>78</v>
      </c>
      <c r="AD278" s="36">
        <v>81</v>
      </c>
      <c r="AE278" s="36">
        <f>AD278+AC278+AB278+AA278</f>
        <v>313</v>
      </c>
      <c r="AF278" s="36">
        <v>80</v>
      </c>
      <c r="AG278" s="36">
        <v>73</v>
      </c>
      <c r="AH278" s="36">
        <v>73</v>
      </c>
      <c r="AI278" s="36">
        <v>85</v>
      </c>
      <c r="AJ278" s="36">
        <f>AI278+AH278+AG278+AF278</f>
        <v>311</v>
      </c>
      <c r="AK278" s="36">
        <v>69</v>
      </c>
      <c r="AL278" s="36">
        <v>73</v>
      </c>
      <c r="AM278" s="36">
        <v>78</v>
      </c>
      <c r="AN278" s="36">
        <v>73</v>
      </c>
      <c r="AO278" s="36">
        <f>AN278+AM278+AL278+AK278</f>
        <v>293</v>
      </c>
      <c r="AP278" s="36">
        <v>71</v>
      </c>
      <c r="AQ278" s="36">
        <v>68</v>
      </c>
      <c r="AR278" s="36">
        <v>69</v>
      </c>
      <c r="AS278" s="36">
        <v>67</v>
      </c>
      <c r="AT278" s="36">
        <f>AS278+AR278+AQ278+AP278</f>
        <v>275</v>
      </c>
      <c r="AU278" s="36">
        <v>65</v>
      </c>
      <c r="AV278" s="36">
        <v>65</v>
      </c>
      <c r="AW278" s="36">
        <v>57</v>
      </c>
      <c r="AX278" s="36">
        <v>58</v>
      </c>
      <c r="AY278" s="36">
        <f>AX278+AW278+AV278+AU278</f>
        <v>245</v>
      </c>
      <c r="AZ278" s="36">
        <v>59</v>
      </c>
      <c r="BA278" s="36">
        <v>51</v>
      </c>
      <c r="BB278" s="36">
        <v>47</v>
      </c>
      <c r="BC278" s="36">
        <v>50</v>
      </c>
      <c r="BD278" s="36">
        <f>BC278+BB278+BA278+AZ278</f>
        <v>207</v>
      </c>
      <c r="BE278" s="36">
        <v>49</v>
      </c>
      <c r="BF278" s="36">
        <v>54</v>
      </c>
      <c r="BG278" s="36">
        <v>44</v>
      </c>
      <c r="BH278" s="36">
        <v>46</v>
      </c>
      <c r="BI278" s="36">
        <f>SUM(BE278:BH278)</f>
        <v>193</v>
      </c>
      <c r="BJ278" s="36">
        <v>43</v>
      </c>
      <c r="BK278" s="36">
        <v>44</v>
      </c>
      <c r="BL278" s="36">
        <v>41</v>
      </c>
      <c r="BM278" s="36">
        <v>42</v>
      </c>
      <c r="BN278" s="36">
        <f>SUM(BJ278:BM278)</f>
        <v>170</v>
      </c>
      <c r="BO278" s="36">
        <v>0</v>
      </c>
      <c r="BP278" s="36"/>
      <c r="BQ278" s="36"/>
      <c r="BR278" s="36"/>
      <c r="BS278" s="36"/>
      <c r="BT278" s="36"/>
      <c r="BU278" s="36"/>
      <c r="BV278" s="36"/>
      <c r="BW278" s="36"/>
      <c r="BX278" s="36"/>
      <c r="BY278" s="36"/>
      <c r="BZ278" s="36"/>
      <c r="CA278" s="36"/>
      <c r="CB278" s="36"/>
      <c r="CC278" s="36"/>
      <c r="CD278" s="36"/>
      <c r="CE278" s="36"/>
      <c r="CF278" s="36"/>
      <c r="CG278" s="36"/>
      <c r="CH278" s="36"/>
      <c r="CI278" s="36"/>
      <c r="CJ278" s="36"/>
      <c r="CK278" s="36"/>
      <c r="CL278" s="36"/>
      <c r="CM278" s="36"/>
      <c r="CN278" s="36"/>
      <c r="CO278" s="36"/>
      <c r="CP278" s="36"/>
      <c r="CQ278" s="36"/>
      <c r="CR278" s="36"/>
      <c r="CS278" s="36"/>
      <c r="CT278" s="36"/>
      <c r="CU278" s="36"/>
      <c r="CV278" s="36"/>
      <c r="CW278" s="36"/>
      <c r="CX278" s="36"/>
      <c r="CY278" s="36"/>
      <c r="CZ278" s="36"/>
      <c r="DA278" s="36"/>
      <c r="DB278" s="36"/>
      <c r="DC278" s="36"/>
      <c r="DD278" s="36"/>
      <c r="DE278" s="36"/>
      <c r="DF278" s="36"/>
      <c r="DG278" s="36"/>
      <c r="DH278" s="36"/>
      <c r="DI278" s="36"/>
      <c r="DJ278" s="36"/>
      <c r="DK278" s="36"/>
      <c r="DL278" s="183"/>
      <c r="DM278" s="183"/>
      <c r="DN278" s="183"/>
      <c r="DO278" s="183"/>
      <c r="DP278" s="183"/>
    </row>
    <row r="279" spans="1:120" hidden="1" x14ac:dyDescent="0.2">
      <c r="A279" s="36" t="s">
        <v>198</v>
      </c>
      <c r="G279" s="36"/>
      <c r="H279" s="36"/>
      <c r="I279" s="36"/>
      <c r="J279" s="36"/>
      <c r="K279" s="36"/>
      <c r="L279" s="36">
        <v>5</v>
      </c>
      <c r="M279" s="36">
        <v>5</v>
      </c>
      <c r="N279" s="36">
        <v>6</v>
      </c>
      <c r="O279" s="36">
        <v>6</v>
      </c>
      <c r="P279" s="36">
        <f>O279+N279+M279+L279</f>
        <v>22</v>
      </c>
      <c r="Q279" s="36">
        <v>5</v>
      </c>
      <c r="R279" s="36">
        <v>6</v>
      </c>
      <c r="S279" s="36">
        <v>5</v>
      </c>
      <c r="T279" s="36">
        <v>7</v>
      </c>
      <c r="U279" s="36">
        <f>T279+S279+R279+Q279</f>
        <v>23</v>
      </c>
      <c r="V279" s="36">
        <v>4</v>
      </c>
      <c r="W279" s="36">
        <v>4</v>
      </c>
      <c r="X279" s="36">
        <v>4</v>
      </c>
      <c r="Y279" s="36">
        <v>4</v>
      </c>
      <c r="Z279" s="36">
        <f>Y279+X279+W279+V279</f>
        <v>16</v>
      </c>
      <c r="AA279" s="36">
        <v>4</v>
      </c>
      <c r="AB279" s="36">
        <v>4</v>
      </c>
      <c r="AC279" s="36">
        <v>4</v>
      </c>
      <c r="AD279" s="36">
        <v>4</v>
      </c>
      <c r="AE279" s="36">
        <f>AD279+AC279+AB279+AA279</f>
        <v>16</v>
      </c>
      <c r="AF279" s="36">
        <v>4</v>
      </c>
      <c r="AG279" s="36">
        <v>5</v>
      </c>
      <c r="AH279" s="36">
        <v>5</v>
      </c>
      <c r="AI279" s="36">
        <v>6</v>
      </c>
      <c r="AJ279" s="36">
        <f>AI279+AH279+AG279+AF279</f>
        <v>20</v>
      </c>
      <c r="AK279" s="36">
        <v>5</v>
      </c>
      <c r="AL279" s="36">
        <v>5</v>
      </c>
      <c r="AM279" s="36">
        <v>6</v>
      </c>
      <c r="AN279" s="36">
        <v>5</v>
      </c>
      <c r="AO279" s="36">
        <f>AN279+AM279+AL279+AK279</f>
        <v>21</v>
      </c>
      <c r="AP279" s="36">
        <v>5</v>
      </c>
      <c r="AQ279" s="36">
        <v>5</v>
      </c>
      <c r="AR279" s="36">
        <v>5</v>
      </c>
      <c r="AS279" s="36">
        <v>5</v>
      </c>
      <c r="AT279" s="36">
        <f>AS279+AR279+AQ279+AP279</f>
        <v>20</v>
      </c>
      <c r="AU279" s="36">
        <v>5</v>
      </c>
      <c r="AV279" s="36">
        <v>5</v>
      </c>
      <c r="AW279" s="36">
        <v>6</v>
      </c>
      <c r="AX279" s="36">
        <v>5</v>
      </c>
      <c r="AY279" s="36">
        <f>AX279+AW279+AV279+AU279</f>
        <v>21</v>
      </c>
      <c r="AZ279" s="36">
        <v>5</v>
      </c>
      <c r="BA279" s="36">
        <v>5</v>
      </c>
      <c r="BB279" s="36">
        <v>5</v>
      </c>
      <c r="BC279" s="36">
        <v>7</v>
      </c>
      <c r="BD279" s="36">
        <f>BC279+BB279+BA279+AZ279</f>
        <v>22</v>
      </c>
      <c r="BE279" s="36">
        <v>4</v>
      </c>
      <c r="BF279" s="36">
        <v>5</v>
      </c>
      <c r="BG279" s="36">
        <v>4</v>
      </c>
      <c r="BH279" s="36">
        <v>5</v>
      </c>
      <c r="BI279" s="36">
        <f>SUM(BE279:BH279)</f>
        <v>18</v>
      </c>
      <c r="BJ279" s="36">
        <v>4</v>
      </c>
      <c r="BK279" s="36">
        <v>4</v>
      </c>
      <c r="BL279" s="36">
        <v>4</v>
      </c>
      <c r="BM279" s="36">
        <v>4</v>
      </c>
      <c r="BN279" s="36">
        <f>SUM(BJ279:BM279)</f>
        <v>16</v>
      </c>
      <c r="BO279" s="36">
        <v>0</v>
      </c>
      <c r="BP279" s="36"/>
      <c r="BQ279" s="36"/>
      <c r="BR279" s="36"/>
      <c r="BS279" s="36"/>
      <c r="BT279" s="36"/>
      <c r="BU279" s="36"/>
      <c r="BV279" s="36"/>
      <c r="BW279" s="36"/>
      <c r="BX279" s="36"/>
      <c r="BY279" s="36"/>
      <c r="BZ279" s="36"/>
      <c r="CA279" s="36"/>
      <c r="CB279" s="36"/>
      <c r="CC279" s="36"/>
      <c r="CD279" s="36"/>
      <c r="CE279" s="36"/>
      <c r="CF279" s="36"/>
      <c r="CG279" s="36"/>
      <c r="CH279" s="36"/>
      <c r="CI279" s="36"/>
      <c r="CJ279" s="36"/>
      <c r="CK279" s="36"/>
      <c r="CL279" s="36"/>
      <c r="CM279" s="36"/>
      <c r="CN279" s="36"/>
      <c r="CO279" s="36"/>
      <c r="CP279" s="36"/>
      <c r="CQ279" s="36"/>
      <c r="CR279" s="36"/>
      <c r="CS279" s="36"/>
      <c r="CT279" s="36"/>
      <c r="CU279" s="36"/>
      <c r="CV279" s="36"/>
      <c r="CW279" s="36"/>
      <c r="CX279" s="36"/>
      <c r="CY279" s="36"/>
      <c r="CZ279" s="36"/>
      <c r="DA279" s="36"/>
      <c r="DB279" s="36"/>
      <c r="DC279" s="36"/>
      <c r="DD279" s="36"/>
      <c r="DE279" s="36"/>
      <c r="DF279" s="36"/>
      <c r="DG279" s="36"/>
      <c r="DH279" s="36"/>
      <c r="DI279" s="36"/>
      <c r="DJ279" s="36"/>
      <c r="DK279" s="36"/>
      <c r="DL279" s="183"/>
      <c r="DM279" s="183"/>
      <c r="DN279" s="183"/>
      <c r="DO279" s="183"/>
      <c r="DP279" s="183"/>
    </row>
    <row r="280" spans="1:120" hidden="1" x14ac:dyDescent="0.2">
      <c r="A280" s="39" t="s">
        <v>199</v>
      </c>
      <c r="G280" s="39"/>
      <c r="H280" s="39"/>
      <c r="I280" s="39"/>
      <c r="J280" s="39"/>
      <c r="K280" s="39"/>
      <c r="L280" s="39">
        <v>89</v>
      </c>
      <c r="M280" s="39">
        <v>92</v>
      </c>
      <c r="N280" s="39">
        <v>79</v>
      </c>
      <c r="O280" s="39">
        <f>O279+O278</f>
        <v>46</v>
      </c>
      <c r="P280" s="39">
        <f>O280+N280+M280+L280</f>
        <v>306</v>
      </c>
      <c r="Q280" s="39">
        <f>Q279+Q278</f>
        <v>73</v>
      </c>
      <c r="R280" s="39">
        <f>R279+R278</f>
        <v>78</v>
      </c>
      <c r="S280" s="39">
        <f>S279+S278</f>
        <v>93</v>
      </c>
      <c r="T280" s="39">
        <f>T279+T278</f>
        <v>81</v>
      </c>
      <c r="U280" s="39">
        <f>T280+S280+R280+Q280</f>
        <v>325</v>
      </c>
      <c r="V280" s="39">
        <f>V279+V278</f>
        <v>75</v>
      </c>
      <c r="W280" s="39">
        <f>W279+W278</f>
        <v>82</v>
      </c>
      <c r="X280" s="39">
        <f>X279+X278</f>
        <v>86</v>
      </c>
      <c r="Y280" s="39">
        <f>Y279+Y278</f>
        <v>71</v>
      </c>
      <c r="Z280" s="39">
        <f>Y280+X280+W280+V280</f>
        <v>314</v>
      </c>
      <c r="AA280" s="39">
        <f>AA279+AA278</f>
        <v>80</v>
      </c>
      <c r="AB280" s="39">
        <f>AB279+AB278</f>
        <v>82</v>
      </c>
      <c r="AC280" s="39">
        <f>AC279+AC278</f>
        <v>82</v>
      </c>
      <c r="AD280" s="39">
        <f>AD279+AD278</f>
        <v>85</v>
      </c>
      <c r="AE280" s="39">
        <f>AD280+AC280+AB280+AA280</f>
        <v>329</v>
      </c>
      <c r="AF280" s="39">
        <f>AF279+AF278</f>
        <v>84</v>
      </c>
      <c r="AG280" s="39">
        <f>AG279+AG278</f>
        <v>78</v>
      </c>
      <c r="AH280" s="39">
        <f>AH279+AH278</f>
        <v>78</v>
      </c>
      <c r="AI280" s="39">
        <f>AI279+AI278</f>
        <v>91</v>
      </c>
      <c r="AJ280" s="39">
        <f>AI280+AH280+AG280+AF280</f>
        <v>331</v>
      </c>
      <c r="AK280" s="39">
        <f>AK279+AK278</f>
        <v>74</v>
      </c>
      <c r="AL280" s="39">
        <f>AL279+AL278</f>
        <v>78</v>
      </c>
      <c r="AM280" s="39">
        <f>AM279+AM278</f>
        <v>84</v>
      </c>
      <c r="AN280" s="39">
        <f>AN279+AN278</f>
        <v>78</v>
      </c>
      <c r="AO280" s="39">
        <f>AN280+AM280+AL280+AK280</f>
        <v>314</v>
      </c>
      <c r="AP280" s="39">
        <f>AP279+AP278</f>
        <v>76</v>
      </c>
      <c r="AQ280" s="39">
        <f>AQ279+AQ278</f>
        <v>73</v>
      </c>
      <c r="AR280" s="39">
        <f>AR279+AR278</f>
        <v>74</v>
      </c>
      <c r="AS280" s="39">
        <f>AS279+AS278</f>
        <v>72</v>
      </c>
      <c r="AT280" s="39">
        <f>AS280+AR280+AQ280+AP280</f>
        <v>295</v>
      </c>
      <c r="AU280" s="39">
        <f>AU279+AU278</f>
        <v>70</v>
      </c>
      <c r="AV280" s="39">
        <f>AV279+AV278</f>
        <v>70</v>
      </c>
      <c r="AW280" s="39">
        <f>AW279+AW278</f>
        <v>63</v>
      </c>
      <c r="AX280" s="39">
        <f>AX279+AX278</f>
        <v>63</v>
      </c>
      <c r="AY280" s="39">
        <f>AX280+AW280+AV280+AU280</f>
        <v>266</v>
      </c>
      <c r="AZ280" s="39">
        <f>AZ279+AZ278</f>
        <v>64</v>
      </c>
      <c r="BA280" s="39">
        <f>BA279+BA278</f>
        <v>56</v>
      </c>
      <c r="BB280" s="39">
        <f>BB279+BB278</f>
        <v>52</v>
      </c>
      <c r="BC280" s="39">
        <f>BC279+BC278</f>
        <v>57</v>
      </c>
      <c r="BD280" s="39">
        <f>BC280+BB280+BA280+AZ280</f>
        <v>229</v>
      </c>
      <c r="BE280" s="39">
        <f>BE278+BE279</f>
        <v>53</v>
      </c>
      <c r="BF280" s="39">
        <f>BF278+BF279</f>
        <v>59</v>
      </c>
      <c r="BG280" s="39">
        <f>BG278+BG279</f>
        <v>48</v>
      </c>
      <c r="BH280" s="39">
        <f>BH278+BH279</f>
        <v>51</v>
      </c>
      <c r="BI280" s="39">
        <f t="shared" ref="BI280:BO280" si="248">BI279+BI278</f>
        <v>211</v>
      </c>
      <c r="BJ280" s="39">
        <f t="shared" si="248"/>
        <v>47</v>
      </c>
      <c r="BK280" s="39">
        <f t="shared" si="248"/>
        <v>48</v>
      </c>
      <c r="BL280" s="39">
        <f t="shared" si="248"/>
        <v>45</v>
      </c>
      <c r="BM280" s="39">
        <f t="shared" si="248"/>
        <v>46</v>
      </c>
      <c r="BN280" s="39">
        <f t="shared" si="248"/>
        <v>186</v>
      </c>
      <c r="BO280" s="39">
        <f t="shared" si="248"/>
        <v>0</v>
      </c>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187"/>
      <c r="DM280" s="187"/>
      <c r="DN280" s="187"/>
      <c r="DO280" s="187"/>
      <c r="DP280" s="187"/>
    </row>
    <row r="281" spans="1:120" hidden="1" x14ac:dyDescent="0.2">
      <c r="A281" s="68" t="s">
        <v>54</v>
      </c>
      <c r="G281" s="75"/>
      <c r="H281" s="75"/>
      <c r="I281" s="75"/>
      <c r="J281" s="75"/>
      <c r="K281" s="75"/>
      <c r="L281" s="75" t="e">
        <f t="shared" ref="L281:O283" si="249">L278/G278-1</f>
        <v>#DIV/0!</v>
      </c>
      <c r="M281" s="75" t="e">
        <f t="shared" si="249"/>
        <v>#DIV/0!</v>
      </c>
      <c r="N281" s="75" t="e">
        <f t="shared" si="249"/>
        <v>#DIV/0!</v>
      </c>
      <c r="O281" s="75" t="e">
        <f t="shared" si="249"/>
        <v>#DIV/0!</v>
      </c>
      <c r="P281" s="75"/>
      <c r="Q281" s="75">
        <f t="shared" ref="Q281:BM283" si="250">Q278/L278-1</f>
        <v>-0.19047619047619047</v>
      </c>
      <c r="R281" s="75">
        <f t="shared" si="250"/>
        <v>-0.17241379310344829</v>
      </c>
      <c r="S281" s="75">
        <f t="shared" si="250"/>
        <v>0.20547945205479445</v>
      </c>
      <c r="T281" s="75">
        <f t="shared" si="250"/>
        <v>0.85000000000000009</v>
      </c>
      <c r="U281" s="75">
        <f t="shared" si="250"/>
        <v>6.3380281690140761E-2</v>
      </c>
      <c r="V281" s="75">
        <f t="shared" si="250"/>
        <v>4.4117647058823595E-2</v>
      </c>
      <c r="W281" s="75">
        <f t="shared" si="250"/>
        <v>8.3333333333333259E-2</v>
      </c>
      <c r="X281" s="75">
        <f t="shared" si="250"/>
        <v>-6.8181818181818232E-2</v>
      </c>
      <c r="Y281" s="75">
        <f t="shared" si="250"/>
        <v>-9.4594594594594628E-2</v>
      </c>
      <c r="Z281" s="75">
        <f t="shared" si="250"/>
        <v>-1.3245033112582738E-2</v>
      </c>
      <c r="AA281" s="75">
        <f t="shared" si="250"/>
        <v>7.0422535211267512E-2</v>
      </c>
      <c r="AB281" s="75">
        <f t="shared" si="250"/>
        <v>0</v>
      </c>
      <c r="AC281" s="75">
        <f t="shared" si="250"/>
        <v>-4.8780487804878092E-2</v>
      </c>
      <c r="AD281" s="75">
        <f t="shared" si="250"/>
        <v>0.20895522388059695</v>
      </c>
      <c r="AE281" s="75">
        <f t="shared" si="250"/>
        <v>5.0335570469798752E-2</v>
      </c>
      <c r="AF281" s="75">
        <f t="shared" si="250"/>
        <v>5.2631578947368363E-2</v>
      </c>
      <c r="AG281" s="75">
        <f t="shared" si="250"/>
        <v>-6.4102564102564097E-2</v>
      </c>
      <c r="AH281" s="75">
        <f t="shared" si="250"/>
        <v>-6.4102564102564097E-2</v>
      </c>
      <c r="AI281" s="75">
        <f t="shared" si="250"/>
        <v>4.9382716049382713E-2</v>
      </c>
      <c r="AJ281" s="75">
        <f t="shared" si="250"/>
        <v>-6.389776357827448E-3</v>
      </c>
      <c r="AK281" s="75">
        <f t="shared" si="250"/>
        <v>-0.13749999999999996</v>
      </c>
      <c r="AL281" s="75">
        <f t="shared" si="250"/>
        <v>0</v>
      </c>
      <c r="AM281" s="75">
        <f t="shared" si="250"/>
        <v>6.8493150684931559E-2</v>
      </c>
      <c r="AN281" s="75">
        <f t="shared" si="250"/>
        <v>-0.14117647058823535</v>
      </c>
      <c r="AO281" s="75">
        <f t="shared" si="250"/>
        <v>-5.7877813504823128E-2</v>
      </c>
      <c r="AP281" s="75">
        <f t="shared" si="250"/>
        <v>2.8985507246376718E-2</v>
      </c>
      <c r="AQ281" s="75">
        <f t="shared" si="250"/>
        <v>-6.8493150684931559E-2</v>
      </c>
      <c r="AR281" s="75">
        <f t="shared" si="250"/>
        <v>-0.11538461538461542</v>
      </c>
      <c r="AS281" s="75">
        <f t="shared" si="250"/>
        <v>-8.2191780821917804E-2</v>
      </c>
      <c r="AT281" s="75">
        <f t="shared" si="250"/>
        <v>-6.1433447098976135E-2</v>
      </c>
      <c r="AU281" s="75">
        <f t="shared" si="250"/>
        <v>-8.4507042253521125E-2</v>
      </c>
      <c r="AV281" s="75">
        <f t="shared" si="250"/>
        <v>-4.4117647058823484E-2</v>
      </c>
      <c r="AW281" s="75">
        <f t="shared" si="250"/>
        <v>-0.17391304347826086</v>
      </c>
      <c r="AX281" s="75">
        <f t="shared" si="250"/>
        <v>-0.13432835820895528</v>
      </c>
      <c r="AY281" s="75">
        <f t="shared" si="250"/>
        <v>-0.10909090909090913</v>
      </c>
      <c r="AZ281" s="75">
        <f t="shared" si="250"/>
        <v>-9.2307692307692313E-2</v>
      </c>
      <c r="BA281" s="75">
        <f t="shared" si="250"/>
        <v>-0.2153846153846154</v>
      </c>
      <c r="BB281" s="75">
        <f t="shared" si="250"/>
        <v>-0.17543859649122806</v>
      </c>
      <c r="BC281" s="75">
        <f t="shared" si="250"/>
        <v>-0.13793103448275867</v>
      </c>
      <c r="BD281" s="75">
        <f t="shared" si="250"/>
        <v>-0.1551020408163265</v>
      </c>
      <c r="BE281" s="76">
        <f t="shared" si="250"/>
        <v>-0.16949152542372881</v>
      </c>
      <c r="BF281" s="76">
        <f t="shared" si="250"/>
        <v>5.8823529411764719E-2</v>
      </c>
      <c r="BG281" s="76">
        <f t="shared" si="250"/>
        <v>-6.3829787234042534E-2</v>
      </c>
      <c r="BH281" s="76">
        <f t="shared" si="250"/>
        <v>-7.999999999999996E-2</v>
      </c>
      <c r="BI281" s="90">
        <f t="shared" si="250"/>
        <v>-6.7632850241545861E-2</v>
      </c>
      <c r="BJ281" s="76">
        <f t="shared" si="250"/>
        <v>-0.12244897959183676</v>
      </c>
      <c r="BK281" s="76">
        <f t="shared" si="250"/>
        <v>-0.18518518518518523</v>
      </c>
      <c r="BL281" s="76">
        <f t="shared" si="250"/>
        <v>-6.8181818181818232E-2</v>
      </c>
      <c r="BM281" s="76">
        <f t="shared" si="250"/>
        <v>-8.6956521739130488E-2</v>
      </c>
      <c r="BN281" s="90">
        <f>BN278/BI278-1</f>
        <v>-0.11917098445595853</v>
      </c>
      <c r="BO281" s="76"/>
      <c r="BP281" s="76"/>
      <c r="BQ281" s="76"/>
      <c r="BR281" s="76"/>
      <c r="BS281" s="75"/>
      <c r="BT281" s="76"/>
      <c r="BU281" s="76"/>
      <c r="BV281" s="76"/>
      <c r="BW281" s="76"/>
      <c r="BX281" s="75"/>
      <c r="BY281" s="75"/>
      <c r="BZ281" s="75"/>
      <c r="CA281" s="75"/>
      <c r="CB281" s="75"/>
      <c r="CC281" s="75"/>
      <c r="CD281" s="75"/>
      <c r="CE281" s="75"/>
      <c r="CF281" s="75"/>
      <c r="CG281" s="75"/>
      <c r="CH281" s="75"/>
      <c r="CI281" s="75"/>
      <c r="CJ281" s="75"/>
      <c r="CK281" s="75"/>
      <c r="CL281" s="75"/>
      <c r="CM281" s="75"/>
      <c r="CN281" s="75"/>
      <c r="CO281" s="75"/>
      <c r="CP281" s="75"/>
      <c r="CQ281" s="75"/>
      <c r="CR281" s="75"/>
      <c r="CS281" s="75"/>
      <c r="CT281" s="75"/>
      <c r="CU281" s="75"/>
      <c r="CV281" s="75"/>
      <c r="CW281" s="75"/>
      <c r="CX281" s="75"/>
      <c r="CY281" s="75"/>
      <c r="CZ281" s="75"/>
      <c r="DA281" s="75"/>
      <c r="DB281" s="75"/>
      <c r="DC281" s="75"/>
      <c r="DD281" s="75"/>
      <c r="DE281" s="75"/>
      <c r="DF281" s="75"/>
      <c r="DG281" s="75"/>
      <c r="DH281" s="75"/>
      <c r="DI281" s="75"/>
      <c r="DJ281" s="75"/>
      <c r="DK281" s="75"/>
      <c r="DL281" s="192"/>
      <c r="DM281" s="192"/>
      <c r="DN281" s="192"/>
      <c r="DO281" s="192"/>
      <c r="DP281" s="192"/>
    </row>
    <row r="282" spans="1:120" hidden="1" x14ac:dyDescent="0.2">
      <c r="A282" s="68" t="s">
        <v>55</v>
      </c>
      <c r="G282" s="75"/>
      <c r="H282" s="75"/>
      <c r="I282" s="75"/>
      <c r="J282" s="75"/>
      <c r="K282" s="75"/>
      <c r="L282" s="75" t="e">
        <f t="shared" si="249"/>
        <v>#DIV/0!</v>
      </c>
      <c r="M282" s="75" t="e">
        <f t="shared" si="249"/>
        <v>#DIV/0!</v>
      </c>
      <c r="N282" s="75" t="e">
        <f t="shared" si="249"/>
        <v>#DIV/0!</v>
      </c>
      <c r="O282" s="75" t="e">
        <f t="shared" si="249"/>
        <v>#DIV/0!</v>
      </c>
      <c r="P282" s="75"/>
      <c r="Q282" s="75">
        <f t="shared" si="250"/>
        <v>0</v>
      </c>
      <c r="R282" s="75">
        <f t="shared" si="250"/>
        <v>0.19999999999999996</v>
      </c>
      <c r="S282" s="75">
        <f t="shared" si="250"/>
        <v>-0.16666666666666663</v>
      </c>
      <c r="T282" s="75">
        <f t="shared" si="250"/>
        <v>0.16666666666666674</v>
      </c>
      <c r="U282" s="75">
        <f t="shared" si="250"/>
        <v>4.5454545454545414E-2</v>
      </c>
      <c r="V282" s="75">
        <f t="shared" si="250"/>
        <v>-0.19999999999999996</v>
      </c>
      <c r="W282" s="75">
        <f t="shared" si="250"/>
        <v>-0.33333333333333337</v>
      </c>
      <c r="X282" s="75">
        <f t="shared" si="250"/>
        <v>-0.19999999999999996</v>
      </c>
      <c r="Y282" s="75">
        <f t="shared" si="250"/>
        <v>-0.4285714285714286</v>
      </c>
      <c r="Z282" s="75">
        <f t="shared" si="250"/>
        <v>-0.30434782608695654</v>
      </c>
      <c r="AA282" s="75">
        <f t="shared" si="250"/>
        <v>0</v>
      </c>
      <c r="AB282" s="75">
        <f t="shared" si="250"/>
        <v>0</v>
      </c>
      <c r="AC282" s="75">
        <f t="shared" si="250"/>
        <v>0</v>
      </c>
      <c r="AD282" s="75">
        <f t="shared" si="250"/>
        <v>0</v>
      </c>
      <c r="AE282" s="75">
        <f t="shared" si="250"/>
        <v>0</v>
      </c>
      <c r="AF282" s="75">
        <f t="shared" si="250"/>
        <v>0</v>
      </c>
      <c r="AG282" s="75">
        <f t="shared" si="250"/>
        <v>0.25</v>
      </c>
      <c r="AH282" s="75">
        <f t="shared" si="250"/>
        <v>0.25</v>
      </c>
      <c r="AI282" s="75">
        <f t="shared" si="250"/>
        <v>0.5</v>
      </c>
      <c r="AJ282" s="75">
        <f t="shared" si="250"/>
        <v>0.25</v>
      </c>
      <c r="AK282" s="75">
        <f t="shared" si="250"/>
        <v>0.25</v>
      </c>
      <c r="AL282" s="75">
        <f t="shared" si="250"/>
        <v>0</v>
      </c>
      <c r="AM282" s="75">
        <f t="shared" si="250"/>
        <v>0.19999999999999996</v>
      </c>
      <c r="AN282" s="75">
        <f t="shared" si="250"/>
        <v>-0.16666666666666663</v>
      </c>
      <c r="AO282" s="75">
        <f t="shared" si="250"/>
        <v>5.0000000000000044E-2</v>
      </c>
      <c r="AP282" s="75">
        <f t="shared" si="250"/>
        <v>0</v>
      </c>
      <c r="AQ282" s="75">
        <f t="shared" si="250"/>
        <v>0</v>
      </c>
      <c r="AR282" s="75">
        <f t="shared" si="250"/>
        <v>-0.16666666666666663</v>
      </c>
      <c r="AS282" s="75">
        <f t="shared" si="250"/>
        <v>0</v>
      </c>
      <c r="AT282" s="75">
        <f t="shared" si="250"/>
        <v>-4.7619047619047672E-2</v>
      </c>
      <c r="AU282" s="75">
        <f t="shared" si="250"/>
        <v>0</v>
      </c>
      <c r="AV282" s="75">
        <f t="shared" si="250"/>
        <v>0</v>
      </c>
      <c r="AW282" s="75">
        <f t="shared" si="250"/>
        <v>0.19999999999999996</v>
      </c>
      <c r="AX282" s="75">
        <f t="shared" si="250"/>
        <v>0</v>
      </c>
      <c r="AY282" s="75">
        <f t="shared" si="250"/>
        <v>5.0000000000000044E-2</v>
      </c>
      <c r="AZ282" s="75">
        <f t="shared" si="250"/>
        <v>0</v>
      </c>
      <c r="BA282" s="75">
        <f t="shared" si="250"/>
        <v>0</v>
      </c>
      <c r="BB282" s="75">
        <f t="shared" si="250"/>
        <v>-0.16666666666666663</v>
      </c>
      <c r="BC282" s="75">
        <f t="shared" si="250"/>
        <v>0.39999999999999991</v>
      </c>
      <c r="BD282" s="75">
        <f t="shared" si="250"/>
        <v>4.7619047619047672E-2</v>
      </c>
      <c r="BE282" s="76">
        <f t="shared" si="250"/>
        <v>-0.19999999999999996</v>
      </c>
      <c r="BF282" s="76">
        <f t="shared" si="250"/>
        <v>0</v>
      </c>
      <c r="BG282" s="76">
        <f t="shared" si="250"/>
        <v>-0.19999999999999996</v>
      </c>
      <c r="BH282" s="76">
        <f t="shared" si="250"/>
        <v>-0.2857142857142857</v>
      </c>
      <c r="BI282" s="90">
        <f t="shared" si="250"/>
        <v>-0.18181818181818177</v>
      </c>
      <c r="BJ282" s="76">
        <f t="shared" si="250"/>
        <v>0</v>
      </c>
      <c r="BK282" s="76">
        <f t="shared" si="250"/>
        <v>-0.19999999999999996</v>
      </c>
      <c r="BL282" s="76">
        <f t="shared" si="250"/>
        <v>0</v>
      </c>
      <c r="BM282" s="76">
        <f t="shared" si="250"/>
        <v>-0.19999999999999996</v>
      </c>
      <c r="BN282" s="90">
        <f>BN279/BI279-1</f>
        <v>-0.11111111111111116</v>
      </c>
      <c r="BO282" s="76"/>
      <c r="BP282" s="76"/>
      <c r="BQ282" s="76"/>
      <c r="BR282" s="76"/>
      <c r="BS282" s="75"/>
      <c r="BT282" s="76"/>
      <c r="BU282" s="76"/>
      <c r="BV282" s="76"/>
      <c r="BW282" s="76"/>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5"/>
      <c r="DA282" s="75"/>
      <c r="DB282" s="75"/>
      <c r="DC282" s="75"/>
      <c r="DD282" s="75"/>
      <c r="DE282" s="75"/>
      <c r="DF282" s="75"/>
      <c r="DG282" s="75"/>
      <c r="DH282" s="75"/>
      <c r="DI282" s="75"/>
      <c r="DJ282" s="75"/>
      <c r="DK282" s="75"/>
      <c r="DL282" s="192"/>
      <c r="DM282" s="192"/>
      <c r="DN282" s="192"/>
      <c r="DO282" s="192"/>
      <c r="DP282" s="192"/>
    </row>
    <row r="283" spans="1:120" hidden="1" x14ac:dyDescent="0.2">
      <c r="A283" s="78" t="s">
        <v>56</v>
      </c>
      <c r="F283" s="98"/>
      <c r="G283" s="83"/>
      <c r="H283" s="83"/>
      <c r="I283" s="83"/>
      <c r="J283" s="83"/>
      <c r="K283" s="83"/>
      <c r="L283" s="83" t="e">
        <f t="shared" si="249"/>
        <v>#DIV/0!</v>
      </c>
      <c r="M283" s="83" t="e">
        <f t="shared" si="249"/>
        <v>#DIV/0!</v>
      </c>
      <c r="N283" s="83" t="e">
        <f t="shared" si="249"/>
        <v>#DIV/0!</v>
      </c>
      <c r="O283" s="83" t="e">
        <f t="shared" si="249"/>
        <v>#DIV/0!</v>
      </c>
      <c r="P283" s="83"/>
      <c r="Q283" s="83">
        <f t="shared" si="250"/>
        <v>-0.1797752808988764</v>
      </c>
      <c r="R283" s="83">
        <f t="shared" si="250"/>
        <v>-0.15217391304347827</v>
      </c>
      <c r="S283" s="83">
        <f t="shared" si="250"/>
        <v>0.17721518987341778</v>
      </c>
      <c r="T283" s="83">
        <f t="shared" si="250"/>
        <v>0.76086956521739135</v>
      </c>
      <c r="U283" s="83">
        <f t="shared" si="250"/>
        <v>6.2091503267973858E-2</v>
      </c>
      <c r="V283" s="83">
        <f t="shared" si="250"/>
        <v>2.7397260273972712E-2</v>
      </c>
      <c r="W283" s="83">
        <f t="shared" si="250"/>
        <v>5.1282051282051322E-2</v>
      </c>
      <c r="X283" s="83">
        <f t="shared" si="250"/>
        <v>-7.5268817204301119E-2</v>
      </c>
      <c r="Y283" s="83">
        <f t="shared" si="250"/>
        <v>-0.12345679012345678</v>
      </c>
      <c r="Z283" s="83">
        <f t="shared" si="250"/>
        <v>-3.3846153846153859E-2</v>
      </c>
      <c r="AA283" s="83">
        <f t="shared" si="250"/>
        <v>6.6666666666666652E-2</v>
      </c>
      <c r="AB283" s="83">
        <f t="shared" si="250"/>
        <v>0</v>
      </c>
      <c r="AC283" s="83">
        <f t="shared" si="250"/>
        <v>-4.6511627906976716E-2</v>
      </c>
      <c r="AD283" s="83">
        <f t="shared" si="250"/>
        <v>0.19718309859154926</v>
      </c>
      <c r="AE283" s="83">
        <f t="shared" si="250"/>
        <v>4.7770700636942776E-2</v>
      </c>
      <c r="AF283" s="83">
        <f t="shared" si="250"/>
        <v>5.0000000000000044E-2</v>
      </c>
      <c r="AG283" s="83">
        <f t="shared" si="250"/>
        <v>-4.8780487804878092E-2</v>
      </c>
      <c r="AH283" s="83">
        <f t="shared" si="250"/>
        <v>-4.8780487804878092E-2</v>
      </c>
      <c r="AI283" s="83">
        <f t="shared" si="250"/>
        <v>7.0588235294117618E-2</v>
      </c>
      <c r="AJ283" s="83">
        <f t="shared" si="250"/>
        <v>6.0790273556230456E-3</v>
      </c>
      <c r="AK283" s="83">
        <f t="shared" si="250"/>
        <v>-0.11904761904761907</v>
      </c>
      <c r="AL283" s="83">
        <f t="shared" si="250"/>
        <v>0</v>
      </c>
      <c r="AM283" s="83">
        <f t="shared" si="250"/>
        <v>7.6923076923076872E-2</v>
      </c>
      <c r="AN283" s="83">
        <f t="shared" si="250"/>
        <v>-0.1428571428571429</v>
      </c>
      <c r="AO283" s="83">
        <f t="shared" si="250"/>
        <v>-5.1359516616314216E-2</v>
      </c>
      <c r="AP283" s="83">
        <f t="shared" si="250"/>
        <v>2.7027027027026973E-2</v>
      </c>
      <c r="AQ283" s="83">
        <f t="shared" si="250"/>
        <v>-6.4102564102564097E-2</v>
      </c>
      <c r="AR283" s="83">
        <f t="shared" si="250"/>
        <v>-0.11904761904761907</v>
      </c>
      <c r="AS283" s="83">
        <f t="shared" si="250"/>
        <v>-7.6923076923076872E-2</v>
      </c>
      <c r="AT283" s="83">
        <f t="shared" si="250"/>
        <v>-6.0509554140127375E-2</v>
      </c>
      <c r="AU283" s="83">
        <f t="shared" si="250"/>
        <v>-7.8947368421052655E-2</v>
      </c>
      <c r="AV283" s="83">
        <f t="shared" si="250"/>
        <v>-4.1095890410958957E-2</v>
      </c>
      <c r="AW283" s="83">
        <f t="shared" si="250"/>
        <v>-0.14864864864864868</v>
      </c>
      <c r="AX283" s="83">
        <f t="shared" si="250"/>
        <v>-0.125</v>
      </c>
      <c r="AY283" s="83">
        <f t="shared" si="250"/>
        <v>-9.8305084745762716E-2</v>
      </c>
      <c r="AZ283" s="83">
        <f t="shared" si="250"/>
        <v>-8.5714285714285743E-2</v>
      </c>
      <c r="BA283" s="83">
        <f t="shared" si="250"/>
        <v>-0.19999999999999996</v>
      </c>
      <c r="BB283" s="83">
        <f t="shared" si="250"/>
        <v>-0.17460317460317465</v>
      </c>
      <c r="BC283" s="83">
        <f t="shared" si="250"/>
        <v>-9.5238095238095233E-2</v>
      </c>
      <c r="BD283" s="83">
        <f t="shared" si="250"/>
        <v>-0.13909774436090228</v>
      </c>
      <c r="BE283" s="80">
        <f t="shared" si="250"/>
        <v>-0.171875</v>
      </c>
      <c r="BF283" s="80">
        <f t="shared" si="250"/>
        <v>5.3571428571428603E-2</v>
      </c>
      <c r="BG283" s="80">
        <f>BG280/BB280-1</f>
        <v>-7.6923076923076872E-2</v>
      </c>
      <c r="BH283" s="80">
        <f>BH280/BC280-1</f>
        <v>-0.10526315789473684</v>
      </c>
      <c r="BI283" s="80">
        <f t="shared" si="250"/>
        <v>-7.8602620087336206E-2</v>
      </c>
      <c r="BJ283" s="80">
        <f t="shared" si="250"/>
        <v>-0.1132075471698113</v>
      </c>
      <c r="BK283" s="91">
        <f>BK280/BF280-1</f>
        <v>-0.18644067796610164</v>
      </c>
      <c r="BL283" s="91">
        <f>BL280/BG280-1</f>
        <v>-6.25E-2</v>
      </c>
      <c r="BM283" s="91">
        <f>BM280/BH280-1</f>
        <v>-9.8039215686274495E-2</v>
      </c>
      <c r="BN283" s="80">
        <f>BN280/BI280-1</f>
        <v>-0.11848341232227488</v>
      </c>
      <c r="BO283" s="80">
        <f>BO280/BJ280-1</f>
        <v>-1</v>
      </c>
      <c r="BP283" s="91"/>
      <c r="BQ283" s="91"/>
      <c r="BR283" s="91"/>
      <c r="BS283" s="83"/>
      <c r="BT283" s="80"/>
      <c r="BU283" s="91"/>
      <c r="BV283" s="91"/>
      <c r="BW283" s="91"/>
      <c r="BX283" s="83"/>
      <c r="BY283" s="83"/>
      <c r="BZ283" s="83"/>
      <c r="CA283" s="83"/>
      <c r="CB283" s="83"/>
      <c r="CC283" s="83"/>
      <c r="CD283" s="83"/>
      <c r="CE283" s="83"/>
      <c r="CF283" s="83"/>
      <c r="CG283" s="83"/>
      <c r="CH283" s="83"/>
      <c r="CI283" s="83"/>
      <c r="CJ283" s="83"/>
      <c r="CK283" s="83"/>
      <c r="CL283" s="83"/>
      <c r="CM283" s="83"/>
      <c r="CN283" s="83"/>
      <c r="CO283" s="83"/>
      <c r="CP283" s="83"/>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193"/>
      <c r="DM283" s="193"/>
      <c r="DN283" s="193"/>
      <c r="DO283" s="193"/>
      <c r="DP283" s="193"/>
    </row>
    <row r="284" spans="1:120" hidden="1" x14ac:dyDescent="0.2">
      <c r="A284" s="66"/>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c r="BB284" s="67"/>
      <c r="BC284" s="67"/>
      <c r="BD284" s="67"/>
      <c r="BE284" s="67"/>
      <c r="BF284" s="67"/>
      <c r="BG284" s="67"/>
      <c r="BH284" s="67"/>
      <c r="BI284" s="67"/>
      <c r="BJ284" s="67"/>
      <c r="BK284" s="67"/>
      <c r="BL284" s="67"/>
      <c r="BM284" s="67"/>
      <c r="BN284" s="67"/>
      <c r="BO284" s="67"/>
      <c r="BP284" s="67"/>
      <c r="BQ284" s="67"/>
      <c r="BR284" s="67"/>
      <c r="BS284" s="67"/>
      <c r="BT284" s="67"/>
      <c r="BU284" s="67"/>
      <c r="BV284" s="67"/>
      <c r="BW284" s="67"/>
      <c r="BX284" s="67"/>
      <c r="BY284" s="67"/>
      <c r="BZ284" s="67"/>
      <c r="CA284" s="67"/>
      <c r="CB284" s="67"/>
      <c r="CC284" s="67"/>
      <c r="CD284" s="67"/>
      <c r="CE284" s="67"/>
      <c r="CF284" s="67"/>
      <c r="CG284" s="67"/>
      <c r="CH284" s="67"/>
      <c r="CI284" s="67"/>
      <c r="CJ284" s="67"/>
      <c r="CK284" s="67"/>
      <c r="CL284" s="67"/>
      <c r="CM284" s="67"/>
      <c r="CN284" s="67"/>
      <c r="CO284" s="67"/>
      <c r="CP284" s="67"/>
      <c r="CQ284" s="67"/>
      <c r="CR284" s="67"/>
      <c r="CS284" s="67"/>
      <c r="CT284" s="67"/>
      <c r="CU284" s="67"/>
      <c r="CV284" s="67"/>
      <c r="CW284" s="67"/>
      <c r="CX284" s="67"/>
      <c r="CY284" s="67"/>
      <c r="CZ284" s="67"/>
      <c r="DA284" s="67"/>
      <c r="DB284" s="67"/>
      <c r="DC284" s="67"/>
      <c r="DD284" s="67"/>
      <c r="DE284" s="67"/>
      <c r="DF284" s="67"/>
      <c r="DG284" s="67"/>
      <c r="DH284" s="67"/>
      <c r="DI284" s="67"/>
      <c r="DJ284" s="67"/>
      <c r="DK284" s="67"/>
      <c r="DL284" s="194"/>
      <c r="DM284" s="194"/>
      <c r="DN284" s="194"/>
      <c r="DO284" s="194"/>
      <c r="DP284" s="194"/>
    </row>
    <row r="285" spans="1:120" hidden="1" x14ac:dyDescent="0.2">
      <c r="A285" s="66"/>
      <c r="G285" s="67"/>
      <c r="H285" s="67"/>
      <c r="I285" s="67"/>
      <c r="J285" s="67"/>
      <c r="K285" s="67"/>
      <c r="L285" s="67"/>
      <c r="M285" s="67"/>
      <c r="N285" s="67"/>
      <c r="O285" s="67"/>
      <c r="P285" s="67"/>
      <c r="Q285" s="67"/>
      <c r="R285" s="67"/>
      <c r="S285" s="67"/>
      <c r="T285" s="67"/>
      <c r="U285" s="67"/>
      <c r="V285" s="75"/>
      <c r="W285" s="75"/>
      <c r="X285" s="75"/>
      <c r="Y285" s="75"/>
      <c r="Z285" s="67"/>
      <c r="AA285" s="67"/>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c r="BB285" s="67"/>
      <c r="BC285" s="67"/>
      <c r="BD285" s="67"/>
      <c r="BE285" s="67"/>
      <c r="BF285" s="67"/>
      <c r="BG285" s="67"/>
      <c r="BH285" s="67"/>
      <c r="BI285" s="67"/>
      <c r="BJ285" s="67"/>
      <c r="BK285" s="67"/>
      <c r="BL285" s="67"/>
      <c r="BM285" s="67"/>
      <c r="BN285" s="67"/>
      <c r="BO285" s="67"/>
      <c r="BP285" s="67"/>
      <c r="BQ285" s="67"/>
      <c r="BR285" s="67"/>
      <c r="BS285" s="67"/>
      <c r="BT285" s="67"/>
      <c r="BU285" s="67"/>
      <c r="BV285" s="67"/>
      <c r="BW285" s="67"/>
      <c r="BX285" s="67"/>
      <c r="BY285" s="67"/>
      <c r="BZ285" s="67"/>
      <c r="CA285" s="67"/>
      <c r="CB285" s="67"/>
      <c r="CC285" s="67"/>
      <c r="CD285" s="67"/>
      <c r="CE285" s="67"/>
      <c r="CF285" s="67"/>
      <c r="CG285" s="67"/>
      <c r="CH285" s="67"/>
      <c r="CI285" s="67"/>
      <c r="CJ285" s="67"/>
      <c r="CK285" s="67"/>
      <c r="CL285" s="67"/>
      <c r="CM285" s="67"/>
      <c r="CN285" s="67"/>
      <c r="CO285" s="67"/>
      <c r="CP285" s="67"/>
      <c r="CQ285" s="67"/>
      <c r="CR285" s="67"/>
      <c r="CS285" s="67"/>
      <c r="CT285" s="67"/>
      <c r="CU285" s="67"/>
      <c r="CV285" s="67"/>
      <c r="CW285" s="67"/>
      <c r="CX285" s="67"/>
      <c r="CY285" s="67"/>
      <c r="CZ285" s="67"/>
      <c r="DA285" s="67"/>
      <c r="DB285" s="67"/>
      <c r="DC285" s="67"/>
      <c r="DD285" s="67"/>
      <c r="DE285" s="67"/>
      <c r="DF285" s="67"/>
      <c r="DG285" s="67"/>
      <c r="DH285" s="67"/>
      <c r="DI285" s="67"/>
      <c r="DJ285" s="67"/>
      <c r="DK285" s="67"/>
      <c r="DL285" s="194"/>
      <c r="DM285" s="194"/>
      <c r="DN285" s="194"/>
      <c r="DO285" s="194"/>
      <c r="DP285" s="194"/>
    </row>
    <row r="286" spans="1:120" hidden="1" x14ac:dyDescent="0.2">
      <c r="A286" s="21" t="s">
        <v>200</v>
      </c>
      <c r="G286" s="143"/>
      <c r="H286" s="143"/>
      <c r="I286" s="143"/>
      <c r="J286" s="143"/>
      <c r="K286" s="144"/>
      <c r="L286" s="40">
        <v>126</v>
      </c>
      <c r="M286" s="40">
        <v>146</v>
      </c>
      <c r="N286" s="40">
        <v>85</v>
      </c>
      <c r="O286" s="40">
        <v>76</v>
      </c>
      <c r="P286" s="144">
        <f>O286+N286+M286+L286</f>
        <v>433</v>
      </c>
      <c r="Q286" s="40">
        <v>63.2</v>
      </c>
      <c r="R286" s="36">
        <v>50.2</v>
      </c>
      <c r="S286" s="36">
        <v>49</v>
      </c>
      <c r="T286" s="36">
        <v>42</v>
      </c>
      <c r="U286" s="36">
        <f>T286+S286+R286+Q286</f>
        <v>204.39999999999998</v>
      </c>
      <c r="V286" s="36">
        <v>52</v>
      </c>
      <c r="W286" s="36">
        <v>38</v>
      </c>
      <c r="X286" s="36">
        <v>42</v>
      </c>
      <c r="Y286" s="36">
        <v>52</v>
      </c>
      <c r="Z286" s="36">
        <f>Y286+X286+W286+V286</f>
        <v>184</v>
      </c>
      <c r="AA286" s="36">
        <v>43</v>
      </c>
      <c r="AB286" s="36">
        <v>57</v>
      </c>
      <c r="AC286" s="36">
        <v>51</v>
      </c>
      <c r="AD286" s="36">
        <v>49</v>
      </c>
      <c r="AE286" s="36">
        <f>AD286+AC286+AB286+AA286</f>
        <v>200</v>
      </c>
      <c r="AF286" s="36">
        <v>48</v>
      </c>
      <c r="AG286" s="36">
        <v>46</v>
      </c>
      <c r="AH286" s="36">
        <v>46</v>
      </c>
      <c r="AI286" s="36">
        <v>42</v>
      </c>
      <c r="AJ286" s="36">
        <f>AI286+AH286+AG286+AF286</f>
        <v>182</v>
      </c>
      <c r="AK286" s="36">
        <v>39</v>
      </c>
      <c r="AL286" s="36">
        <v>40</v>
      </c>
      <c r="AM286" s="36">
        <v>40</v>
      </c>
      <c r="AN286" s="36">
        <v>34</v>
      </c>
      <c r="AO286" s="36">
        <f>AN286+AM286+AL286+AK286</f>
        <v>153</v>
      </c>
      <c r="AP286" s="36">
        <v>29</v>
      </c>
      <c r="AQ286" s="36">
        <v>30</v>
      </c>
      <c r="AR286" s="36">
        <v>28</v>
      </c>
      <c r="AS286" s="36">
        <v>23</v>
      </c>
      <c r="AT286" s="36">
        <f>AS286+AR286+AQ286+AP286</f>
        <v>110</v>
      </c>
      <c r="AU286" s="36">
        <v>26</v>
      </c>
      <c r="AV286" s="36">
        <v>25</v>
      </c>
      <c r="AW286" s="36">
        <v>12</v>
      </c>
      <c r="AX286" s="36">
        <v>35</v>
      </c>
      <c r="AY286" s="36">
        <f>AX286+AW286+AV286+AU286</f>
        <v>98</v>
      </c>
      <c r="AZ286" s="36">
        <v>18</v>
      </c>
      <c r="BA286" s="36">
        <v>10</v>
      </c>
      <c r="BB286" s="36">
        <v>19</v>
      </c>
      <c r="BC286" s="36">
        <v>25</v>
      </c>
      <c r="BD286" s="36">
        <f>BC286+BB286+BA286+AZ286</f>
        <v>72</v>
      </c>
      <c r="BE286" s="36">
        <v>32</v>
      </c>
      <c r="BF286" s="36">
        <v>24</v>
      </c>
      <c r="BG286" s="36">
        <v>22</v>
      </c>
      <c r="BH286" s="36">
        <v>8</v>
      </c>
      <c r="BI286" s="36">
        <f>SUM(BE286:BH286)</f>
        <v>86</v>
      </c>
      <c r="BJ286" s="36">
        <v>9</v>
      </c>
      <c r="BK286" s="36">
        <v>13</v>
      </c>
      <c r="BL286" s="36">
        <v>9</v>
      </c>
      <c r="BM286" s="36">
        <v>11</v>
      </c>
      <c r="BN286" s="36">
        <f>SUM(BJ286:BM286)</f>
        <v>42</v>
      </c>
      <c r="BO286" s="36">
        <v>4</v>
      </c>
      <c r="BP286" s="36">
        <v>8</v>
      </c>
      <c r="BQ286" s="36">
        <v>4</v>
      </c>
      <c r="BR286" s="36">
        <v>2</v>
      </c>
      <c r="BS286" s="36">
        <f>SUM(BO286:BR286)</f>
        <v>18</v>
      </c>
      <c r="BT286" s="36">
        <v>0</v>
      </c>
      <c r="BU286" s="36">
        <v>0</v>
      </c>
      <c r="BV286" s="36">
        <v>0</v>
      </c>
      <c r="BW286" s="36">
        <v>-1</v>
      </c>
      <c r="BX286" s="36">
        <f>SUM(BT286:BW286)</f>
        <v>-1</v>
      </c>
      <c r="BY286" s="36"/>
      <c r="BZ286" s="36"/>
      <c r="CA286" s="36"/>
      <c r="CB286" s="36"/>
      <c r="CC286" s="36"/>
      <c r="CD286" s="36"/>
      <c r="CE286" s="36"/>
      <c r="CF286" s="36"/>
      <c r="CG286" s="36"/>
      <c r="CH286" s="36"/>
      <c r="CI286" s="36"/>
      <c r="CJ286" s="36"/>
      <c r="CK286" s="36"/>
      <c r="CL286" s="36"/>
      <c r="CM286" s="36"/>
      <c r="CN286" s="36"/>
      <c r="CO286" s="36"/>
      <c r="CP286" s="36"/>
      <c r="CQ286" s="36"/>
      <c r="CR286" s="36"/>
      <c r="CS286" s="36"/>
      <c r="CT286" s="36"/>
      <c r="CU286" s="36"/>
      <c r="CV286" s="36"/>
      <c r="CW286" s="36"/>
      <c r="CX286" s="36"/>
      <c r="CY286" s="36"/>
      <c r="CZ286" s="36"/>
      <c r="DA286" s="36"/>
      <c r="DB286" s="36"/>
      <c r="DC286" s="36"/>
      <c r="DD286" s="36"/>
      <c r="DE286" s="36"/>
      <c r="DF286" s="36"/>
      <c r="DG286" s="36"/>
      <c r="DH286" s="36"/>
      <c r="DI286" s="36"/>
      <c r="DJ286" s="36"/>
      <c r="DK286" s="36"/>
      <c r="DL286" s="183"/>
      <c r="DM286" s="183"/>
      <c r="DN286" s="183"/>
      <c r="DO286" s="183"/>
      <c r="DP286" s="183"/>
    </row>
    <row r="287" spans="1:120" hidden="1" x14ac:dyDescent="0.2">
      <c r="A287" s="21" t="s">
        <v>201</v>
      </c>
      <c r="G287" s="143"/>
      <c r="H287" s="143"/>
      <c r="I287" s="143"/>
      <c r="J287" s="143"/>
      <c r="K287" s="144"/>
      <c r="L287" s="40">
        <v>95</v>
      </c>
      <c r="M287" s="40">
        <v>101</v>
      </c>
      <c r="N287" s="40">
        <v>87</v>
      </c>
      <c r="O287" s="40">
        <v>85</v>
      </c>
      <c r="P287" s="144">
        <f>O287+N287+M287+L287</f>
        <v>368</v>
      </c>
      <c r="Q287" s="40">
        <v>85.2</v>
      </c>
      <c r="R287" s="36">
        <v>94</v>
      </c>
      <c r="S287" s="36">
        <v>83</v>
      </c>
      <c r="T287" s="36">
        <v>96</v>
      </c>
      <c r="U287" s="36">
        <f>T287+S287+R287+Q287</f>
        <v>358.2</v>
      </c>
      <c r="V287" s="36">
        <v>118</v>
      </c>
      <c r="W287" s="36">
        <v>144</v>
      </c>
      <c r="X287" s="36">
        <v>143</v>
      </c>
      <c r="Y287" s="36">
        <v>162</v>
      </c>
      <c r="Z287" s="36">
        <f>Y287+X287+W287+V287</f>
        <v>567</v>
      </c>
      <c r="AA287" s="36">
        <v>153</v>
      </c>
      <c r="AB287" s="36">
        <v>169</v>
      </c>
      <c r="AC287" s="36">
        <v>155</v>
      </c>
      <c r="AD287" s="36">
        <v>159</v>
      </c>
      <c r="AE287" s="36">
        <f>AD287+AC287+AB287+AA287</f>
        <v>636</v>
      </c>
      <c r="AF287" s="36">
        <v>168</v>
      </c>
      <c r="AG287" s="36">
        <v>188</v>
      </c>
      <c r="AH287" s="36">
        <v>175</v>
      </c>
      <c r="AI287" s="36">
        <v>197</v>
      </c>
      <c r="AJ287" s="36">
        <f>AI287+AH287+AG287+AF287</f>
        <v>728</v>
      </c>
      <c r="AK287" s="36">
        <v>186</v>
      </c>
      <c r="AL287" s="36">
        <v>189</v>
      </c>
      <c r="AM287" s="36">
        <v>195</v>
      </c>
      <c r="AN287" s="36">
        <v>191</v>
      </c>
      <c r="AO287" s="36">
        <f>AN287+AM287+AL287+AK287</f>
        <v>761</v>
      </c>
      <c r="AP287" s="36">
        <v>187</v>
      </c>
      <c r="AQ287" s="36">
        <v>185</v>
      </c>
      <c r="AR287" s="36">
        <v>170</v>
      </c>
      <c r="AS287" s="36">
        <v>193</v>
      </c>
      <c r="AT287" s="36">
        <f>AS287+AR287+AQ287+AP287</f>
        <v>735</v>
      </c>
      <c r="AU287" s="36">
        <v>161</v>
      </c>
      <c r="AV287" s="36">
        <v>159</v>
      </c>
      <c r="AW287" s="36">
        <v>157</v>
      </c>
      <c r="AX287" s="36">
        <v>163</v>
      </c>
      <c r="AY287" s="36">
        <f>AX287+AW287+AV287+AU287</f>
        <v>640</v>
      </c>
      <c r="AZ287" s="36">
        <v>148</v>
      </c>
      <c r="BA287" s="36">
        <v>144</v>
      </c>
      <c r="BB287" s="36">
        <v>144</v>
      </c>
      <c r="BC287" s="36">
        <v>150</v>
      </c>
      <c r="BD287" s="36">
        <f>BC287+BB287+BA287+AZ287</f>
        <v>586</v>
      </c>
      <c r="BE287" s="36">
        <v>130</v>
      </c>
      <c r="BF287" s="36">
        <v>159</v>
      </c>
      <c r="BG287" s="36">
        <v>143</v>
      </c>
      <c r="BH287" s="36">
        <v>134</v>
      </c>
      <c r="BI287" s="36">
        <f>SUM(BE287:BH287)</f>
        <v>566</v>
      </c>
      <c r="BJ287" s="36">
        <v>117</v>
      </c>
      <c r="BK287" s="36">
        <v>129</v>
      </c>
      <c r="BL287" s="36">
        <v>95</v>
      </c>
      <c r="BM287" s="36">
        <v>113</v>
      </c>
      <c r="BN287" s="36">
        <f>SUM(BJ287:BM287)</f>
        <v>454</v>
      </c>
      <c r="BO287" s="36">
        <v>108</v>
      </c>
      <c r="BP287" s="36">
        <v>95</v>
      </c>
      <c r="BQ287" s="36">
        <v>81</v>
      </c>
      <c r="BR287" s="36">
        <v>79</v>
      </c>
      <c r="BS287" s="36">
        <f>SUM(BO287:BR287)</f>
        <v>363</v>
      </c>
      <c r="BT287" s="36">
        <v>56</v>
      </c>
      <c r="BU287" s="36">
        <v>52</v>
      </c>
      <c r="BV287" s="36">
        <v>40</v>
      </c>
      <c r="BW287" s="36">
        <v>35</v>
      </c>
      <c r="BX287" s="36">
        <f>SUM(BT287:BW287)</f>
        <v>183</v>
      </c>
      <c r="BY287" s="36"/>
      <c r="BZ287" s="36"/>
      <c r="CA287" s="36"/>
      <c r="CB287" s="36"/>
      <c r="CC287" s="36"/>
      <c r="CD287" s="36"/>
      <c r="CE287" s="36"/>
      <c r="CF287" s="36"/>
      <c r="CG287" s="36"/>
      <c r="CH287" s="36"/>
      <c r="CI287" s="36"/>
      <c r="CJ287" s="36"/>
      <c r="CK287" s="36"/>
      <c r="CL287" s="36"/>
      <c r="CM287" s="36"/>
      <c r="CN287" s="36"/>
      <c r="CO287" s="36"/>
      <c r="CP287" s="36"/>
      <c r="CQ287" s="36"/>
      <c r="CR287" s="36"/>
      <c r="CS287" s="36"/>
      <c r="CT287" s="36"/>
      <c r="CU287" s="36"/>
      <c r="CV287" s="36"/>
      <c r="CW287" s="36"/>
      <c r="CX287" s="36"/>
      <c r="CY287" s="36"/>
      <c r="CZ287" s="36"/>
      <c r="DA287" s="36"/>
      <c r="DB287" s="36"/>
      <c r="DC287" s="36"/>
      <c r="DD287" s="36"/>
      <c r="DE287" s="36"/>
      <c r="DF287" s="36"/>
      <c r="DG287" s="36"/>
      <c r="DH287" s="36"/>
      <c r="DI287" s="36"/>
      <c r="DJ287" s="36"/>
      <c r="DK287" s="36"/>
      <c r="DL287" s="183"/>
      <c r="DM287" s="183"/>
      <c r="DN287" s="183"/>
      <c r="DO287" s="183"/>
      <c r="DP287" s="183"/>
    </row>
    <row r="288" spans="1:120" hidden="1" x14ac:dyDescent="0.2">
      <c r="A288" s="31" t="s">
        <v>202</v>
      </c>
      <c r="G288" s="143"/>
      <c r="H288" s="143"/>
      <c r="I288" s="143"/>
      <c r="J288" s="143"/>
      <c r="K288" s="145"/>
      <c r="L288" s="146">
        <f t="shared" ref="L288:T288" si="251">L287+L286</f>
        <v>221</v>
      </c>
      <c r="M288" s="146">
        <f t="shared" si="251"/>
        <v>247</v>
      </c>
      <c r="N288" s="146">
        <f t="shared" si="251"/>
        <v>172</v>
      </c>
      <c r="O288" s="146">
        <f t="shared" si="251"/>
        <v>161</v>
      </c>
      <c r="P288" s="145">
        <f t="shared" si="251"/>
        <v>801</v>
      </c>
      <c r="Q288" s="146">
        <f t="shared" si="251"/>
        <v>148.4</v>
      </c>
      <c r="R288" s="146">
        <f t="shared" si="251"/>
        <v>144.19999999999999</v>
      </c>
      <c r="S288" s="146">
        <f t="shared" si="251"/>
        <v>132</v>
      </c>
      <c r="T288" s="146">
        <f t="shared" si="251"/>
        <v>138</v>
      </c>
      <c r="U288" s="39">
        <f>T288+S288+R288+Q288</f>
        <v>562.6</v>
      </c>
      <c r="V288" s="146">
        <f>V287+V286</f>
        <v>170</v>
      </c>
      <c r="W288" s="146">
        <f>W287+W286</f>
        <v>182</v>
      </c>
      <c r="X288" s="146">
        <f>X287+X286</f>
        <v>185</v>
      </c>
      <c r="Y288" s="146">
        <f>Y287+Y286</f>
        <v>214</v>
      </c>
      <c r="Z288" s="39">
        <f>Y288+X288+W288+V288</f>
        <v>751</v>
      </c>
      <c r="AA288" s="146">
        <f>AA287+AA286</f>
        <v>196</v>
      </c>
      <c r="AB288" s="146">
        <f>AB287+AB286</f>
        <v>226</v>
      </c>
      <c r="AC288" s="39">
        <f>AC287+AC286</f>
        <v>206</v>
      </c>
      <c r="AD288" s="39">
        <f>AD287+AD286</f>
        <v>208</v>
      </c>
      <c r="AE288" s="39">
        <f>AD288+AC288+AB288+AA288</f>
        <v>836</v>
      </c>
      <c r="AF288" s="39">
        <f>AF287+AF286</f>
        <v>216</v>
      </c>
      <c r="AG288" s="39">
        <f>AG287+AG286</f>
        <v>234</v>
      </c>
      <c r="AH288" s="39">
        <f>AH287+AH286</f>
        <v>221</v>
      </c>
      <c r="AI288" s="39">
        <f>AI287+AI286</f>
        <v>239</v>
      </c>
      <c r="AJ288" s="39">
        <f>AI288+AH288+AG288+AF288</f>
        <v>910</v>
      </c>
      <c r="AK288" s="39">
        <f>AK287+AK286</f>
        <v>225</v>
      </c>
      <c r="AL288" s="39">
        <f>AL287+AL286</f>
        <v>229</v>
      </c>
      <c r="AM288" s="39">
        <f>AM287+AM286</f>
        <v>235</v>
      </c>
      <c r="AN288" s="39">
        <f>AN287+AN286</f>
        <v>225</v>
      </c>
      <c r="AO288" s="39">
        <f>AN288+AM288+AL288+AK288</f>
        <v>914</v>
      </c>
      <c r="AP288" s="39">
        <f>AP287+AP286</f>
        <v>216</v>
      </c>
      <c r="AQ288" s="39">
        <f>AQ287+AQ286</f>
        <v>215</v>
      </c>
      <c r="AR288" s="39">
        <f>AR287+AR286</f>
        <v>198</v>
      </c>
      <c r="AS288" s="39">
        <f>AS287+AS286</f>
        <v>216</v>
      </c>
      <c r="AT288" s="39">
        <f>AS288+AR288+AQ288+AP288</f>
        <v>845</v>
      </c>
      <c r="AU288" s="39">
        <f>AU287+AU286</f>
        <v>187</v>
      </c>
      <c r="AV288" s="39">
        <f>AV287+AV286</f>
        <v>184</v>
      </c>
      <c r="AW288" s="39">
        <f>AW287+AW286</f>
        <v>169</v>
      </c>
      <c r="AX288" s="39">
        <f>AX287+AX286</f>
        <v>198</v>
      </c>
      <c r="AY288" s="39">
        <f>AX288+AW288+AV288+AU288</f>
        <v>738</v>
      </c>
      <c r="AZ288" s="39">
        <f>AZ287+AZ286</f>
        <v>166</v>
      </c>
      <c r="BA288" s="39">
        <f>BA287+BA286</f>
        <v>154</v>
      </c>
      <c r="BB288" s="39">
        <f>BB287+BB286</f>
        <v>163</v>
      </c>
      <c r="BC288" s="39">
        <f>BC287+BC286</f>
        <v>175</v>
      </c>
      <c r="BD288" s="39">
        <f>BC288+BB288+BA288+AZ288</f>
        <v>658</v>
      </c>
      <c r="BE288" s="39">
        <f>BE286+BE287</f>
        <v>162</v>
      </c>
      <c r="BF288" s="39">
        <f>BF286+BF287</f>
        <v>183</v>
      </c>
      <c r="BG288" s="39">
        <f>BG286+BG287</f>
        <v>165</v>
      </c>
      <c r="BH288" s="39">
        <f>BH286+BH287</f>
        <v>142</v>
      </c>
      <c r="BI288" s="39">
        <f t="shared" ref="BI288:BS288" si="252">BI287+BI286</f>
        <v>652</v>
      </c>
      <c r="BJ288" s="39">
        <f t="shared" si="252"/>
        <v>126</v>
      </c>
      <c r="BK288" s="39">
        <f t="shared" si="252"/>
        <v>142</v>
      </c>
      <c r="BL288" s="39">
        <f t="shared" si="252"/>
        <v>104</v>
      </c>
      <c r="BM288" s="39">
        <f t="shared" si="252"/>
        <v>124</v>
      </c>
      <c r="BN288" s="39">
        <f t="shared" si="252"/>
        <v>496</v>
      </c>
      <c r="BO288" s="39">
        <f t="shared" si="252"/>
        <v>112</v>
      </c>
      <c r="BP288" s="39">
        <f t="shared" si="252"/>
        <v>103</v>
      </c>
      <c r="BQ288" s="39">
        <f t="shared" si="252"/>
        <v>85</v>
      </c>
      <c r="BR288" s="39">
        <f t="shared" si="252"/>
        <v>81</v>
      </c>
      <c r="BS288" s="39">
        <f t="shared" si="252"/>
        <v>381</v>
      </c>
      <c r="BT288" s="39">
        <f>BT287+BT286</f>
        <v>56</v>
      </c>
      <c r="BU288" s="39">
        <f>BU287+BU286</f>
        <v>52</v>
      </c>
      <c r="BV288" s="39">
        <f>BV287+BV286</f>
        <v>40</v>
      </c>
      <c r="BW288" s="39">
        <f>BW287+BW286</f>
        <v>34</v>
      </c>
      <c r="BX288" s="39">
        <f>BX287+BX286</f>
        <v>182</v>
      </c>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187"/>
      <c r="DM288" s="187"/>
      <c r="DN288" s="187"/>
      <c r="DO288" s="187"/>
      <c r="DP288" s="187"/>
    </row>
    <row r="289" spans="1:120" hidden="1" x14ac:dyDescent="0.2">
      <c r="A289" s="68" t="s">
        <v>54</v>
      </c>
      <c r="G289" s="143"/>
      <c r="H289" s="143"/>
      <c r="I289" s="143"/>
      <c r="J289" s="143"/>
      <c r="K289" s="147"/>
      <c r="L289" s="148"/>
      <c r="M289" s="148"/>
      <c r="N289" s="148"/>
      <c r="O289" s="148"/>
      <c r="P289" s="147"/>
      <c r="Q289" s="75">
        <f t="shared" ref="Q289:BW291" si="253">Q286/L286-1</f>
        <v>-0.49841269841269842</v>
      </c>
      <c r="R289" s="75">
        <f t="shared" si="253"/>
        <v>-0.65616438356164375</v>
      </c>
      <c r="S289" s="75">
        <f t="shared" si="253"/>
        <v>-0.42352941176470593</v>
      </c>
      <c r="T289" s="75">
        <f t="shared" si="253"/>
        <v>-0.44736842105263153</v>
      </c>
      <c r="U289" s="75">
        <f t="shared" si="253"/>
        <v>-0.52794457274826789</v>
      </c>
      <c r="V289" s="75">
        <f t="shared" si="253"/>
        <v>-0.17721518987341778</v>
      </c>
      <c r="W289" s="75">
        <f t="shared" si="253"/>
        <v>-0.24302788844621515</v>
      </c>
      <c r="X289" s="75">
        <f t="shared" si="253"/>
        <v>-0.1428571428571429</v>
      </c>
      <c r="Y289" s="75">
        <f t="shared" si="253"/>
        <v>0.23809523809523814</v>
      </c>
      <c r="Z289" s="75">
        <f t="shared" si="253"/>
        <v>-9.9804305283757278E-2</v>
      </c>
      <c r="AA289" s="75">
        <f t="shared" si="253"/>
        <v>-0.17307692307692313</v>
      </c>
      <c r="AB289" s="75">
        <f t="shared" si="253"/>
        <v>0.5</v>
      </c>
      <c r="AC289" s="75">
        <f t="shared" si="253"/>
        <v>0.21428571428571419</v>
      </c>
      <c r="AD289" s="75">
        <f t="shared" si="253"/>
        <v>-5.7692307692307709E-2</v>
      </c>
      <c r="AE289" s="75">
        <f t="shared" si="253"/>
        <v>8.6956521739130377E-2</v>
      </c>
      <c r="AF289" s="75">
        <f t="shared" si="253"/>
        <v>0.11627906976744184</v>
      </c>
      <c r="AG289" s="75">
        <f t="shared" si="253"/>
        <v>-0.19298245614035092</v>
      </c>
      <c r="AH289" s="75">
        <f t="shared" si="253"/>
        <v>-9.8039215686274495E-2</v>
      </c>
      <c r="AI289" s="75">
        <f t="shared" si="253"/>
        <v>-0.1428571428571429</v>
      </c>
      <c r="AJ289" s="75">
        <f t="shared" si="253"/>
        <v>-8.9999999999999969E-2</v>
      </c>
      <c r="AK289" s="75">
        <f t="shared" si="253"/>
        <v>-0.1875</v>
      </c>
      <c r="AL289" s="75">
        <f t="shared" si="253"/>
        <v>-0.13043478260869568</v>
      </c>
      <c r="AM289" s="75">
        <f t="shared" si="253"/>
        <v>-0.13043478260869568</v>
      </c>
      <c r="AN289" s="75">
        <f t="shared" si="253"/>
        <v>-0.19047619047619047</v>
      </c>
      <c r="AO289" s="75">
        <f t="shared" si="253"/>
        <v>-0.15934065934065933</v>
      </c>
      <c r="AP289" s="75">
        <f t="shared" si="253"/>
        <v>-0.25641025641025639</v>
      </c>
      <c r="AQ289" s="75">
        <f t="shared" si="253"/>
        <v>-0.25</v>
      </c>
      <c r="AR289" s="75">
        <f t="shared" si="253"/>
        <v>-0.30000000000000004</v>
      </c>
      <c r="AS289" s="75">
        <f t="shared" si="253"/>
        <v>-0.32352941176470584</v>
      </c>
      <c r="AT289" s="75">
        <f t="shared" si="253"/>
        <v>-0.28104575163398693</v>
      </c>
      <c r="AU289" s="75">
        <f t="shared" si="253"/>
        <v>-0.10344827586206895</v>
      </c>
      <c r="AV289" s="75">
        <f t="shared" si="253"/>
        <v>-0.16666666666666663</v>
      </c>
      <c r="AW289" s="75">
        <f t="shared" si="253"/>
        <v>-0.5714285714285714</v>
      </c>
      <c r="AX289" s="75">
        <f t="shared" si="253"/>
        <v>0.52173913043478271</v>
      </c>
      <c r="AY289" s="75">
        <f t="shared" si="253"/>
        <v>-0.10909090909090913</v>
      </c>
      <c r="AZ289" s="75">
        <f t="shared" si="253"/>
        <v>-0.30769230769230771</v>
      </c>
      <c r="BA289" s="75">
        <f t="shared" si="253"/>
        <v>-0.6</v>
      </c>
      <c r="BB289" s="75">
        <f t="shared" si="253"/>
        <v>0.58333333333333326</v>
      </c>
      <c r="BC289" s="75">
        <f t="shared" si="253"/>
        <v>-0.2857142857142857</v>
      </c>
      <c r="BD289" s="75">
        <f t="shared" si="253"/>
        <v>-0.26530612244897955</v>
      </c>
      <c r="BE289" s="76">
        <f t="shared" si="253"/>
        <v>0.77777777777777768</v>
      </c>
      <c r="BF289" s="76">
        <f t="shared" si="253"/>
        <v>1.4</v>
      </c>
      <c r="BG289" s="76">
        <f t="shared" si="253"/>
        <v>0.15789473684210531</v>
      </c>
      <c r="BH289" s="76">
        <f t="shared" si="253"/>
        <v>-0.67999999999999994</v>
      </c>
      <c r="BI289" s="90">
        <f t="shared" si="253"/>
        <v>0.19444444444444442</v>
      </c>
      <c r="BJ289" s="76">
        <f t="shared" si="253"/>
        <v>-0.71875</v>
      </c>
      <c r="BK289" s="76">
        <f t="shared" si="253"/>
        <v>-0.45833333333333337</v>
      </c>
      <c r="BL289" s="76">
        <f t="shared" si="253"/>
        <v>-0.59090909090909083</v>
      </c>
      <c r="BM289" s="76">
        <f t="shared" si="253"/>
        <v>0.375</v>
      </c>
      <c r="BN289" s="90">
        <f>BN286/BI286-1</f>
        <v>-0.51162790697674421</v>
      </c>
      <c r="BO289" s="76">
        <f t="shared" si="253"/>
        <v>-0.55555555555555558</v>
      </c>
      <c r="BP289" s="76">
        <f t="shared" si="253"/>
        <v>-0.38461538461538458</v>
      </c>
      <c r="BQ289" s="76">
        <f t="shared" si="253"/>
        <v>-0.55555555555555558</v>
      </c>
      <c r="BR289" s="76">
        <f t="shared" si="253"/>
        <v>-0.81818181818181812</v>
      </c>
      <c r="BS289" s="90">
        <f t="shared" si="253"/>
        <v>-0.5714285714285714</v>
      </c>
      <c r="BT289" s="76">
        <f t="shared" si="253"/>
        <v>-1</v>
      </c>
      <c r="BU289" s="76">
        <f t="shared" si="253"/>
        <v>-1</v>
      </c>
      <c r="BV289" s="76">
        <f t="shared" si="253"/>
        <v>-1</v>
      </c>
      <c r="BW289" s="76">
        <f t="shared" si="253"/>
        <v>-1.5</v>
      </c>
      <c r="BX289" s="90">
        <f>BX286/BS286-1</f>
        <v>-1.0555555555555556</v>
      </c>
      <c r="BY289" s="90"/>
      <c r="BZ289" s="90"/>
      <c r="CA289" s="90"/>
      <c r="CB289" s="90"/>
      <c r="CC289" s="90"/>
      <c r="CD289" s="90"/>
      <c r="CE289" s="90"/>
      <c r="CF289" s="90"/>
      <c r="CG289" s="90"/>
      <c r="CH289" s="90"/>
      <c r="CI289" s="90"/>
      <c r="CJ289" s="90"/>
      <c r="CK289" s="90"/>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188"/>
      <c r="DM289" s="188"/>
      <c r="DN289" s="188"/>
      <c r="DO289" s="188"/>
      <c r="DP289" s="188"/>
    </row>
    <row r="290" spans="1:120" hidden="1" x14ac:dyDescent="0.2">
      <c r="A290" s="68" t="s">
        <v>55</v>
      </c>
      <c r="G290" s="143"/>
      <c r="H290" s="143"/>
      <c r="I290" s="143"/>
      <c r="J290" s="143"/>
      <c r="K290" s="147"/>
      <c r="L290" s="148"/>
      <c r="M290" s="148"/>
      <c r="N290" s="148"/>
      <c r="O290" s="148"/>
      <c r="P290" s="147"/>
      <c r="Q290" s="75">
        <f t="shared" si="253"/>
        <v>-0.10315789473684212</v>
      </c>
      <c r="R290" s="75">
        <f t="shared" si="253"/>
        <v>-6.9306930693069257E-2</v>
      </c>
      <c r="S290" s="75">
        <f t="shared" si="253"/>
        <v>-4.5977011494252928E-2</v>
      </c>
      <c r="T290" s="75">
        <f t="shared" si="253"/>
        <v>0.12941176470588234</v>
      </c>
      <c r="U290" s="75">
        <f t="shared" si="253"/>
        <v>-2.6630434782608736E-2</v>
      </c>
      <c r="V290" s="75">
        <f t="shared" si="253"/>
        <v>0.38497652582159625</v>
      </c>
      <c r="W290" s="75">
        <f t="shared" si="253"/>
        <v>0.53191489361702127</v>
      </c>
      <c r="X290" s="75">
        <f t="shared" si="253"/>
        <v>0.72289156626506035</v>
      </c>
      <c r="Y290" s="75">
        <f t="shared" si="253"/>
        <v>0.6875</v>
      </c>
      <c r="Z290" s="75">
        <f t="shared" si="253"/>
        <v>0.58291457286432169</v>
      </c>
      <c r="AA290" s="75">
        <f t="shared" si="253"/>
        <v>0.29661016949152552</v>
      </c>
      <c r="AB290" s="75">
        <f t="shared" si="253"/>
        <v>0.17361111111111116</v>
      </c>
      <c r="AC290" s="75">
        <f t="shared" si="253"/>
        <v>8.3916083916083961E-2</v>
      </c>
      <c r="AD290" s="75">
        <f t="shared" si="253"/>
        <v>-1.851851851851849E-2</v>
      </c>
      <c r="AE290" s="75">
        <f t="shared" si="253"/>
        <v>0.12169312169312163</v>
      </c>
      <c r="AF290" s="75">
        <f t="shared" si="253"/>
        <v>9.8039215686274606E-2</v>
      </c>
      <c r="AG290" s="75">
        <f t="shared" si="253"/>
        <v>0.11242603550295849</v>
      </c>
      <c r="AH290" s="75">
        <f t="shared" si="253"/>
        <v>0.12903225806451624</v>
      </c>
      <c r="AI290" s="75">
        <f t="shared" si="253"/>
        <v>0.23899371069182385</v>
      </c>
      <c r="AJ290" s="75">
        <f t="shared" si="253"/>
        <v>0.14465408805031443</v>
      </c>
      <c r="AK290" s="75">
        <f t="shared" si="253"/>
        <v>0.10714285714285721</v>
      </c>
      <c r="AL290" s="75">
        <f t="shared" si="253"/>
        <v>5.3191489361701372E-3</v>
      </c>
      <c r="AM290" s="75">
        <f t="shared" si="253"/>
        <v>0.11428571428571432</v>
      </c>
      <c r="AN290" s="75">
        <f t="shared" si="253"/>
        <v>-3.0456852791878153E-2</v>
      </c>
      <c r="AO290" s="75">
        <f t="shared" si="253"/>
        <v>4.5329670329670391E-2</v>
      </c>
      <c r="AP290" s="75">
        <f t="shared" si="253"/>
        <v>5.3763440860215006E-3</v>
      </c>
      <c r="AQ290" s="75">
        <f t="shared" si="253"/>
        <v>-2.1164021164021163E-2</v>
      </c>
      <c r="AR290" s="75">
        <f t="shared" si="253"/>
        <v>-0.12820512820512819</v>
      </c>
      <c r="AS290" s="75">
        <f t="shared" si="253"/>
        <v>1.0471204188481575E-2</v>
      </c>
      <c r="AT290" s="75">
        <f t="shared" si="253"/>
        <v>-3.4165571616294299E-2</v>
      </c>
      <c r="AU290" s="75">
        <f t="shared" si="253"/>
        <v>-0.13903743315508021</v>
      </c>
      <c r="AV290" s="75">
        <f t="shared" si="253"/>
        <v>-0.14054054054054055</v>
      </c>
      <c r="AW290" s="75">
        <f t="shared" si="253"/>
        <v>-7.6470588235294068E-2</v>
      </c>
      <c r="AX290" s="75">
        <f t="shared" si="253"/>
        <v>-0.15544041450777202</v>
      </c>
      <c r="AY290" s="75">
        <f t="shared" si="253"/>
        <v>-0.12925170068027214</v>
      </c>
      <c r="AZ290" s="75">
        <f t="shared" si="253"/>
        <v>-8.0745341614906874E-2</v>
      </c>
      <c r="BA290" s="75">
        <f t="shared" si="253"/>
        <v>-9.4339622641509413E-2</v>
      </c>
      <c r="BB290" s="75">
        <f t="shared" si="253"/>
        <v>-8.2802547770700619E-2</v>
      </c>
      <c r="BC290" s="75">
        <f t="shared" si="253"/>
        <v>-7.9754601226993849E-2</v>
      </c>
      <c r="BD290" s="75">
        <f t="shared" si="253"/>
        <v>-8.4374999999999978E-2</v>
      </c>
      <c r="BE290" s="76">
        <f t="shared" si="253"/>
        <v>-0.1216216216216216</v>
      </c>
      <c r="BF290" s="76">
        <f t="shared" si="253"/>
        <v>0.10416666666666674</v>
      </c>
      <c r="BG290" s="76">
        <f t="shared" si="253"/>
        <v>-6.9444444444444198E-3</v>
      </c>
      <c r="BH290" s="76">
        <f t="shared" si="253"/>
        <v>-0.10666666666666669</v>
      </c>
      <c r="BI290" s="90">
        <f t="shared" si="253"/>
        <v>-3.4129692832764458E-2</v>
      </c>
      <c r="BJ290" s="76">
        <f t="shared" si="253"/>
        <v>-9.9999999999999978E-2</v>
      </c>
      <c r="BK290" s="76">
        <f t="shared" si="253"/>
        <v>-0.18867924528301883</v>
      </c>
      <c r="BL290" s="76">
        <f t="shared" si="253"/>
        <v>-0.33566433566433562</v>
      </c>
      <c r="BM290" s="76">
        <f t="shared" si="253"/>
        <v>-0.15671641791044777</v>
      </c>
      <c r="BN290" s="90">
        <f>BN287/BI287-1</f>
        <v>-0.19787985865724378</v>
      </c>
      <c r="BO290" s="76">
        <f t="shared" si="253"/>
        <v>-7.6923076923076872E-2</v>
      </c>
      <c r="BP290" s="76">
        <f t="shared" si="253"/>
        <v>-0.26356589147286824</v>
      </c>
      <c r="BQ290" s="76">
        <f t="shared" si="253"/>
        <v>-0.14736842105263159</v>
      </c>
      <c r="BR290" s="76">
        <f t="shared" si="253"/>
        <v>-0.30088495575221241</v>
      </c>
      <c r="BS290" s="90">
        <f t="shared" si="253"/>
        <v>-0.20044052863436124</v>
      </c>
      <c r="BT290" s="76">
        <f t="shared" si="253"/>
        <v>-0.48148148148148151</v>
      </c>
      <c r="BU290" s="76">
        <f t="shared" si="253"/>
        <v>-0.45263157894736838</v>
      </c>
      <c r="BV290" s="76">
        <f t="shared" si="253"/>
        <v>-0.50617283950617287</v>
      </c>
      <c r="BW290" s="76">
        <f t="shared" si="253"/>
        <v>-0.55696202531645578</v>
      </c>
      <c r="BX290" s="90">
        <f>BX287/BS287-1</f>
        <v>-0.49586776859504134</v>
      </c>
      <c r="BY290" s="90"/>
      <c r="BZ290" s="90"/>
      <c r="CA290" s="90"/>
      <c r="CB290" s="90"/>
      <c r="CC290" s="90"/>
      <c r="CD290" s="90"/>
      <c r="CE290" s="90"/>
      <c r="CF290" s="90"/>
      <c r="CG290" s="90"/>
      <c r="CH290" s="90"/>
      <c r="CI290" s="90"/>
      <c r="CJ290" s="90"/>
      <c r="CK290" s="90"/>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188"/>
      <c r="DM290" s="188"/>
      <c r="DN290" s="188"/>
      <c r="DO290" s="188"/>
      <c r="DP290" s="188"/>
    </row>
    <row r="291" spans="1:120" hidden="1" x14ac:dyDescent="0.2">
      <c r="A291" s="78" t="s">
        <v>56</v>
      </c>
      <c r="F291" s="98"/>
      <c r="G291" s="149"/>
      <c r="H291" s="149"/>
      <c r="I291" s="149"/>
      <c r="J291" s="149"/>
      <c r="K291" s="150"/>
      <c r="L291" s="151"/>
      <c r="M291" s="151"/>
      <c r="N291" s="151"/>
      <c r="O291" s="151"/>
      <c r="P291" s="150"/>
      <c r="Q291" s="83">
        <f t="shared" si="253"/>
        <v>-0.32850678733031669</v>
      </c>
      <c r="R291" s="83">
        <f t="shared" si="253"/>
        <v>-0.41619433198380573</v>
      </c>
      <c r="S291" s="83">
        <f t="shared" si="253"/>
        <v>-0.23255813953488369</v>
      </c>
      <c r="T291" s="83">
        <f t="shared" si="253"/>
        <v>-0.1428571428571429</v>
      </c>
      <c r="U291" s="83">
        <f t="shared" si="253"/>
        <v>-0.29762796504369537</v>
      </c>
      <c r="V291" s="83">
        <f t="shared" si="253"/>
        <v>0.14555256064690014</v>
      </c>
      <c r="W291" s="83">
        <f t="shared" si="253"/>
        <v>0.26213592233009719</v>
      </c>
      <c r="X291" s="83">
        <f t="shared" si="253"/>
        <v>0.4015151515151516</v>
      </c>
      <c r="Y291" s="83">
        <f t="shared" si="253"/>
        <v>0.55072463768115942</v>
      </c>
      <c r="Z291" s="83">
        <f t="shared" si="253"/>
        <v>0.33487380021329538</v>
      </c>
      <c r="AA291" s="83">
        <f t="shared" si="253"/>
        <v>0.15294117647058814</v>
      </c>
      <c r="AB291" s="83">
        <f t="shared" si="253"/>
        <v>0.24175824175824179</v>
      </c>
      <c r="AC291" s="83">
        <f t="shared" si="253"/>
        <v>0.11351351351351346</v>
      </c>
      <c r="AD291" s="83">
        <f t="shared" si="253"/>
        <v>-2.8037383177570097E-2</v>
      </c>
      <c r="AE291" s="83">
        <f t="shared" si="253"/>
        <v>0.11318242343541951</v>
      </c>
      <c r="AF291" s="83">
        <f t="shared" si="253"/>
        <v>0.1020408163265305</v>
      </c>
      <c r="AG291" s="83">
        <f t="shared" si="253"/>
        <v>3.539823008849563E-2</v>
      </c>
      <c r="AH291" s="83">
        <f t="shared" si="253"/>
        <v>7.2815533980582492E-2</v>
      </c>
      <c r="AI291" s="83">
        <f t="shared" si="253"/>
        <v>0.14903846153846145</v>
      </c>
      <c r="AJ291" s="83">
        <f t="shared" si="253"/>
        <v>8.8516746411483327E-2</v>
      </c>
      <c r="AK291" s="83">
        <f t="shared" si="253"/>
        <v>4.1666666666666741E-2</v>
      </c>
      <c r="AL291" s="83">
        <f t="shared" si="253"/>
        <v>-2.1367521367521403E-2</v>
      </c>
      <c r="AM291" s="83">
        <f t="shared" si="253"/>
        <v>6.3348416289592757E-2</v>
      </c>
      <c r="AN291" s="83">
        <f t="shared" si="253"/>
        <v>-5.8577405857740628E-2</v>
      </c>
      <c r="AO291" s="83">
        <f t="shared" si="253"/>
        <v>4.39560439560438E-3</v>
      </c>
      <c r="AP291" s="83">
        <f t="shared" si="253"/>
        <v>-4.0000000000000036E-2</v>
      </c>
      <c r="AQ291" s="83">
        <f t="shared" si="253"/>
        <v>-6.1135371179039333E-2</v>
      </c>
      <c r="AR291" s="83">
        <f t="shared" si="253"/>
        <v>-0.1574468085106383</v>
      </c>
      <c r="AS291" s="83">
        <f t="shared" si="253"/>
        <v>-4.0000000000000036E-2</v>
      </c>
      <c r="AT291" s="83">
        <f t="shared" si="253"/>
        <v>-7.5492341356673931E-2</v>
      </c>
      <c r="AU291" s="83">
        <f t="shared" si="253"/>
        <v>-0.1342592592592593</v>
      </c>
      <c r="AV291" s="83">
        <f t="shared" si="253"/>
        <v>-0.14418604651162792</v>
      </c>
      <c r="AW291" s="83">
        <f t="shared" si="253"/>
        <v>-0.14646464646464652</v>
      </c>
      <c r="AX291" s="83">
        <f t="shared" si="253"/>
        <v>-8.333333333333337E-2</v>
      </c>
      <c r="AY291" s="83">
        <f t="shared" si="253"/>
        <v>-0.12662721893491125</v>
      </c>
      <c r="AZ291" s="83">
        <f t="shared" si="253"/>
        <v>-0.11229946524064172</v>
      </c>
      <c r="BA291" s="83">
        <f t="shared" si="253"/>
        <v>-0.16304347826086951</v>
      </c>
      <c r="BB291" s="83">
        <f t="shared" si="253"/>
        <v>-3.5502958579881616E-2</v>
      </c>
      <c r="BC291" s="83">
        <f t="shared" si="253"/>
        <v>-0.11616161616161613</v>
      </c>
      <c r="BD291" s="83">
        <f t="shared" si="253"/>
        <v>-0.10840108401084014</v>
      </c>
      <c r="BE291" s="80">
        <f t="shared" si="253"/>
        <v>-2.4096385542168641E-2</v>
      </c>
      <c r="BF291" s="80">
        <f t="shared" si="253"/>
        <v>0.18831168831168821</v>
      </c>
      <c r="BG291" s="80">
        <f>BG288/BB288-1</f>
        <v>1.2269938650306678E-2</v>
      </c>
      <c r="BH291" s="80">
        <f>BH288/BC288-1</f>
        <v>-0.18857142857142861</v>
      </c>
      <c r="BI291" s="80">
        <f t="shared" si="253"/>
        <v>-9.1185410334346795E-3</v>
      </c>
      <c r="BJ291" s="80">
        <f t="shared" si="253"/>
        <v>-0.22222222222222221</v>
      </c>
      <c r="BK291" s="91">
        <f>BK288/BF288-1</f>
        <v>-0.22404371584699456</v>
      </c>
      <c r="BL291" s="91">
        <f>BL288/BG288-1</f>
        <v>-0.36969696969696975</v>
      </c>
      <c r="BM291" s="91">
        <f>BM288/BH288-1</f>
        <v>-0.12676056338028174</v>
      </c>
      <c r="BN291" s="80">
        <f>BN288/BI288-1</f>
        <v>-0.23926380368098155</v>
      </c>
      <c r="BO291" s="80">
        <f>BO288/BJ288-1</f>
        <v>-0.11111111111111116</v>
      </c>
      <c r="BP291" s="91">
        <f>BP288/BK288-1</f>
        <v>-0.27464788732394363</v>
      </c>
      <c r="BQ291" s="91">
        <f>BQ288/BL288-1</f>
        <v>-0.18269230769230771</v>
      </c>
      <c r="BR291" s="91">
        <f>BR288/BM288-1</f>
        <v>-0.34677419354838712</v>
      </c>
      <c r="BS291" s="99">
        <f t="shared" si="253"/>
        <v>-0.23185483870967738</v>
      </c>
      <c r="BT291" s="80">
        <f t="shared" si="253"/>
        <v>-0.5</v>
      </c>
      <c r="BU291" s="80">
        <f t="shared" si="253"/>
        <v>-0.49514563106796117</v>
      </c>
      <c r="BV291" s="91">
        <f>BV288/BQ288-1</f>
        <v>-0.52941176470588236</v>
      </c>
      <c r="BW291" s="91">
        <f>BW288/BR288-1</f>
        <v>-0.58024691358024694</v>
      </c>
      <c r="BX291" s="99">
        <f>BX288/BS288-1</f>
        <v>-0.52230971128608927</v>
      </c>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199"/>
      <c r="DM291" s="199"/>
      <c r="DN291" s="199"/>
      <c r="DO291" s="199"/>
      <c r="DP291" s="199"/>
    </row>
    <row r="292" spans="1:120" hidden="1" x14ac:dyDescent="0.2">
      <c r="A292" s="36" t="s">
        <v>203</v>
      </c>
      <c r="G292" s="75"/>
      <c r="H292" s="75"/>
      <c r="I292" s="75"/>
      <c r="J292" s="75"/>
      <c r="K292" s="75"/>
      <c r="L292" s="75"/>
      <c r="M292" s="75"/>
      <c r="N292" s="75"/>
      <c r="O292" s="90"/>
      <c r="P292" s="75"/>
      <c r="Q292" s="90"/>
      <c r="R292" s="90"/>
      <c r="S292" s="152"/>
      <c r="T292" s="152">
        <v>44</v>
      </c>
      <c r="U292" s="153">
        <f>T292+S292</f>
        <v>44</v>
      </c>
      <c r="V292" s="152">
        <v>73</v>
      </c>
      <c r="W292" s="152">
        <v>46</v>
      </c>
      <c r="X292" s="152">
        <v>41</v>
      </c>
      <c r="Y292" s="152">
        <v>68</v>
      </c>
      <c r="Z292" s="153">
        <f>Y292+X292+W292+V292</f>
        <v>228</v>
      </c>
      <c r="AA292" s="153">
        <v>80</v>
      </c>
      <c r="AB292" s="153">
        <v>58</v>
      </c>
      <c r="AC292" s="153">
        <v>63</v>
      </c>
      <c r="AD292" s="153">
        <v>103</v>
      </c>
      <c r="AE292" s="153">
        <f>AD292+AC292+AB292+AA292</f>
        <v>304</v>
      </c>
      <c r="AF292" s="153">
        <v>115</v>
      </c>
      <c r="AG292" s="153">
        <v>75</v>
      </c>
      <c r="AH292" s="153">
        <v>78</v>
      </c>
      <c r="AI292" s="153">
        <v>115</v>
      </c>
      <c r="AJ292" s="153">
        <f>AI292+AH292+AG292+AF292</f>
        <v>383</v>
      </c>
      <c r="AK292" s="153">
        <v>142</v>
      </c>
      <c r="AL292" s="153">
        <v>67</v>
      </c>
      <c r="AM292" s="153">
        <v>65</v>
      </c>
      <c r="AN292" s="153">
        <v>102</v>
      </c>
      <c r="AO292" s="153">
        <f>AN292+AM292+AL292+AK292</f>
        <v>376</v>
      </c>
      <c r="AP292" s="153">
        <v>109</v>
      </c>
      <c r="AQ292" s="153">
        <v>71</v>
      </c>
      <c r="AR292" s="153">
        <v>70</v>
      </c>
      <c r="AS292" s="153">
        <v>115</v>
      </c>
      <c r="AT292" s="153">
        <f>AS292+AR292+AQ292+AP292</f>
        <v>365</v>
      </c>
      <c r="AU292" s="153">
        <v>101</v>
      </c>
      <c r="AV292" s="153">
        <v>55</v>
      </c>
      <c r="AW292" s="153">
        <v>54</v>
      </c>
      <c r="AX292" s="153">
        <v>86</v>
      </c>
      <c r="AY292" s="153">
        <f>AX292+AW292+AV292+AU292</f>
        <v>296</v>
      </c>
      <c r="AZ292" s="153">
        <v>97</v>
      </c>
      <c r="BA292" s="153">
        <v>55</v>
      </c>
      <c r="BB292" s="153">
        <v>49</v>
      </c>
      <c r="BC292" s="153">
        <v>86</v>
      </c>
      <c r="BD292" s="153">
        <f>BC292+BB292+BA292+AZ292</f>
        <v>287</v>
      </c>
      <c r="BE292" s="36">
        <v>70</v>
      </c>
      <c r="BF292" s="36">
        <v>42</v>
      </c>
      <c r="BG292" s="36">
        <v>27</v>
      </c>
      <c r="BH292" s="36">
        <v>52</v>
      </c>
      <c r="BI292" s="36">
        <f>SUM(BE292:BH292)</f>
        <v>191</v>
      </c>
      <c r="BJ292" s="36">
        <v>33</v>
      </c>
      <c r="BK292" s="36">
        <v>27</v>
      </c>
      <c r="BL292" s="36">
        <v>34</v>
      </c>
      <c r="BM292" s="36">
        <v>35</v>
      </c>
      <c r="BN292" s="36">
        <f>SUM(BJ292:BM292)</f>
        <v>129</v>
      </c>
      <c r="BO292" s="36">
        <v>0</v>
      </c>
      <c r="BP292" s="36"/>
      <c r="BQ292" s="36"/>
      <c r="BR292" s="36"/>
      <c r="BS292" s="152"/>
      <c r="BT292" s="36"/>
      <c r="BU292" s="36"/>
      <c r="BV292" s="36"/>
      <c r="BW292" s="36"/>
      <c r="BX292" s="152"/>
      <c r="BY292" s="152"/>
      <c r="BZ292" s="152"/>
      <c r="CA292" s="152"/>
      <c r="CB292" s="152"/>
      <c r="CC292" s="152"/>
      <c r="CD292" s="152"/>
      <c r="CE292" s="152"/>
      <c r="CF292" s="152"/>
      <c r="CG292" s="152"/>
      <c r="CH292" s="152"/>
      <c r="CI292" s="152"/>
      <c r="CJ292" s="152"/>
      <c r="CK292" s="152"/>
      <c r="CL292" s="152"/>
      <c r="CM292" s="152"/>
      <c r="CN292" s="152"/>
      <c r="CO292" s="152"/>
      <c r="CP292" s="152"/>
      <c r="CQ292" s="152"/>
      <c r="CR292" s="152"/>
      <c r="CS292" s="152"/>
      <c r="CT292" s="152"/>
      <c r="CU292" s="152"/>
      <c r="CV292" s="152"/>
      <c r="CW292" s="152"/>
      <c r="CX292" s="152"/>
      <c r="CY292" s="152"/>
      <c r="CZ292" s="152"/>
      <c r="DA292" s="152"/>
      <c r="DB292" s="152"/>
      <c r="DC292" s="152"/>
      <c r="DD292" s="152"/>
      <c r="DE292" s="152"/>
      <c r="DF292" s="152"/>
      <c r="DG292" s="152"/>
      <c r="DH292" s="152"/>
      <c r="DI292" s="152"/>
      <c r="DJ292" s="152"/>
      <c r="DK292" s="152"/>
      <c r="DL292" s="207"/>
      <c r="DM292" s="207"/>
      <c r="DN292" s="207"/>
      <c r="DO292" s="207"/>
      <c r="DP292" s="207"/>
    </row>
    <row r="293" spans="1:120" hidden="1" x14ac:dyDescent="0.2">
      <c r="A293" s="36" t="s">
        <v>204</v>
      </c>
      <c r="G293" s="75"/>
      <c r="H293" s="75"/>
      <c r="I293" s="75"/>
      <c r="J293" s="75"/>
      <c r="K293" s="75"/>
      <c r="L293" s="75"/>
      <c r="M293" s="75"/>
      <c r="N293" s="75"/>
      <c r="O293" s="90"/>
      <c r="P293" s="75"/>
      <c r="Q293" s="90"/>
      <c r="R293" s="90"/>
      <c r="S293" s="152"/>
      <c r="T293" s="152"/>
      <c r="U293" s="153"/>
      <c r="V293" s="152"/>
      <c r="W293" s="152"/>
      <c r="X293" s="152"/>
      <c r="Y293" s="152"/>
      <c r="Z293" s="153"/>
      <c r="AA293" s="153"/>
      <c r="AB293" s="153"/>
      <c r="AC293" s="153"/>
      <c r="AD293" s="153"/>
      <c r="AE293" s="153"/>
      <c r="AF293" s="153"/>
      <c r="AG293" s="153"/>
      <c r="AH293" s="153"/>
      <c r="AI293" s="153"/>
      <c r="AJ293" s="153"/>
      <c r="AK293" s="153"/>
      <c r="AL293" s="153"/>
      <c r="AM293" s="153"/>
      <c r="AN293" s="153"/>
      <c r="AO293" s="153"/>
      <c r="AP293" s="153"/>
      <c r="AQ293" s="153"/>
      <c r="AR293" s="153"/>
      <c r="AS293" s="153"/>
      <c r="AT293" s="153"/>
      <c r="AU293" s="153">
        <v>4</v>
      </c>
      <c r="AV293" s="153">
        <v>5</v>
      </c>
      <c r="AW293" s="153">
        <v>5</v>
      </c>
      <c r="AX293" s="153">
        <v>6</v>
      </c>
      <c r="AY293" s="153">
        <f>AX293+AW293+AV293+AU293</f>
        <v>20</v>
      </c>
      <c r="AZ293" s="153">
        <v>10</v>
      </c>
      <c r="BA293" s="153">
        <v>6</v>
      </c>
      <c r="BB293" s="153">
        <v>10</v>
      </c>
      <c r="BC293" s="153">
        <v>9</v>
      </c>
      <c r="BD293" s="153">
        <f>BC293+BB293+BA293+AZ293</f>
        <v>35</v>
      </c>
      <c r="BE293" s="36">
        <v>3</v>
      </c>
      <c r="BF293" s="36">
        <v>2</v>
      </c>
      <c r="BG293" s="36">
        <v>2</v>
      </c>
      <c r="BH293" s="36">
        <v>3</v>
      </c>
      <c r="BI293" s="36">
        <f>SUM(BE293:BH293)</f>
        <v>10</v>
      </c>
      <c r="BJ293" s="36">
        <v>2</v>
      </c>
      <c r="BK293" s="36">
        <v>2</v>
      </c>
      <c r="BL293" s="36">
        <v>3</v>
      </c>
      <c r="BM293" s="36">
        <v>2</v>
      </c>
      <c r="BN293" s="36">
        <f>SUM(BJ293:BM293)</f>
        <v>9</v>
      </c>
      <c r="BO293" s="36">
        <v>0</v>
      </c>
      <c r="BP293" s="36"/>
      <c r="BQ293" s="36"/>
      <c r="BR293" s="36"/>
      <c r="BS293" s="152"/>
      <c r="BT293" s="36"/>
      <c r="BU293" s="36"/>
      <c r="BV293" s="36"/>
      <c r="BW293" s="36"/>
      <c r="BX293" s="152"/>
      <c r="BY293" s="152"/>
      <c r="BZ293" s="152"/>
      <c r="CA293" s="152"/>
      <c r="CB293" s="152"/>
      <c r="CC293" s="152"/>
      <c r="CD293" s="152"/>
      <c r="CE293" s="152"/>
      <c r="CF293" s="152"/>
      <c r="CG293" s="152"/>
      <c r="CH293" s="152"/>
      <c r="CI293" s="152"/>
      <c r="CJ293" s="152"/>
      <c r="CK293" s="152"/>
      <c r="CL293" s="152"/>
      <c r="CM293" s="152"/>
      <c r="CN293" s="152"/>
      <c r="CO293" s="152"/>
      <c r="CP293" s="152"/>
      <c r="CQ293" s="152"/>
      <c r="CR293" s="152"/>
      <c r="CS293" s="152"/>
      <c r="CT293" s="152"/>
      <c r="CU293" s="152"/>
      <c r="CV293" s="152"/>
      <c r="CW293" s="152"/>
      <c r="CX293" s="152"/>
      <c r="CY293" s="152"/>
      <c r="CZ293" s="152"/>
      <c r="DA293" s="152"/>
      <c r="DB293" s="152"/>
      <c r="DC293" s="152"/>
      <c r="DD293" s="152"/>
      <c r="DE293" s="152"/>
      <c r="DF293" s="152"/>
      <c r="DG293" s="152"/>
      <c r="DH293" s="152"/>
      <c r="DI293" s="152"/>
      <c r="DJ293" s="152"/>
      <c r="DK293" s="152"/>
      <c r="DL293" s="207"/>
      <c r="DM293" s="207"/>
      <c r="DN293" s="207"/>
      <c r="DO293" s="207"/>
      <c r="DP293" s="207"/>
    </row>
    <row r="294" spans="1:120" hidden="1" x14ac:dyDescent="0.2">
      <c r="A294" s="39" t="s">
        <v>205</v>
      </c>
      <c r="G294" s="67"/>
      <c r="H294" s="67"/>
      <c r="I294" s="67"/>
      <c r="J294" s="67"/>
      <c r="K294" s="67"/>
      <c r="L294" s="67"/>
      <c r="M294" s="67"/>
      <c r="N294" s="67"/>
      <c r="O294" s="92"/>
      <c r="P294" s="67"/>
      <c r="Q294" s="92"/>
      <c r="R294" s="92"/>
      <c r="S294" s="154"/>
      <c r="T294" s="154"/>
      <c r="U294" s="155"/>
      <c r="V294" s="154"/>
      <c r="W294" s="154"/>
      <c r="X294" s="154"/>
      <c r="Y294" s="154"/>
      <c r="Z294" s="155"/>
      <c r="AA294" s="155"/>
      <c r="AB294" s="155"/>
      <c r="AC294" s="155"/>
      <c r="AD294" s="155"/>
      <c r="AE294" s="155"/>
      <c r="AF294" s="155"/>
      <c r="AG294" s="155"/>
      <c r="AH294" s="155"/>
      <c r="AI294" s="155"/>
      <c r="AJ294" s="155"/>
      <c r="AK294" s="155"/>
      <c r="AL294" s="155"/>
      <c r="AM294" s="155"/>
      <c r="AN294" s="155"/>
      <c r="AO294" s="155"/>
      <c r="AP294" s="155"/>
      <c r="AQ294" s="155"/>
      <c r="AR294" s="155"/>
      <c r="AS294" s="155"/>
      <c r="AT294" s="155"/>
      <c r="AU294" s="155">
        <f t="shared" ref="AU294:BD294" si="254">AU293+AU292</f>
        <v>105</v>
      </c>
      <c r="AV294" s="155">
        <f t="shared" si="254"/>
        <v>60</v>
      </c>
      <c r="AW294" s="155">
        <f t="shared" si="254"/>
        <v>59</v>
      </c>
      <c r="AX294" s="155">
        <f t="shared" si="254"/>
        <v>92</v>
      </c>
      <c r="AY294" s="155">
        <f t="shared" si="254"/>
        <v>316</v>
      </c>
      <c r="AZ294" s="155">
        <f t="shared" si="254"/>
        <v>107</v>
      </c>
      <c r="BA294" s="155">
        <f t="shared" si="254"/>
        <v>61</v>
      </c>
      <c r="BB294" s="155">
        <f t="shared" si="254"/>
        <v>59</v>
      </c>
      <c r="BC294" s="155">
        <f t="shared" si="254"/>
        <v>95</v>
      </c>
      <c r="BD294" s="155">
        <f t="shared" si="254"/>
        <v>322</v>
      </c>
      <c r="BE294" s="39">
        <f>BE292+BE293</f>
        <v>73</v>
      </c>
      <c r="BF294" s="39">
        <f>BF292+BF293</f>
        <v>44</v>
      </c>
      <c r="BG294" s="39">
        <f>BG292+BG293</f>
        <v>29</v>
      </c>
      <c r="BH294" s="39">
        <f>BH292+BH293</f>
        <v>55</v>
      </c>
      <c r="BI294" s="39">
        <f t="shared" ref="BI294:BO294" si="255">BI293+BI292</f>
        <v>201</v>
      </c>
      <c r="BJ294" s="39">
        <f t="shared" si="255"/>
        <v>35</v>
      </c>
      <c r="BK294" s="39">
        <f t="shared" si="255"/>
        <v>29</v>
      </c>
      <c r="BL294" s="39">
        <f t="shared" si="255"/>
        <v>37</v>
      </c>
      <c r="BM294" s="39">
        <f t="shared" si="255"/>
        <v>37</v>
      </c>
      <c r="BN294" s="39">
        <f t="shared" si="255"/>
        <v>138</v>
      </c>
      <c r="BO294" s="39">
        <f t="shared" si="255"/>
        <v>0</v>
      </c>
      <c r="BP294" s="39"/>
      <c r="BQ294" s="39"/>
      <c r="BR294" s="39"/>
      <c r="BS294" s="155"/>
      <c r="BT294" s="39"/>
      <c r="BU294" s="39"/>
      <c r="BV294" s="39"/>
      <c r="BW294" s="39"/>
      <c r="BX294" s="155"/>
      <c r="BY294" s="155"/>
      <c r="BZ294" s="155"/>
      <c r="CA294" s="155"/>
      <c r="CB294" s="155"/>
      <c r="CC294" s="155"/>
      <c r="CD294" s="155"/>
      <c r="CE294" s="155"/>
      <c r="CF294" s="155"/>
      <c r="CG294" s="155"/>
      <c r="CH294" s="155"/>
      <c r="CI294" s="155"/>
      <c r="CJ294" s="155"/>
      <c r="CK294" s="155"/>
      <c r="CL294" s="155"/>
      <c r="CM294" s="155"/>
      <c r="CN294" s="155"/>
      <c r="CO294" s="155"/>
      <c r="CP294" s="155"/>
      <c r="CQ294" s="155"/>
      <c r="CR294" s="155"/>
      <c r="CS294" s="155"/>
      <c r="CT294" s="155"/>
      <c r="CU294" s="155"/>
      <c r="CV294" s="155"/>
      <c r="CW294" s="155"/>
      <c r="CX294" s="155"/>
      <c r="CY294" s="155"/>
      <c r="CZ294" s="155"/>
      <c r="DA294" s="155"/>
      <c r="DB294" s="155"/>
      <c r="DC294" s="155"/>
      <c r="DD294" s="155"/>
      <c r="DE294" s="155"/>
      <c r="DF294" s="155"/>
      <c r="DG294" s="155"/>
      <c r="DH294" s="155"/>
      <c r="DI294" s="155"/>
      <c r="DJ294" s="155"/>
      <c r="DK294" s="155"/>
      <c r="DL294" s="208"/>
      <c r="DM294" s="208"/>
      <c r="DN294" s="208"/>
      <c r="DO294" s="208"/>
      <c r="DP294" s="208"/>
    </row>
    <row r="295" spans="1:120" hidden="1" x14ac:dyDescent="0.2">
      <c r="A295" s="68" t="s">
        <v>54</v>
      </c>
      <c r="G295" s="67"/>
      <c r="H295" s="67"/>
      <c r="I295" s="67"/>
      <c r="J295" s="67"/>
      <c r="K295" s="67"/>
      <c r="L295" s="67"/>
      <c r="M295" s="67"/>
      <c r="N295" s="67"/>
      <c r="O295" s="92"/>
      <c r="P295" s="67"/>
      <c r="Q295" s="92"/>
      <c r="R295" s="92"/>
      <c r="S295" s="92"/>
      <c r="T295" s="92"/>
      <c r="U295" s="93"/>
      <c r="V295" s="92"/>
      <c r="W295" s="92"/>
      <c r="X295" s="92"/>
      <c r="Y295" s="92"/>
      <c r="Z295" s="93"/>
      <c r="AA295" s="93"/>
      <c r="AB295" s="93"/>
      <c r="AC295" s="93"/>
      <c r="AD295" s="93"/>
      <c r="AE295" s="93"/>
      <c r="AF295" s="93"/>
      <c r="AG295" s="93"/>
      <c r="AH295" s="93"/>
      <c r="AI295" s="93"/>
      <c r="AJ295" s="93">
        <f>AJ292/AE292-1</f>
        <v>0.25986842105263164</v>
      </c>
      <c r="AK295" s="93"/>
      <c r="AL295" s="93"/>
      <c r="AM295" s="93"/>
      <c r="AN295" s="93"/>
      <c r="AO295" s="93">
        <f>AO292/AJ292-1</f>
        <v>-1.8276762402088753E-2</v>
      </c>
      <c r="AP295" s="93"/>
      <c r="AQ295" s="93"/>
      <c r="AR295" s="93"/>
      <c r="AS295" s="93"/>
      <c r="AT295" s="93"/>
      <c r="AU295" s="93"/>
      <c r="AV295" s="93"/>
      <c r="AW295" s="93"/>
      <c r="AX295" s="93"/>
      <c r="AY295" s="119">
        <f>AY292/AT292-1</f>
        <v>-0.18904109589041096</v>
      </c>
      <c r="AZ295" s="93"/>
      <c r="BA295" s="93"/>
      <c r="BB295" s="93"/>
      <c r="BC295" s="93"/>
      <c r="BD295" s="119">
        <f t="shared" ref="BD295:BM297" si="256">BD292/AY292-1</f>
        <v>-3.0405405405405372E-2</v>
      </c>
      <c r="BE295" s="76">
        <f t="shared" si="256"/>
        <v>-0.27835051546391754</v>
      </c>
      <c r="BF295" s="76">
        <f t="shared" si="256"/>
        <v>-0.23636363636363633</v>
      </c>
      <c r="BG295" s="76">
        <f t="shared" si="256"/>
        <v>-0.44897959183673475</v>
      </c>
      <c r="BH295" s="76">
        <f t="shared" si="256"/>
        <v>-0.39534883720930236</v>
      </c>
      <c r="BI295" s="90">
        <f t="shared" si="256"/>
        <v>-0.33449477351916379</v>
      </c>
      <c r="BJ295" s="76">
        <f t="shared" si="256"/>
        <v>-0.52857142857142858</v>
      </c>
      <c r="BK295" s="76">
        <f t="shared" si="256"/>
        <v>-0.3571428571428571</v>
      </c>
      <c r="BL295" s="76">
        <f t="shared" si="256"/>
        <v>0.2592592592592593</v>
      </c>
      <c r="BM295" s="76">
        <f t="shared" si="256"/>
        <v>-0.32692307692307687</v>
      </c>
      <c r="BN295" s="90">
        <f>BN292/BI292-1</f>
        <v>-0.32460732984293195</v>
      </c>
      <c r="BO295" s="76"/>
      <c r="BP295" s="76"/>
      <c r="BQ295" s="76"/>
      <c r="BR295" s="76"/>
      <c r="BS295" s="119"/>
      <c r="BT295" s="76"/>
      <c r="BU295" s="76"/>
      <c r="BV295" s="76"/>
      <c r="BW295" s="76"/>
      <c r="BX295" s="119"/>
      <c r="BY295" s="119"/>
      <c r="BZ295" s="119"/>
      <c r="CA295" s="119"/>
      <c r="CB295" s="119"/>
      <c r="CC295" s="119"/>
      <c r="CD295" s="119"/>
      <c r="CE295" s="119"/>
      <c r="CF295" s="119"/>
      <c r="CG295" s="119"/>
      <c r="CH295" s="119"/>
      <c r="CI295" s="119"/>
      <c r="CJ295" s="119"/>
      <c r="CK295" s="119"/>
      <c r="CL295" s="119"/>
      <c r="CM295" s="119"/>
      <c r="CN295" s="119"/>
      <c r="CO295" s="119"/>
      <c r="CP295" s="119"/>
      <c r="CQ295" s="119"/>
      <c r="CR295" s="119"/>
      <c r="CS295" s="119"/>
      <c r="CT295" s="119"/>
      <c r="CU295" s="119"/>
      <c r="CV295" s="119"/>
      <c r="CW295" s="119"/>
      <c r="CX295" s="119"/>
      <c r="CY295" s="119"/>
      <c r="CZ295" s="119"/>
      <c r="DA295" s="119"/>
      <c r="DB295" s="119"/>
      <c r="DC295" s="119"/>
      <c r="DD295" s="119"/>
      <c r="DE295" s="119"/>
      <c r="DF295" s="119"/>
      <c r="DG295" s="119"/>
      <c r="DH295" s="119"/>
      <c r="DI295" s="119"/>
      <c r="DJ295" s="119"/>
      <c r="DK295" s="119"/>
      <c r="DL295" s="203"/>
      <c r="DM295" s="203"/>
      <c r="DN295" s="203"/>
      <c r="DO295" s="203"/>
      <c r="DP295" s="203"/>
    </row>
    <row r="296" spans="1:120" hidden="1" x14ac:dyDescent="0.2">
      <c r="A296" s="68" t="s">
        <v>55</v>
      </c>
      <c r="G296" s="67"/>
      <c r="H296" s="67"/>
      <c r="I296" s="67"/>
      <c r="J296" s="67"/>
      <c r="K296" s="67"/>
      <c r="L296" s="67"/>
      <c r="M296" s="67"/>
      <c r="N296" s="67"/>
      <c r="O296" s="92"/>
      <c r="P296" s="67"/>
      <c r="Q296" s="92"/>
      <c r="R296" s="92"/>
      <c r="S296" s="92"/>
      <c r="T296" s="92"/>
      <c r="U296" s="93"/>
      <c r="V296" s="92"/>
      <c r="W296" s="92"/>
      <c r="X296" s="92"/>
      <c r="Y296" s="92"/>
      <c r="Z296" s="93"/>
      <c r="AA296" s="93"/>
      <c r="AB296" s="93"/>
      <c r="AC296" s="93"/>
      <c r="AD296" s="93"/>
      <c r="AE296" s="93"/>
      <c r="AF296" s="93"/>
      <c r="AG296" s="93"/>
      <c r="AH296" s="93"/>
      <c r="AI296" s="93"/>
      <c r="AJ296" s="93"/>
      <c r="AK296" s="93"/>
      <c r="AL296" s="93"/>
      <c r="AM296" s="93"/>
      <c r="AN296" s="93"/>
      <c r="AO296" s="93"/>
      <c r="AP296" s="93"/>
      <c r="AQ296" s="93"/>
      <c r="AR296" s="93"/>
      <c r="AS296" s="93"/>
      <c r="AT296" s="93"/>
      <c r="AU296" s="93"/>
      <c r="AV296" s="93"/>
      <c r="AW296" s="93"/>
      <c r="AX296" s="93"/>
      <c r="AY296" s="119"/>
      <c r="AZ296" s="93"/>
      <c r="BA296" s="93"/>
      <c r="BB296" s="93"/>
      <c r="BC296" s="93"/>
      <c r="BD296" s="119"/>
      <c r="BE296" s="76">
        <f t="shared" si="256"/>
        <v>-0.7</v>
      </c>
      <c r="BF296" s="76">
        <f t="shared" si="256"/>
        <v>-0.66666666666666674</v>
      </c>
      <c r="BG296" s="76">
        <f t="shared" si="256"/>
        <v>-0.8</v>
      </c>
      <c r="BH296" s="76">
        <f t="shared" si="256"/>
        <v>-0.66666666666666674</v>
      </c>
      <c r="BI296" s="90">
        <f>BI293/BD293-1</f>
        <v>-0.7142857142857143</v>
      </c>
      <c r="BJ296" s="76">
        <f t="shared" si="256"/>
        <v>-0.33333333333333337</v>
      </c>
      <c r="BK296" s="76">
        <f t="shared" si="256"/>
        <v>0</v>
      </c>
      <c r="BL296" s="76">
        <f t="shared" si="256"/>
        <v>0.5</v>
      </c>
      <c r="BM296" s="76">
        <f t="shared" si="256"/>
        <v>-0.33333333333333337</v>
      </c>
      <c r="BN296" s="90">
        <f>BN293/BI293-1</f>
        <v>-9.9999999999999978E-2</v>
      </c>
      <c r="BO296" s="76"/>
      <c r="BP296" s="76"/>
      <c r="BQ296" s="76"/>
      <c r="BR296" s="76"/>
      <c r="BS296" s="119"/>
      <c r="BT296" s="76"/>
      <c r="BU296" s="76"/>
      <c r="BV296" s="76"/>
      <c r="BW296" s="76"/>
      <c r="BX296" s="119"/>
      <c r="BY296" s="119"/>
      <c r="BZ296" s="119"/>
      <c r="CA296" s="119"/>
      <c r="CB296" s="119"/>
      <c r="CC296" s="119"/>
      <c r="CD296" s="119"/>
      <c r="CE296" s="119"/>
      <c r="CF296" s="119"/>
      <c r="CG296" s="119"/>
      <c r="CH296" s="119"/>
      <c r="CI296" s="119"/>
      <c r="CJ296" s="119"/>
      <c r="CK296" s="119"/>
      <c r="CL296" s="119"/>
      <c r="CM296" s="119"/>
      <c r="CN296" s="119"/>
      <c r="CO296" s="119"/>
      <c r="CP296" s="119"/>
      <c r="CQ296" s="119"/>
      <c r="CR296" s="119"/>
      <c r="CS296" s="119"/>
      <c r="CT296" s="119"/>
      <c r="CU296" s="119"/>
      <c r="CV296" s="119"/>
      <c r="CW296" s="119"/>
      <c r="CX296" s="119"/>
      <c r="CY296" s="119"/>
      <c r="CZ296" s="119"/>
      <c r="DA296" s="119"/>
      <c r="DB296" s="119"/>
      <c r="DC296" s="119"/>
      <c r="DD296" s="119"/>
      <c r="DE296" s="119"/>
      <c r="DF296" s="119"/>
      <c r="DG296" s="119"/>
      <c r="DH296" s="119"/>
      <c r="DI296" s="119"/>
      <c r="DJ296" s="119"/>
      <c r="DK296" s="119"/>
      <c r="DL296" s="203"/>
      <c r="DM296" s="203"/>
      <c r="DN296" s="203"/>
      <c r="DO296" s="203"/>
      <c r="DP296" s="203"/>
    </row>
    <row r="297" spans="1:120" hidden="1" x14ac:dyDescent="0.2">
      <c r="A297" s="78" t="s">
        <v>56</v>
      </c>
      <c r="B297" s="98"/>
      <c r="C297" s="98"/>
      <c r="D297" s="98"/>
      <c r="E297" s="98"/>
      <c r="F297" s="98"/>
      <c r="G297" s="83"/>
      <c r="H297" s="83"/>
      <c r="I297" s="83"/>
      <c r="J297" s="83"/>
      <c r="K297" s="83"/>
      <c r="L297" s="83"/>
      <c r="M297" s="83"/>
      <c r="N297" s="83"/>
      <c r="O297" s="99"/>
      <c r="P297" s="83"/>
      <c r="Q297" s="99"/>
      <c r="R297" s="99"/>
      <c r="S297" s="99"/>
      <c r="T297" s="99"/>
      <c r="U297" s="100"/>
      <c r="V297" s="99"/>
      <c r="W297" s="99"/>
      <c r="X297" s="99"/>
      <c r="Y297" s="99"/>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c r="BB297" s="100"/>
      <c r="BC297" s="100"/>
      <c r="BD297" s="100"/>
      <c r="BE297" s="80">
        <f t="shared" si="256"/>
        <v>-0.31775700934579443</v>
      </c>
      <c r="BF297" s="80">
        <f t="shared" si="256"/>
        <v>-0.27868852459016391</v>
      </c>
      <c r="BG297" s="80">
        <f t="shared" si="256"/>
        <v>-0.50847457627118642</v>
      </c>
      <c r="BH297" s="80">
        <f>BH294/BC294-1</f>
        <v>-0.42105263157894735</v>
      </c>
      <c r="BI297" s="80">
        <f>BI294/BD294-1</f>
        <v>-0.37577639751552794</v>
      </c>
      <c r="BJ297" s="80">
        <f>BJ294/BE294-1</f>
        <v>-0.52054794520547953</v>
      </c>
      <c r="BK297" s="91">
        <f>BK294/BF294-1</f>
        <v>-0.34090909090909094</v>
      </c>
      <c r="BL297" s="91">
        <f>BL294/BG294-1</f>
        <v>0.27586206896551735</v>
      </c>
      <c r="BM297" s="91">
        <f>BM294/BH294-1</f>
        <v>-0.32727272727272727</v>
      </c>
      <c r="BN297" s="80">
        <f>BN294/BI294-1</f>
        <v>-0.31343283582089554</v>
      </c>
      <c r="BO297" s="80">
        <f>BO294/BJ294-1</f>
        <v>-1</v>
      </c>
      <c r="BP297" s="91"/>
      <c r="BQ297" s="91"/>
      <c r="BR297" s="91"/>
      <c r="BS297" s="100"/>
      <c r="BT297" s="80"/>
      <c r="BU297" s="91"/>
      <c r="BV297" s="91"/>
      <c r="BW297" s="91"/>
      <c r="BX297" s="100"/>
      <c r="BY297" s="100"/>
      <c r="BZ297" s="100"/>
      <c r="CA297" s="100"/>
      <c r="CB297" s="100"/>
      <c r="CC297" s="100"/>
      <c r="CD297" s="100"/>
      <c r="CE297" s="100"/>
      <c r="CF297" s="100"/>
      <c r="CG297" s="100"/>
      <c r="CH297" s="100"/>
      <c r="CI297" s="100"/>
      <c r="CJ297" s="100"/>
      <c r="CK297" s="100"/>
      <c r="CL297" s="100"/>
      <c r="CM297" s="100"/>
      <c r="CN297" s="100"/>
      <c r="CO297" s="100"/>
      <c r="CP297" s="100"/>
      <c r="CQ297" s="100"/>
      <c r="CR297" s="100"/>
      <c r="CS297" s="100"/>
      <c r="CT297" s="100"/>
      <c r="CU297" s="100"/>
      <c r="CV297" s="100"/>
      <c r="CW297" s="100"/>
      <c r="CX297" s="100"/>
      <c r="CY297" s="100"/>
      <c r="CZ297" s="100"/>
      <c r="DA297" s="100"/>
      <c r="DB297" s="100"/>
      <c r="DC297" s="100"/>
      <c r="DD297" s="100"/>
      <c r="DE297" s="100"/>
      <c r="DF297" s="100"/>
      <c r="DG297" s="100"/>
      <c r="DH297" s="100"/>
      <c r="DI297" s="100"/>
      <c r="DJ297" s="100"/>
      <c r="DK297" s="100"/>
      <c r="DL297" s="209"/>
      <c r="DM297" s="209"/>
      <c r="DN297" s="209"/>
      <c r="DO297" s="209"/>
      <c r="DP297" s="209"/>
    </row>
    <row r="298" spans="1:120" hidden="1" x14ac:dyDescent="0.2">
      <c r="A298" s="21" t="s">
        <v>206</v>
      </c>
      <c r="G298" s="143"/>
      <c r="H298" s="143"/>
      <c r="I298" s="143"/>
      <c r="J298" s="143"/>
      <c r="K298" s="144"/>
      <c r="L298" s="40">
        <v>136</v>
      </c>
      <c r="M298" s="40">
        <v>102</v>
      </c>
      <c r="N298" s="40">
        <v>50</v>
      </c>
      <c r="O298" s="40">
        <v>18</v>
      </c>
      <c r="P298" s="144">
        <f>O298+N298+M298+L298</f>
        <v>306</v>
      </c>
      <c r="Q298" s="40">
        <v>27</v>
      </c>
      <c r="R298" s="36">
        <v>19</v>
      </c>
      <c r="S298" s="36">
        <v>0</v>
      </c>
      <c r="T298" s="36">
        <v>0</v>
      </c>
      <c r="U298" s="36">
        <f>T298+S298+R298+Q298</f>
        <v>46</v>
      </c>
      <c r="V298" s="36">
        <v>0</v>
      </c>
      <c r="W298" s="36">
        <v>0</v>
      </c>
      <c r="X298" s="36">
        <v>0</v>
      </c>
      <c r="Y298" s="36">
        <v>0</v>
      </c>
      <c r="Z298" s="36">
        <f>Y298+X298+W298+V298</f>
        <v>0</v>
      </c>
      <c r="AA298" s="36">
        <v>0</v>
      </c>
      <c r="AB298" s="36">
        <v>0</v>
      </c>
      <c r="AC298" s="36">
        <v>0</v>
      </c>
      <c r="AD298" s="36">
        <v>0</v>
      </c>
      <c r="AE298" s="36">
        <f>AD298+AC298+AB298+AA298</f>
        <v>0</v>
      </c>
      <c r="AF298" s="36">
        <v>0</v>
      </c>
      <c r="AG298" s="36">
        <v>1</v>
      </c>
      <c r="AH298" s="36">
        <v>1</v>
      </c>
      <c r="AI298" s="36">
        <v>1</v>
      </c>
      <c r="AJ298" s="36">
        <f>AI298+AH298+AG298+AF298</f>
        <v>3</v>
      </c>
      <c r="AK298" s="36">
        <v>0</v>
      </c>
      <c r="AL298" s="36">
        <v>0</v>
      </c>
      <c r="AM298" s="36">
        <v>0</v>
      </c>
      <c r="AN298" s="36">
        <v>1</v>
      </c>
      <c r="AO298" s="36">
        <f>AN298+AM298+AL298+AK298</f>
        <v>1</v>
      </c>
      <c r="AP298" s="36">
        <v>0</v>
      </c>
      <c r="AQ298" s="36">
        <v>0</v>
      </c>
      <c r="AR298" s="36">
        <v>0</v>
      </c>
      <c r="AS298" s="36">
        <v>0</v>
      </c>
      <c r="AT298" s="36">
        <f>AS298+AR298+AQ298+AP298</f>
        <v>0</v>
      </c>
      <c r="AU298" s="36">
        <v>0</v>
      </c>
      <c r="AV298" s="36">
        <v>0</v>
      </c>
      <c r="AW298" s="36">
        <v>1</v>
      </c>
      <c r="AX298" s="36">
        <v>0</v>
      </c>
      <c r="AY298" s="36">
        <f>AX298+AW298+AV298+AU298</f>
        <v>1</v>
      </c>
      <c r="AZ298" s="36">
        <v>0</v>
      </c>
      <c r="BA298" s="36">
        <v>0</v>
      </c>
      <c r="BB298" s="36">
        <v>0</v>
      </c>
      <c r="BC298" s="36">
        <v>0</v>
      </c>
      <c r="BD298" s="36">
        <f>BC298+BB298+BA298+AZ298</f>
        <v>0</v>
      </c>
      <c r="BE298" s="36"/>
      <c r="BF298" s="36"/>
      <c r="BG298" s="36"/>
      <c r="BH298" s="36"/>
      <c r="BI298" s="36"/>
      <c r="BJ298" s="36"/>
      <c r="BK298" s="36"/>
      <c r="BL298" s="36"/>
      <c r="BM298" s="36"/>
      <c r="BN298" s="36"/>
      <c r="BO298" s="36"/>
      <c r="BP298" s="36"/>
      <c r="BQ298" s="36"/>
      <c r="BR298" s="36"/>
      <c r="BS298" s="36"/>
      <c r="BT298" s="36"/>
      <c r="BU298" s="36"/>
      <c r="BV298" s="36"/>
      <c r="BW298" s="36"/>
      <c r="BX298" s="36"/>
      <c r="BY298" s="36"/>
      <c r="BZ298" s="36"/>
      <c r="CA298" s="36"/>
      <c r="CB298" s="36"/>
      <c r="CC298" s="36"/>
      <c r="CD298" s="36"/>
      <c r="CE298" s="36"/>
      <c r="CF298" s="36"/>
      <c r="CG298" s="36"/>
      <c r="CH298" s="36"/>
      <c r="CI298" s="36"/>
      <c r="CJ298" s="36"/>
      <c r="CK298" s="36"/>
      <c r="CL298" s="36"/>
      <c r="CM298" s="36"/>
      <c r="CN298" s="36"/>
      <c r="CO298" s="36"/>
      <c r="CP298" s="36"/>
      <c r="CQ298" s="36"/>
      <c r="CR298" s="36"/>
      <c r="CS298" s="36"/>
      <c r="CT298" s="36"/>
      <c r="CU298" s="36"/>
      <c r="CV298" s="36"/>
      <c r="CW298" s="36"/>
      <c r="CX298" s="36"/>
      <c r="CY298" s="36"/>
      <c r="CZ298" s="36"/>
      <c r="DA298" s="36"/>
      <c r="DB298" s="36"/>
      <c r="DC298" s="36"/>
      <c r="DD298" s="36"/>
      <c r="DE298" s="36"/>
      <c r="DF298" s="36"/>
      <c r="DG298" s="36"/>
      <c r="DH298" s="36"/>
      <c r="DI298" s="36"/>
      <c r="DJ298" s="36"/>
      <c r="DK298" s="36"/>
      <c r="DL298" s="183"/>
      <c r="DM298" s="183"/>
      <c r="DN298" s="183"/>
      <c r="DO298" s="183"/>
      <c r="DP298" s="183"/>
    </row>
    <row r="299" spans="1:120" hidden="1" x14ac:dyDescent="0.2">
      <c r="A299" s="21" t="s">
        <v>207</v>
      </c>
      <c r="G299" s="143"/>
      <c r="H299" s="143"/>
      <c r="I299" s="143"/>
      <c r="J299" s="143"/>
      <c r="K299" s="144"/>
      <c r="L299" s="40">
        <v>83</v>
      </c>
      <c r="M299" s="40">
        <v>94</v>
      </c>
      <c r="N299" s="40">
        <v>75</v>
      </c>
      <c r="O299" s="40">
        <v>81</v>
      </c>
      <c r="P299" s="144">
        <f>O299+N299+M299+L299</f>
        <v>333</v>
      </c>
      <c r="Q299" s="40">
        <v>68</v>
      </c>
      <c r="R299" s="36">
        <v>65</v>
      </c>
      <c r="S299" s="36">
        <v>52</v>
      </c>
      <c r="T299" s="36">
        <v>56</v>
      </c>
      <c r="U299" s="36">
        <f>T299+S299+R299+Q299</f>
        <v>241</v>
      </c>
      <c r="V299" s="36">
        <v>70</v>
      </c>
      <c r="W299" s="36">
        <v>90</v>
      </c>
      <c r="X299" s="36">
        <v>80</v>
      </c>
      <c r="Y299" s="36">
        <v>90</v>
      </c>
      <c r="Z299" s="36">
        <f>Y299+X299+W299+V299</f>
        <v>330</v>
      </c>
      <c r="AA299" s="36">
        <v>76</v>
      </c>
      <c r="AB299" s="36">
        <v>84</v>
      </c>
      <c r="AC299" s="36">
        <v>72</v>
      </c>
      <c r="AD299" s="36">
        <v>73</v>
      </c>
      <c r="AE299" s="36">
        <f>AD299+AC299+AB299+AA299</f>
        <v>305</v>
      </c>
      <c r="AF299" s="36">
        <v>71</v>
      </c>
      <c r="AG299" s="36">
        <v>73</v>
      </c>
      <c r="AH299" s="36">
        <v>59</v>
      </c>
      <c r="AI299" s="36">
        <v>70</v>
      </c>
      <c r="AJ299" s="36">
        <f>AI299+AH299+AG299+AF299</f>
        <v>273</v>
      </c>
      <c r="AK299" s="36">
        <v>59</v>
      </c>
      <c r="AL299" s="36">
        <v>70</v>
      </c>
      <c r="AM299" s="36">
        <v>63</v>
      </c>
      <c r="AN299" s="36">
        <v>66</v>
      </c>
      <c r="AO299" s="36">
        <f>AN299+AM299+AL299+AK299</f>
        <v>258</v>
      </c>
      <c r="AP299" s="36">
        <v>66</v>
      </c>
      <c r="AQ299" s="36">
        <v>67</v>
      </c>
      <c r="AR299" s="36">
        <v>64</v>
      </c>
      <c r="AS299" s="36">
        <v>57</v>
      </c>
      <c r="AT299" s="36">
        <f>AS299+AR299+AQ299+AP299</f>
        <v>254</v>
      </c>
      <c r="AU299" s="36">
        <v>56</v>
      </c>
      <c r="AV299" s="36">
        <v>55</v>
      </c>
      <c r="AW299" s="36">
        <v>54</v>
      </c>
      <c r="AX299" s="36">
        <v>54</v>
      </c>
      <c r="AY299" s="36">
        <f>AX299+AW299+AV299+AU299</f>
        <v>219</v>
      </c>
      <c r="AZ299" s="36">
        <v>53</v>
      </c>
      <c r="BA299" s="36">
        <v>48</v>
      </c>
      <c r="BB299" s="36">
        <v>38</v>
      </c>
      <c r="BC299" s="36">
        <v>36</v>
      </c>
      <c r="BD299" s="36">
        <f>BC299+BB299+BA299+AZ299</f>
        <v>175</v>
      </c>
      <c r="BE299" s="36"/>
      <c r="BF299" s="36"/>
      <c r="BG299" s="36"/>
      <c r="BH299" s="36"/>
      <c r="BI299" s="36"/>
      <c r="BJ299" s="36"/>
      <c r="BK299" s="36"/>
      <c r="BL299" s="36"/>
      <c r="BM299" s="36"/>
      <c r="BN299" s="36"/>
      <c r="BO299" s="36"/>
      <c r="BP299" s="36"/>
      <c r="BQ299" s="36"/>
      <c r="BR299" s="36"/>
      <c r="BS299" s="36"/>
      <c r="BT299" s="36"/>
      <c r="BU299" s="36"/>
      <c r="BV299" s="36"/>
      <c r="BW299" s="36"/>
      <c r="BX299" s="36"/>
      <c r="BY299" s="36"/>
      <c r="BZ299" s="36"/>
      <c r="CA299" s="36"/>
      <c r="CB299" s="36"/>
      <c r="CC299" s="36"/>
      <c r="CD299" s="36"/>
      <c r="CE299" s="36"/>
      <c r="CF299" s="36"/>
      <c r="CG299" s="36"/>
      <c r="CH299" s="36"/>
      <c r="CI299" s="36"/>
      <c r="CJ299" s="36"/>
      <c r="CK299" s="36"/>
      <c r="CL299" s="36"/>
      <c r="CM299" s="36"/>
      <c r="CN299" s="36"/>
      <c r="CO299" s="36"/>
      <c r="CP299" s="36"/>
      <c r="CQ299" s="36"/>
      <c r="CR299" s="36"/>
      <c r="CS299" s="36"/>
      <c r="CT299" s="36"/>
      <c r="CU299" s="36"/>
      <c r="CV299" s="36"/>
      <c r="CW299" s="36"/>
      <c r="CX299" s="36"/>
      <c r="CY299" s="36"/>
      <c r="CZ299" s="36"/>
      <c r="DA299" s="36"/>
      <c r="DB299" s="36"/>
      <c r="DC299" s="36"/>
      <c r="DD299" s="36"/>
      <c r="DE299" s="36"/>
      <c r="DF299" s="36"/>
      <c r="DG299" s="36"/>
      <c r="DH299" s="36"/>
      <c r="DI299" s="36"/>
      <c r="DJ299" s="36"/>
      <c r="DK299" s="36"/>
      <c r="DL299" s="183"/>
      <c r="DM299" s="183"/>
      <c r="DN299" s="183"/>
      <c r="DO299" s="183"/>
      <c r="DP299" s="183"/>
    </row>
    <row r="300" spans="1:120" hidden="1" x14ac:dyDescent="0.2">
      <c r="A300" s="31" t="s">
        <v>208</v>
      </c>
      <c r="G300" s="143"/>
      <c r="H300" s="143"/>
      <c r="I300" s="143"/>
      <c r="J300" s="143"/>
      <c r="K300" s="145"/>
      <c r="L300" s="146">
        <f t="shared" ref="L300:T300" si="257">L299+L298</f>
        <v>219</v>
      </c>
      <c r="M300" s="146">
        <f t="shared" si="257"/>
        <v>196</v>
      </c>
      <c r="N300" s="146">
        <f t="shared" si="257"/>
        <v>125</v>
      </c>
      <c r="O300" s="146">
        <f t="shared" si="257"/>
        <v>99</v>
      </c>
      <c r="P300" s="145">
        <f t="shared" si="257"/>
        <v>639</v>
      </c>
      <c r="Q300" s="146">
        <f t="shared" si="257"/>
        <v>95</v>
      </c>
      <c r="R300" s="146">
        <f t="shared" si="257"/>
        <v>84</v>
      </c>
      <c r="S300" s="146">
        <f t="shared" si="257"/>
        <v>52</v>
      </c>
      <c r="T300" s="146">
        <f t="shared" si="257"/>
        <v>56</v>
      </c>
      <c r="U300" s="39">
        <f>T300+S300+R300+Q300</f>
        <v>287</v>
      </c>
      <c r="V300" s="146">
        <f>V299+V298</f>
        <v>70</v>
      </c>
      <c r="W300" s="146">
        <f>W299+W298</f>
        <v>90</v>
      </c>
      <c r="X300" s="146">
        <f>X299+X298</f>
        <v>80</v>
      </c>
      <c r="Y300" s="146">
        <f>Y299+Y298</f>
        <v>90</v>
      </c>
      <c r="Z300" s="39">
        <f>Y300+X300+W300+V300</f>
        <v>330</v>
      </c>
      <c r="AA300" s="146">
        <f>AA299+AA298</f>
        <v>76</v>
      </c>
      <c r="AB300" s="146">
        <f>AB299+AB298</f>
        <v>84</v>
      </c>
      <c r="AC300" s="39">
        <f>AC299+AC298</f>
        <v>72</v>
      </c>
      <c r="AD300" s="39">
        <f>AD299+AD298</f>
        <v>73</v>
      </c>
      <c r="AE300" s="39">
        <f>AD300+AC300+AB300+AA300</f>
        <v>305</v>
      </c>
      <c r="AF300" s="39">
        <f>AF299+AF298</f>
        <v>71</v>
      </c>
      <c r="AG300" s="39">
        <f>AG299+AG298</f>
        <v>74</v>
      </c>
      <c r="AH300" s="39">
        <f>AH299+AH298</f>
        <v>60</v>
      </c>
      <c r="AI300" s="39">
        <f>AI299+AI298</f>
        <v>71</v>
      </c>
      <c r="AJ300" s="39">
        <f>AI300+AH300+AG300+AF300</f>
        <v>276</v>
      </c>
      <c r="AK300" s="39">
        <f>AK299+AK298</f>
        <v>59</v>
      </c>
      <c r="AL300" s="39">
        <f>AL299+AL298</f>
        <v>70</v>
      </c>
      <c r="AM300" s="39">
        <f>AM299+AM298</f>
        <v>63</v>
      </c>
      <c r="AN300" s="39">
        <f>AN299+AN298</f>
        <v>67</v>
      </c>
      <c r="AO300" s="39">
        <f>AN300+AM300+AL300+AK300</f>
        <v>259</v>
      </c>
      <c r="AP300" s="39">
        <f>AP299+AP298</f>
        <v>66</v>
      </c>
      <c r="AQ300" s="39">
        <f>AQ299+AQ298</f>
        <v>67</v>
      </c>
      <c r="AR300" s="39">
        <f>AR299+AR298</f>
        <v>64</v>
      </c>
      <c r="AS300" s="39">
        <f>AS299+AS298</f>
        <v>57</v>
      </c>
      <c r="AT300" s="39">
        <f>AS300+AR300+AQ300+AP300</f>
        <v>254</v>
      </c>
      <c r="AU300" s="39">
        <f>AU299+AU298</f>
        <v>56</v>
      </c>
      <c r="AV300" s="39">
        <f>AV299+AV298</f>
        <v>55</v>
      </c>
      <c r="AW300" s="39">
        <f>AW299+AW298</f>
        <v>55</v>
      </c>
      <c r="AX300" s="39">
        <f>AX299+AX298</f>
        <v>54</v>
      </c>
      <c r="AY300" s="39">
        <f>AX300+AW300+AV300+AU300</f>
        <v>220</v>
      </c>
      <c r="AZ300" s="39">
        <f>AZ299+AZ298</f>
        <v>53</v>
      </c>
      <c r="BA300" s="39">
        <f>BA299+BA298</f>
        <v>48</v>
      </c>
      <c r="BB300" s="39">
        <f>BB299+BB298</f>
        <v>38</v>
      </c>
      <c r="BC300" s="39">
        <f>BC299+BC298</f>
        <v>36</v>
      </c>
      <c r="BD300" s="39">
        <f>BC300+BB300+BA300+AZ300</f>
        <v>175</v>
      </c>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187"/>
      <c r="DM300" s="187"/>
      <c r="DN300" s="187"/>
      <c r="DO300" s="187"/>
      <c r="DP300" s="187"/>
    </row>
    <row r="301" spans="1:120" hidden="1" x14ac:dyDescent="0.2">
      <c r="A301" s="21" t="s">
        <v>55</v>
      </c>
      <c r="G301" s="143"/>
      <c r="H301" s="143"/>
      <c r="I301" s="143"/>
      <c r="J301" s="143"/>
      <c r="K301" s="147"/>
      <c r="L301" s="148"/>
      <c r="M301" s="148"/>
      <c r="N301" s="148"/>
      <c r="O301" s="148"/>
      <c r="P301" s="147"/>
      <c r="Q301" s="75">
        <f t="shared" ref="Q301:BD302" si="258">Q299/L299-1</f>
        <v>-0.18072289156626509</v>
      </c>
      <c r="R301" s="75">
        <f t="shared" si="258"/>
        <v>-0.30851063829787229</v>
      </c>
      <c r="S301" s="75">
        <f t="shared" si="258"/>
        <v>-0.30666666666666664</v>
      </c>
      <c r="T301" s="75">
        <f t="shared" si="258"/>
        <v>-0.30864197530864201</v>
      </c>
      <c r="U301" s="75">
        <f t="shared" si="258"/>
        <v>-0.27627627627627627</v>
      </c>
      <c r="V301" s="75">
        <f t="shared" si="258"/>
        <v>2.9411764705882248E-2</v>
      </c>
      <c r="W301" s="75">
        <f t="shared" si="258"/>
        <v>0.38461538461538458</v>
      </c>
      <c r="X301" s="75">
        <f t="shared" si="258"/>
        <v>0.53846153846153855</v>
      </c>
      <c r="Y301" s="75">
        <f t="shared" si="258"/>
        <v>0.60714285714285721</v>
      </c>
      <c r="Z301" s="75">
        <f t="shared" si="258"/>
        <v>0.36929460580912865</v>
      </c>
      <c r="AA301" s="75">
        <f t="shared" si="258"/>
        <v>8.5714285714285632E-2</v>
      </c>
      <c r="AB301" s="75">
        <f t="shared" si="258"/>
        <v>-6.6666666666666652E-2</v>
      </c>
      <c r="AC301" s="75">
        <f t="shared" si="258"/>
        <v>-9.9999999999999978E-2</v>
      </c>
      <c r="AD301" s="75">
        <f t="shared" si="258"/>
        <v>-0.18888888888888888</v>
      </c>
      <c r="AE301" s="75">
        <f t="shared" si="258"/>
        <v>-7.5757575757575801E-2</v>
      </c>
      <c r="AF301" s="75">
        <f t="shared" si="258"/>
        <v>-6.5789473684210509E-2</v>
      </c>
      <c r="AG301" s="75">
        <f t="shared" si="258"/>
        <v>-0.13095238095238093</v>
      </c>
      <c r="AH301" s="75">
        <f t="shared" si="258"/>
        <v>-0.18055555555555558</v>
      </c>
      <c r="AI301" s="75">
        <f t="shared" si="258"/>
        <v>-4.1095890410958957E-2</v>
      </c>
      <c r="AJ301" s="75">
        <f t="shared" si="258"/>
        <v>-0.10491803278688527</v>
      </c>
      <c r="AK301" s="75">
        <f t="shared" si="258"/>
        <v>-0.16901408450704225</v>
      </c>
      <c r="AL301" s="75">
        <f t="shared" si="258"/>
        <v>-4.1095890410958957E-2</v>
      </c>
      <c r="AM301" s="75">
        <f t="shared" si="258"/>
        <v>6.7796610169491567E-2</v>
      </c>
      <c r="AN301" s="75">
        <f t="shared" si="258"/>
        <v>-5.7142857142857162E-2</v>
      </c>
      <c r="AO301" s="75">
        <f t="shared" si="258"/>
        <v>-5.4945054945054972E-2</v>
      </c>
      <c r="AP301" s="75">
        <f t="shared" si="258"/>
        <v>0.11864406779661008</v>
      </c>
      <c r="AQ301" s="75">
        <f t="shared" si="258"/>
        <v>-4.2857142857142816E-2</v>
      </c>
      <c r="AR301" s="75">
        <f t="shared" si="258"/>
        <v>1.5873015873015817E-2</v>
      </c>
      <c r="AS301" s="75">
        <f t="shared" si="258"/>
        <v>-0.13636363636363635</v>
      </c>
      <c r="AT301" s="75">
        <f t="shared" si="258"/>
        <v>-1.5503875968992276E-2</v>
      </c>
      <c r="AU301" s="75">
        <f t="shared" si="258"/>
        <v>-0.15151515151515149</v>
      </c>
      <c r="AV301" s="75">
        <f t="shared" si="258"/>
        <v>-0.17910447761194026</v>
      </c>
      <c r="AW301" s="75">
        <f t="shared" si="258"/>
        <v>-0.15625</v>
      </c>
      <c r="AX301" s="75">
        <f t="shared" si="258"/>
        <v>-5.2631578947368474E-2</v>
      </c>
      <c r="AY301" s="75">
        <f t="shared" si="258"/>
        <v>-0.13779527559055116</v>
      </c>
      <c r="AZ301" s="75">
        <f t="shared" si="258"/>
        <v>-5.3571428571428603E-2</v>
      </c>
      <c r="BA301" s="75">
        <f t="shared" si="258"/>
        <v>-0.12727272727272732</v>
      </c>
      <c r="BB301" s="75">
        <f t="shared" si="258"/>
        <v>-0.29629629629629628</v>
      </c>
      <c r="BC301" s="75">
        <f t="shared" si="258"/>
        <v>-0.33333333333333337</v>
      </c>
      <c r="BD301" s="75">
        <f t="shared" si="258"/>
        <v>-0.20091324200913241</v>
      </c>
      <c r="BE301" s="75"/>
      <c r="BF301" s="75"/>
      <c r="BG301" s="75"/>
      <c r="BH301" s="75"/>
      <c r="BI301" s="90"/>
      <c r="BJ301" s="90"/>
      <c r="BK301" s="139"/>
      <c r="BL301" s="90"/>
      <c r="BM301" s="90"/>
      <c r="BN301" s="90"/>
      <c r="BO301" s="90"/>
      <c r="BP301" s="139"/>
      <c r="BQ301" s="90"/>
      <c r="BR301" s="90"/>
      <c r="BS301" s="90"/>
      <c r="BT301" s="90"/>
      <c r="BU301" s="139"/>
      <c r="BV301" s="90"/>
      <c r="BW301" s="90"/>
      <c r="BX301" s="90"/>
      <c r="BY301" s="90"/>
      <c r="BZ301" s="90"/>
      <c r="CA301" s="90"/>
      <c r="CB301" s="90"/>
      <c r="CC301" s="90"/>
      <c r="CD301" s="90"/>
      <c r="CE301" s="90"/>
      <c r="CF301" s="90"/>
      <c r="CG301" s="90"/>
      <c r="CH301" s="90"/>
      <c r="CI301" s="90"/>
      <c r="CJ301" s="90"/>
      <c r="CK301" s="90"/>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188"/>
      <c r="DM301" s="188"/>
      <c r="DN301" s="188"/>
      <c r="DO301" s="188"/>
      <c r="DP301" s="188"/>
    </row>
    <row r="302" spans="1:120" hidden="1" x14ac:dyDescent="0.2">
      <c r="A302" s="78" t="s">
        <v>56</v>
      </c>
      <c r="F302" s="98"/>
      <c r="G302" s="149"/>
      <c r="H302" s="149"/>
      <c r="I302" s="149"/>
      <c r="J302" s="149"/>
      <c r="K302" s="150"/>
      <c r="L302" s="151"/>
      <c r="M302" s="151"/>
      <c r="N302" s="151"/>
      <c r="O302" s="151"/>
      <c r="P302" s="150"/>
      <c r="Q302" s="83">
        <f t="shared" si="258"/>
        <v>-0.56621004566210043</v>
      </c>
      <c r="R302" s="83">
        <f t="shared" si="258"/>
        <v>-0.5714285714285714</v>
      </c>
      <c r="S302" s="83">
        <f t="shared" si="258"/>
        <v>-0.58400000000000007</v>
      </c>
      <c r="T302" s="83">
        <f t="shared" si="258"/>
        <v>-0.43434343434343436</v>
      </c>
      <c r="U302" s="83">
        <f t="shared" si="258"/>
        <v>-0.55086071987480434</v>
      </c>
      <c r="V302" s="83">
        <f t="shared" si="258"/>
        <v>-0.26315789473684215</v>
      </c>
      <c r="W302" s="83">
        <f t="shared" si="258"/>
        <v>7.1428571428571397E-2</v>
      </c>
      <c r="X302" s="83">
        <f t="shared" si="258"/>
        <v>0.53846153846153855</v>
      </c>
      <c r="Y302" s="83">
        <f t="shared" si="258"/>
        <v>0.60714285714285721</v>
      </c>
      <c r="Z302" s="83">
        <f t="shared" si="258"/>
        <v>0.14982578397212554</v>
      </c>
      <c r="AA302" s="83">
        <f t="shared" si="258"/>
        <v>8.5714285714285632E-2</v>
      </c>
      <c r="AB302" s="83">
        <f t="shared" si="258"/>
        <v>-6.6666666666666652E-2</v>
      </c>
      <c r="AC302" s="99">
        <f t="shared" si="258"/>
        <v>-9.9999999999999978E-2</v>
      </c>
      <c r="AD302" s="99">
        <f t="shared" si="258"/>
        <v>-0.18888888888888888</v>
      </c>
      <c r="AE302" s="83">
        <f t="shared" si="258"/>
        <v>-7.5757575757575801E-2</v>
      </c>
      <c r="AF302" s="99">
        <f t="shared" si="258"/>
        <v>-6.5789473684210509E-2</v>
      </c>
      <c r="AG302" s="99">
        <f t="shared" si="258"/>
        <v>-0.11904761904761907</v>
      </c>
      <c r="AH302" s="99">
        <f t="shared" si="258"/>
        <v>-0.16666666666666663</v>
      </c>
      <c r="AI302" s="99">
        <f t="shared" si="258"/>
        <v>-2.7397260273972601E-2</v>
      </c>
      <c r="AJ302" s="83">
        <f t="shared" si="258"/>
        <v>-9.5081967213114793E-2</v>
      </c>
      <c r="AK302" s="99">
        <f t="shared" si="258"/>
        <v>-0.16901408450704225</v>
      </c>
      <c r="AL302" s="99">
        <f t="shared" si="258"/>
        <v>-5.4054054054054057E-2</v>
      </c>
      <c r="AM302" s="99">
        <f t="shared" si="258"/>
        <v>5.0000000000000044E-2</v>
      </c>
      <c r="AN302" s="99">
        <f t="shared" si="258"/>
        <v>-5.633802816901412E-2</v>
      </c>
      <c r="AO302" s="83">
        <f t="shared" si="258"/>
        <v>-6.1594202898550776E-2</v>
      </c>
      <c r="AP302" s="99">
        <f t="shared" si="258"/>
        <v>0.11864406779661008</v>
      </c>
      <c r="AQ302" s="99">
        <f t="shared" si="258"/>
        <v>-4.2857142857142816E-2</v>
      </c>
      <c r="AR302" s="99">
        <f t="shared" si="258"/>
        <v>1.5873015873015817E-2</v>
      </c>
      <c r="AS302" s="99">
        <f t="shared" si="258"/>
        <v>-0.14925373134328357</v>
      </c>
      <c r="AT302" s="83">
        <f t="shared" si="258"/>
        <v>-1.9305019305019266E-2</v>
      </c>
      <c r="AU302" s="83">
        <f t="shared" si="258"/>
        <v>-0.15151515151515149</v>
      </c>
      <c r="AV302" s="83">
        <f t="shared" si="258"/>
        <v>-0.17910447761194026</v>
      </c>
      <c r="AW302" s="83">
        <f t="shared" si="258"/>
        <v>-0.140625</v>
      </c>
      <c r="AX302" s="83">
        <f t="shared" si="258"/>
        <v>-5.2631578947368474E-2</v>
      </c>
      <c r="AY302" s="83">
        <f t="shared" si="258"/>
        <v>-0.13385826771653542</v>
      </c>
      <c r="AZ302" s="83">
        <f t="shared" si="258"/>
        <v>-5.3571428571428603E-2</v>
      </c>
      <c r="BA302" s="83">
        <f t="shared" si="258"/>
        <v>-0.12727272727272732</v>
      </c>
      <c r="BB302" s="83">
        <f t="shared" si="258"/>
        <v>-0.30909090909090908</v>
      </c>
      <c r="BC302" s="83">
        <f t="shared" si="258"/>
        <v>-0.33333333333333337</v>
      </c>
      <c r="BD302" s="83">
        <f t="shared" si="258"/>
        <v>-0.20454545454545459</v>
      </c>
      <c r="BE302" s="83"/>
      <c r="BF302" s="83"/>
      <c r="BG302" s="83"/>
      <c r="BH302" s="83"/>
      <c r="BI302" s="99"/>
      <c r="BJ302" s="99"/>
      <c r="BK302" s="156"/>
      <c r="BL302" s="99"/>
      <c r="BM302" s="99"/>
      <c r="BN302" s="99"/>
      <c r="BO302" s="99"/>
      <c r="BP302" s="156"/>
      <c r="BQ302" s="99"/>
      <c r="BR302" s="99"/>
      <c r="BS302" s="99"/>
      <c r="BT302" s="99"/>
      <c r="BU302" s="156"/>
      <c r="BV302" s="99"/>
      <c r="BW302" s="99"/>
      <c r="BX302" s="99"/>
      <c r="BY302" s="99"/>
      <c r="BZ302" s="99"/>
      <c r="CA302" s="99"/>
      <c r="CB302" s="99"/>
      <c r="CC302" s="99"/>
      <c r="CD302" s="99"/>
      <c r="CE302" s="99"/>
      <c r="CF302" s="99"/>
      <c r="CG302" s="99"/>
      <c r="CH302" s="99"/>
      <c r="CI302" s="99"/>
      <c r="CJ302" s="99"/>
      <c r="CK302" s="99"/>
      <c r="CL302" s="99"/>
      <c r="CM302" s="99"/>
      <c r="CN302" s="99"/>
      <c r="CO302" s="99"/>
      <c r="CP302" s="99"/>
      <c r="CQ302" s="99"/>
      <c r="CR302" s="99"/>
      <c r="CS302" s="99"/>
      <c r="CT302" s="99"/>
      <c r="CU302" s="99"/>
      <c r="CV302" s="99"/>
      <c r="CW302" s="99"/>
      <c r="CX302" s="99"/>
      <c r="CY302" s="99"/>
      <c r="CZ302" s="99"/>
      <c r="DA302" s="99"/>
      <c r="DB302" s="99"/>
      <c r="DC302" s="99"/>
      <c r="DD302" s="99"/>
      <c r="DE302" s="99"/>
      <c r="DF302" s="99"/>
      <c r="DG302" s="99"/>
      <c r="DH302" s="99"/>
      <c r="DI302" s="99"/>
      <c r="DJ302" s="99"/>
      <c r="DK302" s="99"/>
      <c r="DL302" s="199"/>
      <c r="DM302" s="199"/>
      <c r="DN302" s="199"/>
      <c r="DO302" s="199"/>
      <c r="DP302" s="199"/>
    </row>
    <row r="303" spans="1:120" hidden="1" x14ac:dyDescent="0.2">
      <c r="A303" s="115" t="s">
        <v>209</v>
      </c>
      <c r="B303" s="36">
        <v>36.964285714285708</v>
      </c>
      <c r="C303" s="36">
        <v>36.964285714285708</v>
      </c>
      <c r="D303" s="86">
        <v>60</v>
      </c>
      <c r="E303" s="36">
        <v>17.857142857142854</v>
      </c>
      <c r="F303" s="36">
        <v>151.78571428571428</v>
      </c>
      <c r="G303" s="36">
        <v>21</v>
      </c>
      <c r="H303" s="36">
        <v>36</v>
      </c>
      <c r="I303" s="86">
        <v>19</v>
      </c>
      <c r="J303" s="86">
        <v>31</v>
      </c>
      <c r="K303" s="36">
        <f>J303+I303+H303+G303</f>
        <v>107</v>
      </c>
      <c r="L303" s="86">
        <v>38</v>
      </c>
      <c r="M303" s="86">
        <v>24</v>
      </c>
      <c r="N303" s="86">
        <v>15.25</v>
      </c>
      <c r="O303" s="36">
        <v>14.25</v>
      </c>
      <c r="P303" s="36">
        <f>O303+N303+M303+L303</f>
        <v>91.5</v>
      </c>
      <c r="Q303" s="36">
        <v>6</v>
      </c>
      <c r="R303" s="36">
        <v>6</v>
      </c>
      <c r="S303" s="36">
        <v>9</v>
      </c>
      <c r="T303" s="36">
        <v>9</v>
      </c>
      <c r="U303" s="36">
        <f>T303+S303+R303+Q303</f>
        <v>30</v>
      </c>
      <c r="V303" s="36">
        <v>9</v>
      </c>
      <c r="W303" s="36">
        <v>10</v>
      </c>
      <c r="X303" s="36">
        <v>9</v>
      </c>
      <c r="Y303" s="36">
        <v>11</v>
      </c>
      <c r="Z303" s="36">
        <f>Y303+X303+W303+V303</f>
        <v>39</v>
      </c>
      <c r="AA303" s="36">
        <v>7</v>
      </c>
      <c r="AB303" s="36">
        <v>5</v>
      </c>
      <c r="AC303" s="36">
        <v>7</v>
      </c>
      <c r="AD303" s="36">
        <v>7</v>
      </c>
      <c r="AE303" s="36">
        <f>AD303+AC303+AB303+AA303</f>
        <v>26</v>
      </c>
      <c r="AF303" s="36">
        <v>6</v>
      </c>
      <c r="AG303" s="36">
        <v>5</v>
      </c>
      <c r="AH303" s="36">
        <v>5</v>
      </c>
      <c r="AI303" s="36">
        <v>5</v>
      </c>
      <c r="AJ303" s="36">
        <f>AI303+AH303+AG303+AF303</f>
        <v>21</v>
      </c>
      <c r="AK303" s="36">
        <v>4</v>
      </c>
      <c r="AL303" s="36">
        <v>3</v>
      </c>
      <c r="AM303" s="36">
        <v>3</v>
      </c>
      <c r="AN303" s="36">
        <v>3</v>
      </c>
      <c r="AO303" s="36">
        <f>AN303+AM303+AL303+AK303</f>
        <v>13</v>
      </c>
      <c r="AP303" s="36">
        <v>3</v>
      </c>
      <c r="AQ303" s="36">
        <v>3</v>
      </c>
      <c r="AR303" s="36">
        <v>2</v>
      </c>
      <c r="AS303" s="36">
        <v>2</v>
      </c>
      <c r="AT303" s="36">
        <f>AS303+AR303+AQ303+AP303</f>
        <v>10</v>
      </c>
      <c r="AU303" s="36">
        <v>3</v>
      </c>
      <c r="AV303" s="36">
        <v>2</v>
      </c>
      <c r="AW303" s="36">
        <v>2</v>
      </c>
      <c r="AX303" s="36">
        <v>2</v>
      </c>
      <c r="AY303" s="36">
        <f>AX303+AW303+AV303+AU303</f>
        <v>9</v>
      </c>
      <c r="AZ303" s="36">
        <v>2</v>
      </c>
      <c r="BA303" s="36">
        <v>1</v>
      </c>
      <c r="BB303" s="36">
        <v>1</v>
      </c>
      <c r="BC303" s="36">
        <v>1</v>
      </c>
      <c r="BD303" s="36">
        <f>BC303+BB303+BA303+AZ303</f>
        <v>5</v>
      </c>
      <c r="BE303" s="36"/>
      <c r="BF303" s="36"/>
      <c r="BG303" s="36"/>
      <c r="BH303" s="36"/>
      <c r="BI303" s="36"/>
      <c r="BJ303" s="36"/>
      <c r="BK303" s="36"/>
      <c r="BL303" s="36"/>
      <c r="BM303" s="36"/>
      <c r="BN303" s="36"/>
      <c r="BO303" s="36"/>
      <c r="BP303" s="36"/>
      <c r="BQ303" s="36"/>
      <c r="BR303" s="36"/>
      <c r="BS303" s="36"/>
      <c r="BT303" s="36"/>
      <c r="BU303" s="36"/>
      <c r="BV303" s="36"/>
      <c r="BW303" s="36"/>
      <c r="BX303" s="36"/>
      <c r="BY303" s="36"/>
      <c r="BZ303" s="36"/>
      <c r="CA303" s="36"/>
      <c r="CB303" s="36"/>
      <c r="CC303" s="36"/>
      <c r="CD303" s="36"/>
      <c r="CE303" s="36"/>
      <c r="CF303" s="36"/>
      <c r="CG303" s="36"/>
      <c r="CH303" s="36"/>
      <c r="CI303" s="36"/>
      <c r="CJ303" s="36"/>
      <c r="CK303" s="36"/>
      <c r="CL303" s="36"/>
      <c r="CM303" s="36"/>
      <c r="CN303" s="36"/>
      <c r="CO303" s="36"/>
      <c r="CP303" s="36"/>
      <c r="CQ303" s="36"/>
      <c r="CR303" s="36"/>
      <c r="CS303" s="36"/>
      <c r="CT303" s="36"/>
      <c r="CU303" s="36"/>
      <c r="CV303" s="36"/>
      <c r="CW303" s="36"/>
      <c r="CX303" s="36"/>
      <c r="CY303" s="36"/>
      <c r="CZ303" s="36"/>
      <c r="DA303" s="36"/>
      <c r="DB303" s="36"/>
      <c r="DC303" s="36"/>
      <c r="DD303" s="36"/>
      <c r="DE303" s="36"/>
      <c r="DF303" s="36"/>
      <c r="DG303" s="36"/>
      <c r="DH303" s="36"/>
      <c r="DI303" s="36"/>
      <c r="DJ303" s="36"/>
      <c r="DK303" s="36"/>
      <c r="DL303" s="183"/>
      <c r="DM303" s="183"/>
      <c r="DN303" s="183"/>
      <c r="DO303" s="183"/>
      <c r="DP303" s="183"/>
    </row>
    <row r="304" spans="1:120" hidden="1" x14ac:dyDescent="0.2">
      <c r="A304" s="115" t="s">
        <v>210</v>
      </c>
      <c r="B304" s="36">
        <v>67.10526315789474</v>
      </c>
      <c r="C304" s="36">
        <v>67.10526315789474</v>
      </c>
      <c r="D304" s="86">
        <v>50</v>
      </c>
      <c r="E304" s="36">
        <v>54.765291607396875</v>
      </c>
      <c r="F304" s="36">
        <v>238.97581792318636</v>
      </c>
      <c r="G304" s="36">
        <v>46</v>
      </c>
      <c r="H304" s="36">
        <v>48</v>
      </c>
      <c r="I304" s="86">
        <v>46</v>
      </c>
      <c r="J304" s="86">
        <v>47</v>
      </c>
      <c r="K304" s="36">
        <f>J304+I304+H304+G304</f>
        <v>187</v>
      </c>
      <c r="L304" s="86">
        <v>45</v>
      </c>
      <c r="M304" s="86">
        <v>57</v>
      </c>
      <c r="N304" s="86">
        <v>49</v>
      </c>
      <c r="O304" s="36">
        <v>48</v>
      </c>
      <c r="P304" s="36">
        <f>O304+N304+M304+L304</f>
        <v>199</v>
      </c>
      <c r="Q304" s="36">
        <v>58</v>
      </c>
      <c r="R304" s="36">
        <v>58</v>
      </c>
      <c r="S304" s="36">
        <v>56</v>
      </c>
      <c r="T304" s="36">
        <v>53</v>
      </c>
      <c r="U304" s="36">
        <f>T304+S304+R304+Q304</f>
        <v>225</v>
      </c>
      <c r="V304" s="36">
        <v>69</v>
      </c>
      <c r="W304" s="36">
        <v>78</v>
      </c>
      <c r="X304" s="36">
        <v>82</v>
      </c>
      <c r="Y304" s="36">
        <v>79</v>
      </c>
      <c r="Z304" s="36">
        <f>Y304+X304+W304+V304</f>
        <v>308</v>
      </c>
      <c r="AA304" s="36">
        <v>75</v>
      </c>
      <c r="AB304" s="36">
        <v>69</v>
      </c>
      <c r="AC304" s="36">
        <v>76</v>
      </c>
      <c r="AD304" s="36">
        <v>82</v>
      </c>
      <c r="AE304" s="36">
        <f>AD304+AC304+AB304+AA304</f>
        <v>302</v>
      </c>
      <c r="AF304" s="36">
        <v>76</v>
      </c>
      <c r="AG304" s="36">
        <v>70</v>
      </c>
      <c r="AH304" s="36">
        <v>67</v>
      </c>
      <c r="AI304" s="36">
        <v>75</v>
      </c>
      <c r="AJ304" s="36">
        <f>AI304+AH304+AG304+AF304</f>
        <v>288</v>
      </c>
      <c r="AK304" s="36">
        <v>72</v>
      </c>
      <c r="AL304" s="36">
        <v>76</v>
      </c>
      <c r="AM304" s="36">
        <v>65</v>
      </c>
      <c r="AN304" s="36">
        <v>49</v>
      </c>
      <c r="AO304" s="36">
        <f>AN304+AM304+AL304+AK304</f>
        <v>262</v>
      </c>
      <c r="AP304" s="36">
        <v>46</v>
      </c>
      <c r="AQ304" s="36">
        <v>53</v>
      </c>
      <c r="AR304" s="36">
        <v>47</v>
      </c>
      <c r="AS304" s="36">
        <v>50</v>
      </c>
      <c r="AT304" s="36">
        <f>AS304+AR304+AQ304+AP304</f>
        <v>196</v>
      </c>
      <c r="AU304" s="36">
        <v>49</v>
      </c>
      <c r="AV304" s="36">
        <v>46</v>
      </c>
      <c r="AW304" s="36">
        <v>47</v>
      </c>
      <c r="AX304" s="36">
        <v>56</v>
      </c>
      <c r="AY304" s="36">
        <f>AX304+AW304+AV304+AU304</f>
        <v>198</v>
      </c>
      <c r="AZ304" s="36">
        <v>43</v>
      </c>
      <c r="BA304" s="36">
        <v>48</v>
      </c>
      <c r="BB304" s="36">
        <v>55</v>
      </c>
      <c r="BC304" s="36">
        <v>40</v>
      </c>
      <c r="BD304" s="36">
        <f>BC304+BB304+BA304+AZ304</f>
        <v>186</v>
      </c>
      <c r="BE304" s="36"/>
      <c r="BF304" s="36"/>
      <c r="BG304" s="36"/>
      <c r="BH304" s="36"/>
      <c r="BI304" s="36"/>
      <c r="BJ304" s="36"/>
      <c r="BK304" s="36"/>
      <c r="BL304" s="36"/>
      <c r="BM304" s="36"/>
      <c r="BN304" s="36"/>
      <c r="BO304" s="36"/>
      <c r="BP304" s="36"/>
      <c r="BQ304" s="36"/>
      <c r="BR304" s="36"/>
      <c r="BS304" s="36"/>
      <c r="BT304" s="36"/>
      <c r="BU304" s="36"/>
      <c r="BV304" s="36"/>
      <c r="BW304" s="36"/>
      <c r="BX304" s="36"/>
      <c r="BY304" s="36"/>
      <c r="BZ304" s="36"/>
      <c r="CA304" s="36"/>
      <c r="CB304" s="36"/>
      <c r="CC304" s="36"/>
      <c r="CD304" s="36"/>
      <c r="CE304" s="36"/>
      <c r="CF304" s="36"/>
      <c r="CG304" s="36"/>
      <c r="CH304" s="36"/>
      <c r="CI304" s="36"/>
      <c r="CJ304" s="36"/>
      <c r="CK304" s="36"/>
      <c r="CL304" s="36"/>
      <c r="CM304" s="36"/>
      <c r="CN304" s="36"/>
      <c r="CO304" s="36"/>
      <c r="CP304" s="36"/>
      <c r="CQ304" s="36"/>
      <c r="CR304" s="36"/>
      <c r="CS304" s="36"/>
      <c r="CT304" s="36"/>
      <c r="CU304" s="36"/>
      <c r="CV304" s="36"/>
      <c r="CW304" s="36"/>
      <c r="CX304" s="36"/>
      <c r="CY304" s="36"/>
      <c r="CZ304" s="36"/>
      <c r="DA304" s="36"/>
      <c r="DB304" s="36"/>
      <c r="DC304" s="36"/>
      <c r="DD304" s="36"/>
      <c r="DE304" s="36"/>
      <c r="DF304" s="36"/>
      <c r="DG304" s="36"/>
      <c r="DH304" s="36"/>
      <c r="DI304" s="36"/>
      <c r="DJ304" s="36"/>
      <c r="DK304" s="36"/>
      <c r="DL304" s="183"/>
      <c r="DM304" s="183"/>
      <c r="DN304" s="183"/>
      <c r="DO304" s="183"/>
      <c r="DP304" s="183"/>
    </row>
    <row r="305" spans="1:120" hidden="1" x14ac:dyDescent="0.2">
      <c r="A305" s="116" t="s">
        <v>211</v>
      </c>
      <c r="B305" s="39">
        <f t="shared" ref="B305:U305" si="259">B304+B303</f>
        <v>104.06954887218045</v>
      </c>
      <c r="C305" s="39">
        <f t="shared" si="259"/>
        <v>104.06954887218045</v>
      </c>
      <c r="D305" s="39">
        <f t="shared" si="259"/>
        <v>110</v>
      </c>
      <c r="E305" s="39">
        <f t="shared" si="259"/>
        <v>72.622434464539737</v>
      </c>
      <c r="F305" s="39">
        <f t="shared" si="259"/>
        <v>390.76153220890063</v>
      </c>
      <c r="G305" s="39">
        <f t="shared" si="259"/>
        <v>67</v>
      </c>
      <c r="H305" s="39">
        <f t="shared" si="259"/>
        <v>84</v>
      </c>
      <c r="I305" s="39">
        <f t="shared" si="259"/>
        <v>65</v>
      </c>
      <c r="J305" s="39">
        <f t="shared" si="259"/>
        <v>78</v>
      </c>
      <c r="K305" s="39">
        <f t="shared" si="259"/>
        <v>294</v>
      </c>
      <c r="L305" s="39">
        <f t="shared" si="259"/>
        <v>83</v>
      </c>
      <c r="M305" s="39">
        <f t="shared" si="259"/>
        <v>81</v>
      </c>
      <c r="N305" s="39">
        <f t="shared" si="259"/>
        <v>64.25</v>
      </c>
      <c r="O305" s="39">
        <f t="shared" si="259"/>
        <v>62.25</v>
      </c>
      <c r="P305" s="39">
        <f t="shared" si="259"/>
        <v>290.5</v>
      </c>
      <c r="Q305" s="39">
        <f t="shared" si="259"/>
        <v>64</v>
      </c>
      <c r="R305" s="39">
        <f t="shared" si="259"/>
        <v>64</v>
      </c>
      <c r="S305" s="39">
        <f t="shared" si="259"/>
        <v>65</v>
      </c>
      <c r="T305" s="39">
        <f t="shared" si="259"/>
        <v>62</v>
      </c>
      <c r="U305" s="39">
        <f t="shared" si="259"/>
        <v>255</v>
      </c>
      <c r="V305" s="39">
        <f>V304+V303+1</f>
        <v>79</v>
      </c>
      <c r="W305" s="39">
        <f>W304+W303+1</f>
        <v>89</v>
      </c>
      <c r="X305" s="39">
        <f>X304+X303+1</f>
        <v>92</v>
      </c>
      <c r="Y305" s="39">
        <f>Y304+Y303+1</f>
        <v>91</v>
      </c>
      <c r="Z305" s="39">
        <f>Z304+Z303</f>
        <v>347</v>
      </c>
      <c r="AA305" s="39">
        <f>AA304+AA303+1</f>
        <v>83</v>
      </c>
      <c r="AB305" s="39">
        <f>AB304+AB303+1</f>
        <v>75</v>
      </c>
      <c r="AC305" s="39">
        <f t="shared" ref="AC305:BD305" si="260">AC304+AC303</f>
        <v>83</v>
      </c>
      <c r="AD305" s="39">
        <f t="shared" si="260"/>
        <v>89</v>
      </c>
      <c r="AE305" s="39">
        <f t="shared" si="260"/>
        <v>328</v>
      </c>
      <c r="AF305" s="39">
        <f t="shared" si="260"/>
        <v>82</v>
      </c>
      <c r="AG305" s="39">
        <f t="shared" si="260"/>
        <v>75</v>
      </c>
      <c r="AH305" s="39">
        <f t="shared" si="260"/>
        <v>72</v>
      </c>
      <c r="AI305" s="39">
        <f t="shared" si="260"/>
        <v>80</v>
      </c>
      <c r="AJ305" s="39">
        <f t="shared" si="260"/>
        <v>309</v>
      </c>
      <c r="AK305" s="39">
        <f t="shared" si="260"/>
        <v>76</v>
      </c>
      <c r="AL305" s="39">
        <f t="shared" si="260"/>
        <v>79</v>
      </c>
      <c r="AM305" s="39">
        <f t="shared" si="260"/>
        <v>68</v>
      </c>
      <c r="AN305" s="39">
        <f t="shared" si="260"/>
        <v>52</v>
      </c>
      <c r="AO305" s="39">
        <f t="shared" si="260"/>
        <v>275</v>
      </c>
      <c r="AP305" s="39">
        <f t="shared" si="260"/>
        <v>49</v>
      </c>
      <c r="AQ305" s="39">
        <f t="shared" si="260"/>
        <v>56</v>
      </c>
      <c r="AR305" s="39">
        <f t="shared" si="260"/>
        <v>49</v>
      </c>
      <c r="AS305" s="39">
        <f t="shared" si="260"/>
        <v>52</v>
      </c>
      <c r="AT305" s="39">
        <f t="shared" si="260"/>
        <v>206</v>
      </c>
      <c r="AU305" s="39">
        <f t="shared" si="260"/>
        <v>52</v>
      </c>
      <c r="AV305" s="39">
        <f t="shared" si="260"/>
        <v>48</v>
      </c>
      <c r="AW305" s="39">
        <f t="shared" si="260"/>
        <v>49</v>
      </c>
      <c r="AX305" s="39">
        <f t="shared" si="260"/>
        <v>58</v>
      </c>
      <c r="AY305" s="39">
        <f t="shared" si="260"/>
        <v>207</v>
      </c>
      <c r="AZ305" s="39">
        <f t="shared" si="260"/>
        <v>45</v>
      </c>
      <c r="BA305" s="39">
        <f t="shared" si="260"/>
        <v>49</v>
      </c>
      <c r="BB305" s="39">
        <f t="shared" si="260"/>
        <v>56</v>
      </c>
      <c r="BC305" s="39">
        <f t="shared" si="260"/>
        <v>41</v>
      </c>
      <c r="BD305" s="39">
        <f t="shared" si="260"/>
        <v>191</v>
      </c>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187"/>
      <c r="DM305" s="187"/>
      <c r="DN305" s="187"/>
      <c r="DO305" s="187"/>
      <c r="DP305" s="187"/>
    </row>
    <row r="306" spans="1:120" hidden="1" x14ac:dyDescent="0.2">
      <c r="A306" s="68" t="s">
        <v>54</v>
      </c>
      <c r="G306" s="76">
        <f t="shared" ref="G306:BD308" si="261">G303/B303-1</f>
        <v>-0.43188405797101437</v>
      </c>
      <c r="H306" s="76">
        <f t="shared" si="261"/>
        <v>-2.608695652173898E-2</v>
      </c>
      <c r="I306" s="76">
        <f t="shared" si="261"/>
        <v>-0.68333333333333335</v>
      </c>
      <c r="J306" s="76">
        <f t="shared" si="261"/>
        <v>0.73600000000000021</v>
      </c>
      <c r="K306" s="76">
        <f t="shared" si="261"/>
        <v>-0.29505882352941171</v>
      </c>
      <c r="L306" s="76">
        <f t="shared" si="261"/>
        <v>0.80952380952380953</v>
      </c>
      <c r="M306" s="76">
        <f t="shared" si="261"/>
        <v>-0.33333333333333337</v>
      </c>
      <c r="N306" s="76">
        <f t="shared" si="261"/>
        <v>-0.19736842105263153</v>
      </c>
      <c r="O306" s="76">
        <f t="shared" si="261"/>
        <v>-0.54032258064516125</v>
      </c>
      <c r="P306" s="76">
        <f t="shared" si="261"/>
        <v>-0.14485981308411211</v>
      </c>
      <c r="Q306" s="76">
        <f t="shared" si="261"/>
        <v>-0.84210526315789469</v>
      </c>
      <c r="R306" s="76">
        <f t="shared" si="261"/>
        <v>-0.75</v>
      </c>
      <c r="S306" s="76">
        <f t="shared" si="261"/>
        <v>-0.4098360655737705</v>
      </c>
      <c r="T306" s="76">
        <f t="shared" si="261"/>
        <v>-0.36842105263157898</v>
      </c>
      <c r="U306" s="76">
        <f t="shared" si="261"/>
        <v>-0.67213114754098369</v>
      </c>
      <c r="V306" s="90">
        <f t="shared" si="261"/>
        <v>0.5</v>
      </c>
      <c r="W306" s="90">
        <f t="shared" si="261"/>
        <v>0.66666666666666674</v>
      </c>
      <c r="X306" s="90">
        <f t="shared" si="261"/>
        <v>0</v>
      </c>
      <c r="Y306" s="90">
        <f t="shared" si="261"/>
        <v>0.22222222222222232</v>
      </c>
      <c r="Z306" s="76">
        <f t="shared" si="261"/>
        <v>0.30000000000000004</v>
      </c>
      <c r="AA306" s="90">
        <f t="shared" si="261"/>
        <v>-0.22222222222222221</v>
      </c>
      <c r="AB306" s="90">
        <f t="shared" si="261"/>
        <v>-0.5</v>
      </c>
      <c r="AC306" s="90">
        <f t="shared" si="261"/>
        <v>-0.22222222222222221</v>
      </c>
      <c r="AD306" s="90">
        <f t="shared" si="261"/>
        <v>-0.36363636363636365</v>
      </c>
      <c r="AE306" s="76">
        <f t="shared" si="261"/>
        <v>-0.33333333333333337</v>
      </c>
      <c r="AF306" s="90">
        <f t="shared" si="261"/>
        <v>-0.1428571428571429</v>
      </c>
      <c r="AG306" s="90">
        <f t="shared" si="261"/>
        <v>0</v>
      </c>
      <c r="AH306" s="90">
        <f t="shared" si="261"/>
        <v>-0.2857142857142857</v>
      </c>
      <c r="AI306" s="90">
        <f t="shared" si="261"/>
        <v>-0.2857142857142857</v>
      </c>
      <c r="AJ306" s="76">
        <f t="shared" si="261"/>
        <v>-0.19230769230769229</v>
      </c>
      <c r="AK306" s="90">
        <f t="shared" si="261"/>
        <v>-0.33333333333333337</v>
      </c>
      <c r="AL306" s="90">
        <f t="shared" si="261"/>
        <v>-0.4</v>
      </c>
      <c r="AM306" s="90">
        <f t="shared" si="261"/>
        <v>-0.4</v>
      </c>
      <c r="AN306" s="90">
        <f t="shared" si="261"/>
        <v>-0.4</v>
      </c>
      <c r="AO306" s="76">
        <f t="shared" si="261"/>
        <v>-0.38095238095238093</v>
      </c>
      <c r="AP306" s="90">
        <f t="shared" si="261"/>
        <v>-0.25</v>
      </c>
      <c r="AQ306" s="90">
        <f t="shared" si="261"/>
        <v>0</v>
      </c>
      <c r="AR306" s="90">
        <f t="shared" si="261"/>
        <v>-0.33333333333333337</v>
      </c>
      <c r="AS306" s="90">
        <f t="shared" si="261"/>
        <v>-0.33333333333333337</v>
      </c>
      <c r="AT306" s="76">
        <f t="shared" si="261"/>
        <v>-0.23076923076923073</v>
      </c>
      <c r="AU306" s="90">
        <f t="shared" si="261"/>
        <v>0</v>
      </c>
      <c r="AV306" s="90">
        <f t="shared" si="261"/>
        <v>-0.33333333333333337</v>
      </c>
      <c r="AW306" s="90">
        <f t="shared" si="261"/>
        <v>0</v>
      </c>
      <c r="AX306" s="90">
        <f t="shared" si="261"/>
        <v>0</v>
      </c>
      <c r="AY306" s="76">
        <f t="shared" si="261"/>
        <v>-9.9999999999999978E-2</v>
      </c>
      <c r="AZ306" s="90">
        <f t="shared" si="261"/>
        <v>-0.33333333333333337</v>
      </c>
      <c r="BA306" s="90">
        <f t="shared" si="261"/>
        <v>-0.5</v>
      </c>
      <c r="BB306" s="90">
        <f t="shared" si="261"/>
        <v>-0.5</v>
      </c>
      <c r="BC306" s="90">
        <f t="shared" si="261"/>
        <v>-0.5</v>
      </c>
      <c r="BD306" s="76">
        <f t="shared" si="261"/>
        <v>-0.44444444444444442</v>
      </c>
      <c r="BE306" s="76"/>
      <c r="BF306" s="76"/>
      <c r="BG306" s="76"/>
      <c r="BH306" s="76"/>
      <c r="BI306" s="90"/>
      <c r="BJ306" s="90"/>
      <c r="BK306" s="139"/>
      <c r="BL306" s="90"/>
      <c r="BM306" s="90"/>
      <c r="BN306" s="90"/>
      <c r="BO306" s="90"/>
      <c r="BP306" s="139"/>
      <c r="BQ306" s="90"/>
      <c r="BR306" s="90"/>
      <c r="BS306" s="90"/>
      <c r="BT306" s="90"/>
      <c r="BU306" s="139"/>
      <c r="BV306" s="90"/>
      <c r="BW306" s="90"/>
      <c r="BX306" s="90"/>
      <c r="BY306" s="90"/>
      <c r="BZ306" s="90"/>
      <c r="CA306" s="90"/>
      <c r="CB306" s="90"/>
      <c r="CC306" s="90"/>
      <c r="CD306" s="90"/>
      <c r="CE306" s="90"/>
      <c r="CF306" s="90"/>
      <c r="CG306" s="90"/>
      <c r="CH306" s="90"/>
      <c r="CI306" s="90"/>
      <c r="CJ306" s="90"/>
      <c r="CK306" s="90"/>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188"/>
      <c r="DM306" s="188"/>
      <c r="DN306" s="188"/>
      <c r="DO306" s="188"/>
      <c r="DP306" s="188"/>
    </row>
    <row r="307" spans="1:120" hidden="1" x14ac:dyDescent="0.2">
      <c r="A307" s="68" t="s">
        <v>55</v>
      </c>
      <c r="G307" s="76">
        <f t="shared" si="261"/>
        <v>-0.31450980392156869</v>
      </c>
      <c r="H307" s="76">
        <f t="shared" si="261"/>
        <v>-0.28470588235294125</v>
      </c>
      <c r="I307" s="76">
        <f t="shared" si="261"/>
        <v>-7.999999999999996E-2</v>
      </c>
      <c r="J307" s="76">
        <f t="shared" si="261"/>
        <v>-0.14179220779220791</v>
      </c>
      <c r="K307" s="76">
        <f t="shared" si="261"/>
        <v>-0.21749404761904767</v>
      </c>
      <c r="L307" s="76">
        <f t="shared" si="261"/>
        <v>-2.1739130434782594E-2</v>
      </c>
      <c r="M307" s="76">
        <f t="shared" si="261"/>
        <v>0.1875</v>
      </c>
      <c r="N307" s="76">
        <f t="shared" si="261"/>
        <v>6.5217391304347894E-2</v>
      </c>
      <c r="O307" s="76">
        <f t="shared" si="261"/>
        <v>2.1276595744680771E-2</v>
      </c>
      <c r="P307" s="76">
        <f t="shared" si="261"/>
        <v>6.4171122994652441E-2</v>
      </c>
      <c r="Q307" s="76">
        <f t="shared" si="261"/>
        <v>0.28888888888888897</v>
      </c>
      <c r="R307" s="76">
        <f t="shared" si="261"/>
        <v>1.7543859649122862E-2</v>
      </c>
      <c r="S307" s="76">
        <f t="shared" si="261"/>
        <v>0.14285714285714279</v>
      </c>
      <c r="T307" s="76">
        <f t="shared" si="261"/>
        <v>0.10416666666666674</v>
      </c>
      <c r="U307" s="76">
        <f t="shared" si="261"/>
        <v>0.13065326633165819</v>
      </c>
      <c r="V307" s="90">
        <f t="shared" si="261"/>
        <v>0.18965517241379315</v>
      </c>
      <c r="W307" s="90">
        <f t="shared" si="261"/>
        <v>0.34482758620689657</v>
      </c>
      <c r="X307" s="90">
        <f t="shared" si="261"/>
        <v>0.46428571428571419</v>
      </c>
      <c r="Y307" s="90">
        <f t="shared" si="261"/>
        <v>0.49056603773584895</v>
      </c>
      <c r="Z307" s="76">
        <f t="shared" si="261"/>
        <v>0.36888888888888882</v>
      </c>
      <c r="AA307" s="90">
        <f t="shared" si="261"/>
        <v>8.6956521739130377E-2</v>
      </c>
      <c r="AB307" s="90">
        <f t="shared" si="261"/>
        <v>-0.11538461538461542</v>
      </c>
      <c r="AC307" s="90">
        <f t="shared" si="261"/>
        <v>-7.3170731707317027E-2</v>
      </c>
      <c r="AD307" s="90">
        <f t="shared" si="261"/>
        <v>3.7974683544303778E-2</v>
      </c>
      <c r="AE307" s="76">
        <f t="shared" si="261"/>
        <v>-1.9480519480519431E-2</v>
      </c>
      <c r="AF307" s="90">
        <f t="shared" si="261"/>
        <v>1.3333333333333419E-2</v>
      </c>
      <c r="AG307" s="90">
        <f t="shared" si="261"/>
        <v>1.449275362318847E-2</v>
      </c>
      <c r="AH307" s="90">
        <f t="shared" si="261"/>
        <v>-0.11842105263157898</v>
      </c>
      <c r="AI307" s="90">
        <f t="shared" si="261"/>
        <v>-8.536585365853655E-2</v>
      </c>
      <c r="AJ307" s="76">
        <f t="shared" si="261"/>
        <v>-4.635761589403975E-2</v>
      </c>
      <c r="AK307" s="90">
        <f t="shared" si="261"/>
        <v>-5.2631578947368474E-2</v>
      </c>
      <c r="AL307" s="90">
        <f t="shared" si="261"/>
        <v>8.5714285714285632E-2</v>
      </c>
      <c r="AM307" s="90">
        <f t="shared" si="261"/>
        <v>-2.9850746268656692E-2</v>
      </c>
      <c r="AN307" s="90">
        <f t="shared" si="261"/>
        <v>-0.34666666666666668</v>
      </c>
      <c r="AO307" s="76">
        <f t="shared" si="261"/>
        <v>-9.027777777777779E-2</v>
      </c>
      <c r="AP307" s="90">
        <f t="shared" si="261"/>
        <v>-0.36111111111111116</v>
      </c>
      <c r="AQ307" s="90">
        <f t="shared" si="261"/>
        <v>-0.30263157894736847</v>
      </c>
      <c r="AR307" s="90">
        <f t="shared" si="261"/>
        <v>-0.27692307692307694</v>
      </c>
      <c r="AS307" s="90">
        <f t="shared" si="261"/>
        <v>2.0408163265306145E-2</v>
      </c>
      <c r="AT307" s="76">
        <f t="shared" si="261"/>
        <v>-0.25190839694656486</v>
      </c>
      <c r="AU307" s="90">
        <f t="shared" si="261"/>
        <v>6.5217391304347894E-2</v>
      </c>
      <c r="AV307" s="90">
        <f t="shared" si="261"/>
        <v>-0.13207547169811318</v>
      </c>
      <c r="AW307" s="90">
        <f t="shared" si="261"/>
        <v>0</v>
      </c>
      <c r="AX307" s="90">
        <f t="shared" si="261"/>
        <v>0.12000000000000011</v>
      </c>
      <c r="AY307" s="76">
        <f t="shared" si="261"/>
        <v>1.0204081632652962E-2</v>
      </c>
      <c r="AZ307" s="90">
        <f t="shared" si="261"/>
        <v>-0.12244897959183676</v>
      </c>
      <c r="BA307" s="90">
        <f t="shared" si="261"/>
        <v>4.3478260869565188E-2</v>
      </c>
      <c r="BB307" s="90">
        <f t="shared" si="261"/>
        <v>0.17021276595744683</v>
      </c>
      <c r="BC307" s="90">
        <f t="shared" si="261"/>
        <v>-0.2857142857142857</v>
      </c>
      <c r="BD307" s="76">
        <f t="shared" si="261"/>
        <v>-6.0606060606060552E-2</v>
      </c>
      <c r="BE307" s="76"/>
      <c r="BF307" s="76"/>
      <c r="BG307" s="76"/>
      <c r="BH307" s="76"/>
      <c r="BI307" s="90"/>
      <c r="BJ307" s="90"/>
      <c r="BK307" s="139"/>
      <c r="BL307" s="90"/>
      <c r="BM307" s="90"/>
      <c r="BN307" s="90"/>
      <c r="BO307" s="90"/>
      <c r="BP307" s="139"/>
      <c r="BQ307" s="90"/>
      <c r="BR307" s="90"/>
      <c r="BS307" s="90"/>
      <c r="BT307" s="90"/>
      <c r="BU307" s="139"/>
      <c r="BV307" s="90"/>
      <c r="BW307" s="90"/>
      <c r="BX307" s="90"/>
      <c r="BY307" s="90"/>
      <c r="BZ307" s="90"/>
      <c r="CA307" s="90"/>
      <c r="CB307" s="90"/>
      <c r="CC307" s="90"/>
      <c r="CD307" s="90"/>
      <c r="CE307" s="90"/>
      <c r="CF307" s="90"/>
      <c r="CG307" s="90"/>
      <c r="CH307" s="90"/>
      <c r="CI307" s="90"/>
      <c r="CJ307" s="90"/>
      <c r="CK307" s="90"/>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188"/>
      <c r="DM307" s="188"/>
      <c r="DN307" s="188"/>
      <c r="DO307" s="188"/>
      <c r="DP307" s="188"/>
    </row>
    <row r="308" spans="1:120" hidden="1" x14ac:dyDescent="0.2">
      <c r="A308" s="78" t="s">
        <v>56</v>
      </c>
      <c r="B308" s="79"/>
      <c r="C308" s="79"/>
      <c r="D308" s="79"/>
      <c r="E308" s="79"/>
      <c r="F308" s="79"/>
      <c r="G308" s="80">
        <f t="shared" si="261"/>
        <v>-0.35619976519461749</v>
      </c>
      <c r="H308" s="80">
        <f t="shared" si="261"/>
        <v>-0.19284746681116227</v>
      </c>
      <c r="I308" s="80">
        <f t="shared" si="261"/>
        <v>-0.40909090909090906</v>
      </c>
      <c r="J308" s="80">
        <f t="shared" si="261"/>
        <v>7.4048268625393376E-2</v>
      </c>
      <c r="K308" s="80">
        <f t="shared" si="261"/>
        <v>-0.24762297266551825</v>
      </c>
      <c r="L308" s="80">
        <f t="shared" si="261"/>
        <v>0.23880597014925375</v>
      </c>
      <c r="M308" s="80">
        <f t="shared" si="261"/>
        <v>-3.5714285714285698E-2</v>
      </c>
      <c r="N308" s="80">
        <f t="shared" si="261"/>
        <v>-1.1538461538461497E-2</v>
      </c>
      <c r="O308" s="80">
        <f t="shared" si="261"/>
        <v>-0.20192307692307687</v>
      </c>
      <c r="P308" s="80">
        <f t="shared" si="261"/>
        <v>-1.1904761904761862E-2</v>
      </c>
      <c r="Q308" s="80">
        <f t="shared" si="261"/>
        <v>-0.22891566265060237</v>
      </c>
      <c r="R308" s="80">
        <f t="shared" si="261"/>
        <v>-0.20987654320987659</v>
      </c>
      <c r="S308" s="80">
        <f t="shared" si="261"/>
        <v>1.1673151750972721E-2</v>
      </c>
      <c r="T308" s="80">
        <f t="shared" si="261"/>
        <v>-4.0160642570281624E-3</v>
      </c>
      <c r="U308" s="80">
        <f t="shared" si="261"/>
        <v>-0.12220309810671259</v>
      </c>
      <c r="V308" s="80">
        <f t="shared" si="261"/>
        <v>0.234375</v>
      </c>
      <c r="W308" s="80">
        <f t="shared" si="261"/>
        <v>0.390625</v>
      </c>
      <c r="X308" s="80">
        <f t="shared" si="261"/>
        <v>0.41538461538461546</v>
      </c>
      <c r="Y308" s="80">
        <f t="shared" si="261"/>
        <v>0.467741935483871</v>
      </c>
      <c r="Z308" s="80">
        <f t="shared" si="261"/>
        <v>0.36078431372549025</v>
      </c>
      <c r="AA308" s="80">
        <f t="shared" si="261"/>
        <v>5.0632911392405111E-2</v>
      </c>
      <c r="AB308" s="80">
        <f t="shared" si="261"/>
        <v>-0.15730337078651691</v>
      </c>
      <c r="AC308" s="80">
        <f t="shared" si="261"/>
        <v>-9.7826086956521729E-2</v>
      </c>
      <c r="AD308" s="80">
        <f t="shared" si="261"/>
        <v>-2.1978021978022011E-2</v>
      </c>
      <c r="AE308" s="80">
        <f t="shared" si="261"/>
        <v>-5.4755043227665667E-2</v>
      </c>
      <c r="AF308" s="80">
        <f t="shared" si="261"/>
        <v>-1.2048192771084376E-2</v>
      </c>
      <c r="AG308" s="80">
        <f t="shared" si="261"/>
        <v>0</v>
      </c>
      <c r="AH308" s="80">
        <f t="shared" si="261"/>
        <v>-0.13253012048192769</v>
      </c>
      <c r="AI308" s="80">
        <f t="shared" si="261"/>
        <v>-0.101123595505618</v>
      </c>
      <c r="AJ308" s="80">
        <f t="shared" si="261"/>
        <v>-5.7926829268292734E-2</v>
      </c>
      <c r="AK308" s="80">
        <f t="shared" si="261"/>
        <v>-7.3170731707317027E-2</v>
      </c>
      <c r="AL308" s="80">
        <f t="shared" si="261"/>
        <v>5.3333333333333233E-2</v>
      </c>
      <c r="AM308" s="80">
        <f t="shared" si="261"/>
        <v>-5.555555555555558E-2</v>
      </c>
      <c r="AN308" s="80">
        <f t="shared" si="261"/>
        <v>-0.35</v>
      </c>
      <c r="AO308" s="80">
        <f t="shared" si="261"/>
        <v>-0.11003236245954695</v>
      </c>
      <c r="AP308" s="80">
        <f t="shared" si="261"/>
        <v>-0.35526315789473684</v>
      </c>
      <c r="AQ308" s="80">
        <f t="shared" si="261"/>
        <v>-0.29113924050632911</v>
      </c>
      <c r="AR308" s="80">
        <f t="shared" si="261"/>
        <v>-0.27941176470588236</v>
      </c>
      <c r="AS308" s="80">
        <f t="shared" si="261"/>
        <v>0</v>
      </c>
      <c r="AT308" s="80">
        <f t="shared" si="261"/>
        <v>-0.25090909090909086</v>
      </c>
      <c r="AU308" s="80">
        <f t="shared" si="261"/>
        <v>6.1224489795918435E-2</v>
      </c>
      <c r="AV308" s="80">
        <f t="shared" si="261"/>
        <v>-0.1428571428571429</v>
      </c>
      <c r="AW308" s="80">
        <f t="shared" si="261"/>
        <v>0</v>
      </c>
      <c r="AX308" s="80">
        <f t="shared" si="261"/>
        <v>0.11538461538461542</v>
      </c>
      <c r="AY308" s="80">
        <f t="shared" si="261"/>
        <v>4.8543689320388328E-3</v>
      </c>
      <c r="AZ308" s="80">
        <f t="shared" si="261"/>
        <v>-0.13461538461538458</v>
      </c>
      <c r="BA308" s="80">
        <f t="shared" si="261"/>
        <v>2.0833333333333259E-2</v>
      </c>
      <c r="BB308" s="80">
        <f t="shared" si="261"/>
        <v>0.14285714285714279</v>
      </c>
      <c r="BC308" s="80">
        <f t="shared" si="261"/>
        <v>-0.2931034482758621</v>
      </c>
      <c r="BD308" s="80">
        <f t="shared" si="261"/>
        <v>-7.7294685990338174E-2</v>
      </c>
      <c r="BE308" s="80"/>
      <c r="BF308" s="80"/>
      <c r="BG308" s="80"/>
      <c r="BH308" s="80"/>
      <c r="BI308" s="80"/>
      <c r="BJ308" s="80"/>
      <c r="BK308" s="91"/>
      <c r="BL308" s="80"/>
      <c r="BM308" s="80"/>
      <c r="BN308" s="80"/>
      <c r="BO308" s="80"/>
      <c r="BP308" s="91"/>
      <c r="BQ308" s="80"/>
      <c r="BR308" s="80"/>
      <c r="BS308" s="80"/>
      <c r="BT308" s="80"/>
      <c r="BU308" s="91"/>
      <c r="BV308" s="80"/>
      <c r="BW308" s="80"/>
      <c r="BX308" s="80"/>
      <c r="BY308" s="80"/>
      <c r="BZ308" s="80"/>
      <c r="CA308" s="80"/>
      <c r="CB308" s="80"/>
      <c r="CC308" s="80"/>
      <c r="CD308" s="80"/>
      <c r="CE308" s="80"/>
      <c r="CF308" s="80"/>
      <c r="CG308" s="80"/>
      <c r="CH308" s="80"/>
      <c r="CI308" s="80"/>
      <c r="CJ308" s="80"/>
      <c r="CK308" s="80"/>
      <c r="CL308" s="80"/>
      <c r="CM308" s="80"/>
      <c r="CN308" s="80"/>
      <c r="CO308" s="80"/>
      <c r="CP308" s="80"/>
      <c r="CQ308" s="80"/>
      <c r="CR308" s="80"/>
      <c r="CS308" s="80"/>
      <c r="CT308" s="80"/>
      <c r="CU308" s="80"/>
      <c r="CV308" s="80"/>
      <c r="CW308" s="80"/>
      <c r="CX308" s="80"/>
      <c r="CY308" s="80"/>
      <c r="CZ308" s="80"/>
      <c r="DA308" s="80"/>
      <c r="DB308" s="80"/>
      <c r="DC308" s="80"/>
      <c r="DD308" s="80"/>
      <c r="DE308" s="80"/>
      <c r="DF308" s="80"/>
      <c r="DG308" s="80"/>
      <c r="DH308" s="80"/>
      <c r="DI308" s="80"/>
      <c r="DJ308" s="80"/>
      <c r="DK308" s="80"/>
      <c r="DL308" s="189"/>
      <c r="DM308" s="189"/>
      <c r="DN308" s="189"/>
      <c r="DO308" s="189"/>
      <c r="DP308" s="189"/>
    </row>
    <row r="309" spans="1:120" hidden="1" x14ac:dyDescent="0.2">
      <c r="A309" s="66"/>
      <c r="G309" s="67"/>
      <c r="H309" s="67"/>
      <c r="I309" s="67"/>
      <c r="J309" s="67"/>
      <c r="K309" s="67"/>
      <c r="L309" s="67"/>
      <c r="M309" s="67"/>
      <c r="N309" s="67"/>
      <c r="O309" s="67"/>
      <c r="P309" s="67"/>
      <c r="Q309" s="67"/>
      <c r="R309" s="67"/>
      <c r="S309" s="67"/>
      <c r="T309" s="67"/>
      <c r="U309" s="67"/>
      <c r="V309" s="75"/>
      <c r="W309" s="75"/>
      <c r="X309" s="75"/>
      <c r="Y309" s="75"/>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c r="AY309" s="67"/>
      <c r="AZ309" s="67"/>
      <c r="BA309" s="67"/>
      <c r="BB309" s="67"/>
      <c r="BC309" s="67"/>
      <c r="BD309" s="67"/>
      <c r="BE309" s="67"/>
      <c r="BF309" s="67"/>
      <c r="BG309" s="67"/>
      <c r="BH309" s="67"/>
      <c r="BI309" s="67"/>
      <c r="BJ309" s="67"/>
      <c r="BK309" s="67"/>
      <c r="BL309" s="67"/>
      <c r="BM309" s="67"/>
      <c r="BN309" s="67"/>
      <c r="BO309" s="67"/>
      <c r="BP309" s="67"/>
      <c r="BQ309" s="67"/>
      <c r="BR309" s="67"/>
      <c r="BS309" s="67"/>
      <c r="BT309" s="67"/>
      <c r="BU309" s="67"/>
      <c r="BV309" s="67"/>
      <c r="BW309" s="67"/>
      <c r="BX309" s="67"/>
      <c r="BY309" s="67"/>
      <c r="BZ309" s="67"/>
      <c r="CA309" s="67"/>
      <c r="CB309" s="67"/>
      <c r="CC309" s="67"/>
      <c r="CD309" s="67"/>
      <c r="CE309" s="67"/>
      <c r="CF309" s="67"/>
      <c r="CG309" s="67"/>
      <c r="CH309" s="67"/>
      <c r="CI309" s="67"/>
      <c r="CJ309" s="67"/>
      <c r="CK309" s="67"/>
      <c r="CL309" s="67"/>
      <c r="CM309" s="67"/>
      <c r="CN309" s="67"/>
      <c r="CO309" s="67"/>
      <c r="CP309" s="67"/>
      <c r="CQ309" s="67"/>
      <c r="CR309" s="67"/>
      <c r="CS309" s="67"/>
      <c r="CT309" s="67"/>
      <c r="CU309" s="67"/>
      <c r="CV309" s="67"/>
      <c r="CW309" s="67"/>
      <c r="CX309" s="67"/>
      <c r="CY309" s="67"/>
      <c r="CZ309" s="67"/>
      <c r="DA309" s="67"/>
      <c r="DB309" s="67"/>
      <c r="DC309" s="67"/>
      <c r="DD309" s="67"/>
      <c r="DE309" s="67"/>
      <c r="DF309" s="67"/>
      <c r="DG309" s="67"/>
      <c r="DH309" s="67"/>
      <c r="DI309" s="67"/>
      <c r="DJ309" s="67"/>
      <c r="DK309" s="67"/>
      <c r="DL309" s="194"/>
      <c r="DM309" s="194"/>
      <c r="DN309" s="194"/>
      <c r="DO309" s="194"/>
      <c r="DP309" s="194"/>
    </row>
    <row r="310" spans="1:120" hidden="1" x14ac:dyDescent="0.2">
      <c r="A310" s="66" t="s">
        <v>212</v>
      </c>
      <c r="G310" s="67"/>
      <c r="H310" s="67"/>
      <c r="I310" s="67"/>
      <c r="J310" s="67"/>
      <c r="K310" s="67"/>
      <c r="L310" s="67"/>
      <c r="M310" s="67"/>
      <c r="N310" s="67"/>
      <c r="O310" s="67"/>
      <c r="P310" s="67"/>
      <c r="Q310" s="67"/>
      <c r="R310" s="67"/>
      <c r="S310" s="67"/>
      <c r="T310" s="67"/>
      <c r="U310" s="67"/>
      <c r="V310" s="75"/>
      <c r="W310" s="75"/>
      <c r="X310" s="75"/>
      <c r="Y310" s="75"/>
      <c r="Z310" s="67"/>
      <c r="AA310" s="67"/>
      <c r="AB310" s="67"/>
      <c r="AC310" s="67"/>
      <c r="AD310" s="67"/>
      <c r="AE310" s="67"/>
      <c r="AF310" s="67"/>
      <c r="AG310" s="67"/>
      <c r="AH310" s="67"/>
      <c r="AI310" s="67"/>
      <c r="AJ310" s="67"/>
      <c r="AK310" s="67"/>
      <c r="AL310" s="67"/>
      <c r="AM310" s="67"/>
      <c r="AN310" s="67"/>
      <c r="AO310" s="67"/>
      <c r="AP310" s="67"/>
      <c r="AQ310" s="67"/>
      <c r="AR310" s="67"/>
      <c r="AS310" s="67"/>
      <c r="AT310" s="67"/>
      <c r="AU310" s="67"/>
      <c r="AV310" s="67"/>
      <c r="AW310" s="67"/>
      <c r="AX310" s="67"/>
      <c r="AY310" s="67"/>
      <c r="AZ310" s="67"/>
      <c r="BA310" s="67"/>
      <c r="BB310" s="67"/>
      <c r="BC310" s="67"/>
      <c r="BD310" s="67"/>
      <c r="BE310" s="67"/>
      <c r="BF310" s="67"/>
      <c r="BG310" s="67"/>
      <c r="BH310" s="67"/>
      <c r="BI310" s="67"/>
      <c r="BJ310" s="67"/>
      <c r="BK310" s="67"/>
      <c r="BL310" s="67"/>
      <c r="BM310" s="67"/>
      <c r="BN310" s="67"/>
      <c r="BO310" s="67"/>
      <c r="BP310" s="67"/>
      <c r="BQ310" s="67"/>
      <c r="BR310" s="67"/>
      <c r="BS310" s="67"/>
      <c r="BT310" s="67"/>
      <c r="BU310" s="67"/>
      <c r="BV310" s="67"/>
      <c r="BW310" s="67"/>
      <c r="BX310" s="67"/>
      <c r="BY310" s="67"/>
      <c r="BZ310" s="67"/>
      <c r="CA310" s="67"/>
      <c r="CB310" s="67"/>
      <c r="CC310" s="67"/>
      <c r="CD310" s="67"/>
      <c r="CE310" s="67"/>
      <c r="CF310" s="67"/>
      <c r="CG310" s="67"/>
      <c r="CH310" s="67"/>
      <c r="CI310" s="67"/>
      <c r="CJ310" s="67"/>
      <c r="CK310" s="67"/>
      <c r="CL310" s="67"/>
      <c r="CM310" s="67"/>
      <c r="CN310" s="67"/>
      <c r="CO310" s="67"/>
      <c r="CP310" s="67"/>
      <c r="CQ310" s="67"/>
      <c r="CR310" s="67"/>
      <c r="CS310" s="67"/>
      <c r="CT310" s="67"/>
      <c r="CU310" s="67"/>
      <c r="CV310" s="67"/>
      <c r="CW310" s="67"/>
      <c r="CX310" s="67"/>
      <c r="CY310" s="67"/>
      <c r="CZ310" s="67"/>
      <c r="DA310" s="67"/>
      <c r="DB310" s="67"/>
      <c r="DC310" s="67"/>
      <c r="DD310" s="67"/>
      <c r="DE310" s="67"/>
      <c r="DF310" s="67"/>
      <c r="DG310" s="67"/>
      <c r="DH310" s="67"/>
      <c r="DI310" s="67"/>
      <c r="DJ310" s="67"/>
      <c r="DK310" s="67"/>
      <c r="DL310" s="194"/>
      <c r="DM310" s="194"/>
      <c r="DN310" s="194"/>
      <c r="DO310" s="194"/>
      <c r="DP310" s="194"/>
    </row>
    <row r="311" spans="1:120" hidden="1" x14ac:dyDescent="0.2">
      <c r="A311" s="66"/>
      <c r="G311" s="67"/>
      <c r="H311" s="67"/>
      <c r="I311" s="67"/>
      <c r="J311" s="67"/>
      <c r="K311" s="67"/>
      <c r="L311" s="67"/>
      <c r="M311" s="67"/>
      <c r="N311" s="67"/>
      <c r="O311" s="67"/>
      <c r="P311" s="67"/>
      <c r="Q311" s="67"/>
      <c r="R311" s="67"/>
      <c r="S311" s="67"/>
      <c r="T311" s="67"/>
      <c r="U311" s="67"/>
      <c r="V311" s="75"/>
      <c r="W311" s="75"/>
      <c r="X311" s="75"/>
      <c r="Y311" s="75"/>
      <c r="Z311" s="67"/>
      <c r="AA311" s="67"/>
      <c r="AB311" s="67"/>
      <c r="AC311" s="67"/>
      <c r="AD311" s="67"/>
      <c r="AE311" s="67"/>
      <c r="AF311" s="67"/>
      <c r="AG311" s="67"/>
      <c r="AH311" s="67"/>
      <c r="AI311" s="67"/>
      <c r="AJ311" s="67"/>
      <c r="AK311" s="67"/>
      <c r="AL311" s="67"/>
      <c r="AM311" s="67"/>
      <c r="AN311" s="67"/>
      <c r="AO311" s="67"/>
      <c r="AP311" s="67"/>
      <c r="AQ311" s="67"/>
      <c r="AR311" s="67"/>
      <c r="AS311" s="67"/>
      <c r="AT311" s="67"/>
      <c r="AU311" s="67"/>
      <c r="AV311" s="67"/>
      <c r="AW311" s="67"/>
      <c r="AX311" s="67"/>
      <c r="AY311" s="67"/>
      <c r="AZ311" s="67"/>
      <c r="BA311" s="67"/>
      <c r="BB311" s="67"/>
      <c r="BC311" s="67"/>
      <c r="BD311" s="67"/>
      <c r="BE311" s="67"/>
      <c r="BF311" s="67"/>
      <c r="BG311" s="67"/>
      <c r="BH311" s="67"/>
      <c r="BI311" s="67"/>
      <c r="BJ311" s="67"/>
      <c r="BK311" s="67"/>
      <c r="BL311" s="67"/>
      <c r="BM311" s="67"/>
      <c r="BN311" s="67"/>
      <c r="BO311" s="67"/>
      <c r="BP311" s="67"/>
      <c r="BQ311" s="67"/>
      <c r="BR311" s="67"/>
      <c r="BS311" s="67"/>
      <c r="BT311" s="67"/>
      <c r="BU311" s="67"/>
      <c r="BV311" s="67"/>
      <c r="BW311" s="67"/>
      <c r="BX311" s="67"/>
      <c r="BY311" s="67"/>
      <c r="BZ311" s="67"/>
      <c r="CA311" s="67"/>
      <c r="CB311" s="67"/>
      <c r="CC311" s="67"/>
      <c r="CD311" s="67"/>
      <c r="CE311" s="67"/>
      <c r="CF311" s="67"/>
      <c r="CG311" s="67"/>
      <c r="CH311" s="67"/>
      <c r="CI311" s="67"/>
      <c r="CJ311" s="67"/>
      <c r="CK311" s="67"/>
      <c r="CL311" s="67"/>
      <c r="CM311" s="67"/>
      <c r="CN311" s="67"/>
      <c r="CO311" s="67"/>
      <c r="CP311" s="67"/>
      <c r="CQ311" s="67"/>
      <c r="CR311" s="67"/>
      <c r="CS311" s="67"/>
      <c r="CT311" s="67"/>
      <c r="CU311" s="67"/>
      <c r="CV311" s="67"/>
      <c r="CW311" s="67"/>
      <c r="CX311" s="67"/>
      <c r="CY311" s="67"/>
      <c r="CZ311" s="67"/>
      <c r="DA311" s="67"/>
      <c r="DB311" s="67"/>
      <c r="DC311" s="67"/>
      <c r="DD311" s="67"/>
      <c r="DE311" s="67"/>
      <c r="DF311" s="67"/>
      <c r="DG311" s="67"/>
      <c r="DH311" s="67"/>
      <c r="DI311" s="67"/>
      <c r="DJ311" s="67"/>
      <c r="DK311" s="67"/>
      <c r="DL311" s="194"/>
      <c r="DM311" s="194"/>
      <c r="DN311" s="194"/>
      <c r="DO311" s="194"/>
      <c r="DP311" s="194"/>
    </row>
    <row r="312" spans="1:120" hidden="1" x14ac:dyDescent="0.2">
      <c r="A312" s="36" t="s">
        <v>213</v>
      </c>
      <c r="G312" s="36"/>
      <c r="H312" s="36"/>
      <c r="I312" s="36"/>
      <c r="J312" s="36"/>
      <c r="K312" s="36"/>
      <c r="L312" s="36">
        <v>13</v>
      </c>
      <c r="M312" s="36">
        <v>10</v>
      </c>
      <c r="N312" s="36">
        <v>-2</v>
      </c>
      <c r="O312" s="36">
        <v>0</v>
      </c>
      <c r="P312" s="36">
        <f>O312+N312+M312+L312</f>
        <v>21</v>
      </c>
      <c r="Q312" s="36">
        <v>0</v>
      </c>
      <c r="R312" s="36">
        <v>0</v>
      </c>
      <c r="S312" s="36">
        <v>0</v>
      </c>
      <c r="T312" s="36">
        <v>0</v>
      </c>
      <c r="U312" s="36">
        <f>T312+S312+R312+Q312</f>
        <v>0</v>
      </c>
      <c r="V312" s="36">
        <v>0</v>
      </c>
      <c r="W312" s="36">
        <v>0</v>
      </c>
      <c r="X312" s="36">
        <v>0</v>
      </c>
      <c r="Y312" s="36">
        <v>0</v>
      </c>
      <c r="Z312" s="36">
        <f>Y312+X312+W312+V312</f>
        <v>0</v>
      </c>
      <c r="AA312" s="36">
        <v>0</v>
      </c>
      <c r="AB312" s="36">
        <v>0</v>
      </c>
      <c r="AC312" s="36">
        <v>0</v>
      </c>
      <c r="AD312" s="36">
        <v>0</v>
      </c>
      <c r="AE312" s="36">
        <f>AD312+AC312+AB312+AA312</f>
        <v>0</v>
      </c>
      <c r="AF312" s="36">
        <v>0</v>
      </c>
      <c r="AG312" s="36">
        <v>0</v>
      </c>
      <c r="AH312" s="36">
        <v>0</v>
      </c>
      <c r="AI312" s="36">
        <v>0</v>
      </c>
      <c r="AJ312" s="36">
        <f>AI312+AH312+AG312+AF312</f>
        <v>0</v>
      </c>
      <c r="AK312" s="36">
        <v>0</v>
      </c>
      <c r="AL312" s="36">
        <v>0</v>
      </c>
      <c r="AM312" s="36">
        <v>0</v>
      </c>
      <c r="AN312" s="36">
        <v>0</v>
      </c>
      <c r="AO312" s="36">
        <f>AN312+AM312+AL312+AK312</f>
        <v>0</v>
      </c>
      <c r="AP312" s="36">
        <v>0</v>
      </c>
      <c r="AQ312" s="36">
        <v>0</v>
      </c>
      <c r="AR312" s="36">
        <v>0</v>
      </c>
      <c r="AS312" s="36">
        <v>0</v>
      </c>
      <c r="AT312" s="36">
        <f>AS312+AR312+AQ312+AP312</f>
        <v>0</v>
      </c>
      <c r="AU312" s="36">
        <v>0</v>
      </c>
      <c r="AV312" s="36">
        <v>0</v>
      </c>
      <c r="AW312" s="36">
        <v>0</v>
      </c>
      <c r="AX312" s="36">
        <v>0</v>
      </c>
      <c r="AY312" s="36">
        <f>AX312+AW312+AV312+AU312</f>
        <v>0</v>
      </c>
      <c r="AZ312" s="36">
        <v>0</v>
      </c>
      <c r="BA312" s="36">
        <v>0</v>
      </c>
      <c r="BB312" s="36">
        <v>0</v>
      </c>
      <c r="BC312" s="36">
        <v>0</v>
      </c>
      <c r="BD312" s="36">
        <f>BC312+BB312+BA312+AZ312</f>
        <v>0</v>
      </c>
      <c r="BE312" s="36">
        <v>0</v>
      </c>
      <c r="BF312" s="36">
        <v>0</v>
      </c>
      <c r="BG312" s="36">
        <v>0</v>
      </c>
      <c r="BH312" s="36">
        <v>0</v>
      </c>
      <c r="BI312" s="36">
        <f>SUM(BE312:BH312)</f>
        <v>0</v>
      </c>
      <c r="BJ312" s="36">
        <v>0</v>
      </c>
      <c r="BK312" s="36">
        <v>0</v>
      </c>
      <c r="BL312" s="36">
        <v>0</v>
      </c>
      <c r="BM312" s="36">
        <v>0</v>
      </c>
      <c r="BN312" s="36">
        <f>SUM(BJ312:BM312)</f>
        <v>0</v>
      </c>
      <c r="BO312" s="36">
        <v>0</v>
      </c>
      <c r="BP312" s="36"/>
      <c r="BQ312" s="36"/>
      <c r="BR312" s="36"/>
      <c r="BS312" s="36"/>
      <c r="BT312" s="36"/>
      <c r="BU312" s="36"/>
      <c r="BV312" s="36"/>
      <c r="BW312" s="36"/>
      <c r="BX312" s="36"/>
      <c r="BY312" s="36"/>
      <c r="BZ312" s="36"/>
      <c r="CA312" s="36"/>
      <c r="CB312" s="36"/>
      <c r="CC312" s="36"/>
      <c r="CD312" s="36"/>
      <c r="CE312" s="36"/>
      <c r="CF312" s="36"/>
      <c r="CG312" s="36"/>
      <c r="CH312" s="36"/>
      <c r="CI312" s="36"/>
      <c r="CJ312" s="36"/>
      <c r="CK312" s="36"/>
      <c r="CL312" s="36"/>
      <c r="CM312" s="36"/>
      <c r="CN312" s="36"/>
      <c r="CO312" s="36"/>
      <c r="CP312" s="36"/>
      <c r="CQ312" s="36"/>
      <c r="CR312" s="36"/>
      <c r="CS312" s="36"/>
      <c r="CT312" s="36"/>
      <c r="CU312" s="36"/>
      <c r="CV312" s="36"/>
      <c r="CW312" s="36"/>
      <c r="CX312" s="36"/>
      <c r="CY312" s="36"/>
      <c r="CZ312" s="36"/>
      <c r="DA312" s="36"/>
      <c r="DB312" s="36"/>
      <c r="DC312" s="36"/>
      <c r="DD312" s="36"/>
      <c r="DE312" s="36"/>
      <c r="DF312" s="36"/>
      <c r="DG312" s="36"/>
      <c r="DH312" s="36"/>
      <c r="DI312" s="36"/>
      <c r="DJ312" s="36"/>
      <c r="DK312" s="36"/>
      <c r="DL312" s="183"/>
      <c r="DM312" s="183"/>
      <c r="DN312" s="183"/>
      <c r="DO312" s="183"/>
      <c r="DP312" s="183"/>
    </row>
    <row r="313" spans="1:120" hidden="1" x14ac:dyDescent="0.2">
      <c r="A313" s="36" t="s">
        <v>214</v>
      </c>
      <c r="G313" s="36"/>
      <c r="H313" s="36"/>
      <c r="I313" s="36"/>
      <c r="J313" s="36"/>
      <c r="K313" s="36"/>
      <c r="L313" s="36">
        <v>60</v>
      </c>
      <c r="M313" s="36">
        <v>65</v>
      </c>
      <c r="N313" s="36">
        <v>51.5</v>
      </c>
      <c r="O313" s="36">
        <v>49</v>
      </c>
      <c r="P313" s="36">
        <f>O313+N313+M313+L313</f>
        <v>225.5</v>
      </c>
      <c r="Q313" s="36">
        <v>91.2</v>
      </c>
      <c r="R313" s="36">
        <v>82.2</v>
      </c>
      <c r="S313" s="36">
        <v>67.2</v>
      </c>
      <c r="T313" s="36">
        <v>80</v>
      </c>
      <c r="U313" s="36">
        <f>T313+S313+R313+Q313</f>
        <v>320.59999999999997</v>
      </c>
      <c r="V313" s="36">
        <v>111</v>
      </c>
      <c r="W313" s="36">
        <v>100</v>
      </c>
      <c r="X313" s="36">
        <v>76</v>
      </c>
      <c r="Y313" s="36">
        <v>85</v>
      </c>
      <c r="Z313" s="36">
        <f>Y313+X313+W313+V313</f>
        <v>372</v>
      </c>
      <c r="AA313" s="36">
        <v>101</v>
      </c>
      <c r="AB313" s="36">
        <v>104</v>
      </c>
      <c r="AC313" s="36">
        <v>74</v>
      </c>
      <c r="AD313" s="36">
        <v>78</v>
      </c>
      <c r="AE313" s="36">
        <f>AD313+AC313+AB313+AA313</f>
        <v>357</v>
      </c>
      <c r="AF313" s="36">
        <v>112</v>
      </c>
      <c r="AG313" s="36">
        <v>102</v>
      </c>
      <c r="AH313" s="36">
        <v>83</v>
      </c>
      <c r="AI313" s="36">
        <v>93</v>
      </c>
      <c r="AJ313" s="36">
        <f>AI313+AH313+AG313+AF313</f>
        <v>390</v>
      </c>
      <c r="AK313" s="36">
        <v>128</v>
      </c>
      <c r="AL313" s="36">
        <v>111</v>
      </c>
      <c r="AM313" s="36">
        <v>87</v>
      </c>
      <c r="AN313" s="36">
        <v>99</v>
      </c>
      <c r="AO313" s="36">
        <f>AN313+AM313+AL313+AK313</f>
        <v>425</v>
      </c>
      <c r="AP313" s="36">
        <v>132</v>
      </c>
      <c r="AQ313" s="36">
        <v>96</v>
      </c>
      <c r="AR313" s="36">
        <v>95</v>
      </c>
      <c r="AS313" s="36">
        <v>109</v>
      </c>
      <c r="AT313" s="36">
        <f>AS313+AR313+AQ313+AP313</f>
        <v>432</v>
      </c>
      <c r="AU313" s="36">
        <v>124</v>
      </c>
      <c r="AV313" s="36">
        <v>93</v>
      </c>
      <c r="AW313" s="36">
        <v>81</v>
      </c>
      <c r="AX313" s="36">
        <v>122</v>
      </c>
      <c r="AY313" s="36">
        <f>AX313+AW313+AV313+AU313</f>
        <v>420</v>
      </c>
      <c r="AZ313" s="36">
        <v>120</v>
      </c>
      <c r="BA313" s="36">
        <v>65</v>
      </c>
      <c r="BB313" s="36">
        <v>55</v>
      </c>
      <c r="BC313" s="36">
        <v>74</v>
      </c>
      <c r="BD313" s="36">
        <f>BC313+BB313+BA313+AZ313</f>
        <v>314</v>
      </c>
      <c r="BE313" s="36">
        <v>87</v>
      </c>
      <c r="BF313" s="36">
        <v>48</v>
      </c>
      <c r="BG313" s="36">
        <v>47</v>
      </c>
      <c r="BH313" s="36">
        <v>63</v>
      </c>
      <c r="BI313" s="36">
        <f>SUM(BE313:BH313)</f>
        <v>245</v>
      </c>
      <c r="BJ313" s="36">
        <v>76</v>
      </c>
      <c r="BK313" s="36">
        <v>40</v>
      </c>
      <c r="BL313" s="36">
        <v>36</v>
      </c>
      <c r="BM313" s="36">
        <v>52</v>
      </c>
      <c r="BN313" s="36">
        <f>SUM(BJ313:BM313)</f>
        <v>204</v>
      </c>
      <c r="BO313" s="36">
        <v>0</v>
      </c>
      <c r="BP313" s="36"/>
      <c r="BQ313" s="36"/>
      <c r="BR313" s="36"/>
      <c r="BS313" s="36"/>
      <c r="BT313" s="36"/>
      <c r="BU313" s="36"/>
      <c r="BV313" s="36"/>
      <c r="BW313" s="36"/>
      <c r="BX313" s="36"/>
      <c r="BY313" s="36"/>
      <c r="BZ313" s="36"/>
      <c r="CA313" s="36"/>
      <c r="CB313" s="36"/>
      <c r="CC313" s="36"/>
      <c r="CD313" s="36"/>
      <c r="CE313" s="36"/>
      <c r="CF313" s="36"/>
      <c r="CG313" s="36"/>
      <c r="CH313" s="36"/>
      <c r="CI313" s="36"/>
      <c r="CJ313" s="36"/>
      <c r="CK313" s="36"/>
      <c r="CL313" s="36"/>
      <c r="CM313" s="36"/>
      <c r="CN313" s="36"/>
      <c r="CO313" s="36"/>
      <c r="CP313" s="36"/>
      <c r="CQ313" s="36"/>
      <c r="CR313" s="36"/>
      <c r="CS313" s="36"/>
      <c r="CT313" s="36"/>
      <c r="CU313" s="36"/>
      <c r="CV313" s="36"/>
      <c r="CW313" s="36"/>
      <c r="CX313" s="36"/>
      <c r="CY313" s="36"/>
      <c r="CZ313" s="36"/>
      <c r="DA313" s="36"/>
      <c r="DB313" s="36"/>
      <c r="DC313" s="36"/>
      <c r="DD313" s="36"/>
      <c r="DE313" s="36"/>
      <c r="DF313" s="36"/>
      <c r="DG313" s="36"/>
      <c r="DH313" s="36"/>
      <c r="DI313" s="36"/>
      <c r="DJ313" s="36"/>
      <c r="DK313" s="36"/>
      <c r="DL313" s="183"/>
      <c r="DM313" s="183"/>
      <c r="DN313" s="183"/>
      <c r="DO313" s="183"/>
      <c r="DP313" s="183"/>
    </row>
    <row r="314" spans="1:120" hidden="1" x14ac:dyDescent="0.2">
      <c r="A314" s="39" t="s">
        <v>215</v>
      </c>
      <c r="G314" s="39"/>
      <c r="H314" s="39"/>
      <c r="I314" s="39"/>
      <c r="J314" s="39"/>
      <c r="K314" s="39"/>
      <c r="L314" s="39">
        <f>L313+L312</f>
        <v>73</v>
      </c>
      <c r="M314" s="39">
        <f>M313+M312</f>
        <v>75</v>
      </c>
      <c r="N314" s="39">
        <f>N313+N312</f>
        <v>49.5</v>
      </c>
      <c r="O314" s="39">
        <f>O313+O312</f>
        <v>49</v>
      </c>
      <c r="P314" s="39">
        <f>O314+N314+M314+L314</f>
        <v>246.5</v>
      </c>
      <c r="Q314" s="39">
        <f>Q313+Q312</f>
        <v>91.2</v>
      </c>
      <c r="R314" s="39">
        <f>R313+R312</f>
        <v>82.2</v>
      </c>
      <c r="S314" s="39">
        <f>S313+S312</f>
        <v>67.2</v>
      </c>
      <c r="T314" s="39">
        <f>T313+T312</f>
        <v>80</v>
      </c>
      <c r="U314" s="39">
        <f>T314+S314+R314+Q314</f>
        <v>320.59999999999997</v>
      </c>
      <c r="V314" s="39">
        <f>V313+V312</f>
        <v>111</v>
      </c>
      <c r="W314" s="39">
        <f>W313+W312</f>
        <v>100</v>
      </c>
      <c r="X314" s="39">
        <f>X313+X312</f>
        <v>76</v>
      </c>
      <c r="Y314" s="39">
        <f>Y313+Y312</f>
        <v>85</v>
      </c>
      <c r="Z314" s="39">
        <f>Y314+X314+W314+V314</f>
        <v>372</v>
      </c>
      <c r="AA314" s="39">
        <f>AA313+AA312</f>
        <v>101</v>
      </c>
      <c r="AB314" s="39">
        <f>AB313+AB312</f>
        <v>104</v>
      </c>
      <c r="AC314" s="39">
        <f>AC313+AC312</f>
        <v>74</v>
      </c>
      <c r="AD314" s="39">
        <f>AD313+AD312</f>
        <v>78</v>
      </c>
      <c r="AE314" s="39">
        <f>AD314+AC314+AB314+AA314</f>
        <v>357</v>
      </c>
      <c r="AF314" s="39">
        <f>AF313+AF312</f>
        <v>112</v>
      </c>
      <c r="AG314" s="39">
        <f>AG313+AG312</f>
        <v>102</v>
      </c>
      <c r="AH314" s="39">
        <f>AH313+AH312</f>
        <v>83</v>
      </c>
      <c r="AI314" s="39">
        <f>AI313+AI312</f>
        <v>93</v>
      </c>
      <c r="AJ314" s="39">
        <f>AI314+AH314+AG314+AF314</f>
        <v>390</v>
      </c>
      <c r="AK314" s="39">
        <f>AK313+AK312</f>
        <v>128</v>
      </c>
      <c r="AL314" s="39">
        <f>AL313+AL312</f>
        <v>111</v>
      </c>
      <c r="AM314" s="39">
        <f>AM313+AM312</f>
        <v>87</v>
      </c>
      <c r="AN314" s="39">
        <f>AN313+AN312</f>
        <v>99</v>
      </c>
      <c r="AO314" s="39">
        <f>AN314+AM314+AL314+AK314</f>
        <v>425</v>
      </c>
      <c r="AP314" s="39">
        <f>AP313+AP312</f>
        <v>132</v>
      </c>
      <c r="AQ314" s="39">
        <f>AQ313+AQ312</f>
        <v>96</v>
      </c>
      <c r="AR314" s="39">
        <f>AR313+AR312</f>
        <v>95</v>
      </c>
      <c r="AS314" s="39">
        <f>AS313+AS312</f>
        <v>109</v>
      </c>
      <c r="AT314" s="39">
        <f>AS314+AR314+AQ314+AP314</f>
        <v>432</v>
      </c>
      <c r="AU314" s="39">
        <f>AU313+AU312</f>
        <v>124</v>
      </c>
      <c r="AV314" s="39">
        <f>AV313+AV312</f>
        <v>93</v>
      </c>
      <c r="AW314" s="39">
        <f>AW313+AW312</f>
        <v>81</v>
      </c>
      <c r="AX314" s="39">
        <f>AX313+AX312</f>
        <v>122</v>
      </c>
      <c r="AY314" s="39">
        <f>AX314+AW314+AV314+AU314</f>
        <v>420</v>
      </c>
      <c r="AZ314" s="39">
        <f>AZ313+AZ312</f>
        <v>120</v>
      </c>
      <c r="BA314" s="39">
        <f>BA313+BA312</f>
        <v>65</v>
      </c>
      <c r="BB314" s="39">
        <f>BB313+BB312</f>
        <v>55</v>
      </c>
      <c r="BC314" s="39">
        <f>BC313+BC312</f>
        <v>74</v>
      </c>
      <c r="BD314" s="39">
        <f>BC314+BB314+BA314+AZ314</f>
        <v>314</v>
      </c>
      <c r="BE314" s="39">
        <f>BE312+BE313</f>
        <v>87</v>
      </c>
      <c r="BF314" s="39">
        <f>BF312+BF313</f>
        <v>48</v>
      </c>
      <c r="BG314" s="39">
        <f>BG312+BG313</f>
        <v>47</v>
      </c>
      <c r="BH314" s="39">
        <f>BH312+BH313</f>
        <v>63</v>
      </c>
      <c r="BI314" s="39">
        <f t="shared" ref="BI314:BO314" si="262">BI313+BI312</f>
        <v>245</v>
      </c>
      <c r="BJ314" s="39">
        <f t="shared" si="262"/>
        <v>76</v>
      </c>
      <c r="BK314" s="39">
        <f t="shared" si="262"/>
        <v>40</v>
      </c>
      <c r="BL314" s="39">
        <f t="shared" si="262"/>
        <v>36</v>
      </c>
      <c r="BM314" s="39">
        <f t="shared" si="262"/>
        <v>52</v>
      </c>
      <c r="BN314" s="39">
        <f t="shared" si="262"/>
        <v>204</v>
      </c>
      <c r="BO314" s="39">
        <f t="shared" si="262"/>
        <v>0</v>
      </c>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187"/>
      <c r="DM314" s="187"/>
      <c r="DN314" s="187"/>
      <c r="DO314" s="187"/>
      <c r="DP314" s="187"/>
    </row>
    <row r="315" spans="1:120" hidden="1" x14ac:dyDescent="0.2">
      <c r="A315" s="68" t="s">
        <v>54</v>
      </c>
      <c r="G315" s="127"/>
      <c r="H315" s="127"/>
      <c r="I315" s="127"/>
      <c r="J315" s="127"/>
      <c r="K315" s="75"/>
      <c r="L315" s="75" t="e">
        <f t="shared" ref="L315:M317" si="263">L312/G312-1</f>
        <v>#DIV/0!</v>
      </c>
      <c r="M315" s="75" t="e">
        <f t="shared" si="263"/>
        <v>#DIV/0!</v>
      </c>
      <c r="N315" s="75" t="s">
        <v>216</v>
      </c>
      <c r="O315" s="75" t="s">
        <v>216</v>
      </c>
      <c r="P315" s="75"/>
      <c r="Q315" s="75" t="s">
        <v>216</v>
      </c>
      <c r="R315" s="75" t="s">
        <v>216</v>
      </c>
      <c r="S315" s="75" t="s">
        <v>216</v>
      </c>
      <c r="T315" s="75" t="s">
        <v>216</v>
      </c>
      <c r="U315" s="75" t="s">
        <v>216</v>
      </c>
      <c r="V315" s="75" t="s">
        <v>216</v>
      </c>
      <c r="W315" s="75" t="s">
        <v>216</v>
      </c>
      <c r="X315" s="75" t="s">
        <v>216</v>
      </c>
      <c r="Y315" s="75" t="s">
        <v>216</v>
      </c>
      <c r="Z315" s="75" t="s">
        <v>216</v>
      </c>
      <c r="AA315" s="75" t="s">
        <v>216</v>
      </c>
      <c r="AB315" s="75" t="s">
        <v>216</v>
      </c>
      <c r="AC315" s="75" t="s">
        <v>216</v>
      </c>
      <c r="AD315" s="75" t="s">
        <v>216</v>
      </c>
      <c r="AE315" s="75" t="s">
        <v>216</v>
      </c>
      <c r="AF315" s="75" t="s">
        <v>216</v>
      </c>
      <c r="AG315" s="75" t="s">
        <v>216</v>
      </c>
      <c r="AH315" s="75" t="s">
        <v>216</v>
      </c>
      <c r="AI315" s="75" t="s">
        <v>216</v>
      </c>
      <c r="AJ315" s="75" t="s">
        <v>216</v>
      </c>
      <c r="AK315" s="75" t="s">
        <v>216</v>
      </c>
      <c r="AL315" s="75" t="s">
        <v>216</v>
      </c>
      <c r="AM315" s="75" t="s">
        <v>216</v>
      </c>
      <c r="AN315" s="75" t="s">
        <v>216</v>
      </c>
      <c r="AO315" s="75" t="s">
        <v>216</v>
      </c>
      <c r="AP315" s="75" t="s">
        <v>216</v>
      </c>
      <c r="AQ315" s="75" t="s">
        <v>216</v>
      </c>
      <c r="AR315" s="75" t="s">
        <v>216</v>
      </c>
      <c r="AS315" s="75" t="s">
        <v>216</v>
      </c>
      <c r="AT315" s="75" t="s">
        <v>216</v>
      </c>
      <c r="AU315" s="75" t="s">
        <v>216</v>
      </c>
      <c r="AV315" s="75" t="s">
        <v>216</v>
      </c>
      <c r="AW315" s="75" t="s">
        <v>216</v>
      </c>
      <c r="AX315" s="75" t="s">
        <v>216</v>
      </c>
      <c r="AY315" s="75" t="s">
        <v>216</v>
      </c>
      <c r="AZ315" s="75" t="s">
        <v>216</v>
      </c>
      <c r="BA315" s="75" t="s">
        <v>216</v>
      </c>
      <c r="BB315" s="75" t="s">
        <v>216</v>
      </c>
      <c r="BC315" s="75" t="s">
        <v>216</v>
      </c>
      <c r="BD315" s="75" t="s">
        <v>216</v>
      </c>
      <c r="BE315" s="76" t="s">
        <v>216</v>
      </c>
      <c r="BF315" s="76" t="s">
        <v>216</v>
      </c>
      <c r="BG315" s="76" t="s">
        <v>216</v>
      </c>
      <c r="BH315" s="76" t="s">
        <v>216</v>
      </c>
      <c r="BI315" s="119" t="s">
        <v>216</v>
      </c>
      <c r="BJ315" s="76"/>
      <c r="BK315" s="157" t="s">
        <v>216</v>
      </c>
      <c r="BL315" s="119" t="s">
        <v>216</v>
      </c>
      <c r="BM315" s="119" t="s">
        <v>216</v>
      </c>
      <c r="BN315" s="119" t="s">
        <v>216</v>
      </c>
      <c r="BO315" s="76"/>
      <c r="BP315" s="157"/>
      <c r="BQ315" s="119"/>
      <c r="BR315" s="119"/>
      <c r="BS315" s="75"/>
      <c r="BT315" s="76"/>
      <c r="BU315" s="157"/>
      <c r="BV315" s="119"/>
      <c r="BW315" s="119"/>
      <c r="BX315" s="75"/>
      <c r="BY315" s="75"/>
      <c r="BZ315" s="75"/>
      <c r="CA315" s="75"/>
      <c r="CB315" s="75"/>
      <c r="CC315" s="75"/>
      <c r="CD315" s="75"/>
      <c r="CE315" s="75"/>
      <c r="CF315" s="75"/>
      <c r="CG315" s="75"/>
      <c r="CH315" s="75"/>
      <c r="CI315" s="75"/>
      <c r="CJ315" s="75"/>
      <c r="CK315" s="75"/>
      <c r="CL315" s="75"/>
      <c r="CM315" s="75"/>
      <c r="CN315" s="75"/>
      <c r="CO315" s="75"/>
      <c r="CP315" s="75"/>
      <c r="CQ315" s="75"/>
      <c r="CR315" s="75"/>
      <c r="CS315" s="75"/>
      <c r="CT315" s="75"/>
      <c r="CU315" s="75"/>
      <c r="CV315" s="75"/>
      <c r="CW315" s="75"/>
      <c r="CX315" s="75"/>
      <c r="CY315" s="75"/>
      <c r="CZ315" s="75"/>
      <c r="DA315" s="75"/>
      <c r="DB315" s="75"/>
      <c r="DC315" s="75"/>
      <c r="DD315" s="75"/>
      <c r="DE315" s="75"/>
      <c r="DF315" s="75"/>
      <c r="DG315" s="75"/>
      <c r="DH315" s="75"/>
      <c r="DI315" s="75"/>
      <c r="DJ315" s="75"/>
      <c r="DK315" s="75"/>
      <c r="DL315" s="192"/>
      <c r="DM315" s="192"/>
      <c r="DN315" s="192"/>
      <c r="DO315" s="192"/>
      <c r="DP315" s="192"/>
    </row>
    <row r="316" spans="1:120" hidden="1" x14ac:dyDescent="0.2">
      <c r="A316" s="68" t="s">
        <v>55</v>
      </c>
      <c r="G316" s="127"/>
      <c r="H316" s="127"/>
      <c r="I316" s="127"/>
      <c r="J316" s="127"/>
      <c r="K316" s="75"/>
      <c r="L316" s="75" t="e">
        <f t="shared" si="263"/>
        <v>#DIV/0!</v>
      </c>
      <c r="M316" s="75" t="e">
        <f t="shared" si="263"/>
        <v>#DIV/0!</v>
      </c>
      <c r="N316" s="75" t="e">
        <f>N313/I313-1</f>
        <v>#DIV/0!</v>
      </c>
      <c r="O316" s="75" t="e">
        <f>O313/J313-1</f>
        <v>#DIV/0!</v>
      </c>
      <c r="P316" s="75"/>
      <c r="Q316" s="75">
        <f t="shared" ref="Q316:BM317" si="264">Q313/L313-1</f>
        <v>0.52</v>
      </c>
      <c r="R316" s="75">
        <f t="shared" si="264"/>
        <v>0.2646153846153847</v>
      </c>
      <c r="S316" s="75">
        <f t="shared" si="264"/>
        <v>0.30485436893203888</v>
      </c>
      <c r="T316" s="75">
        <f t="shared" si="264"/>
        <v>0.63265306122448983</v>
      </c>
      <c r="U316" s="75">
        <f t="shared" si="264"/>
        <v>0.42172949002217286</v>
      </c>
      <c r="V316" s="75">
        <f t="shared" si="264"/>
        <v>0.21710526315789469</v>
      </c>
      <c r="W316" s="75">
        <f t="shared" si="264"/>
        <v>0.21654501216545019</v>
      </c>
      <c r="X316" s="75">
        <f t="shared" si="264"/>
        <v>0.13095238095238093</v>
      </c>
      <c r="Y316" s="75">
        <f t="shared" si="264"/>
        <v>6.25E-2</v>
      </c>
      <c r="Z316" s="75">
        <f t="shared" si="264"/>
        <v>0.16032439176544</v>
      </c>
      <c r="AA316" s="75">
        <f t="shared" si="264"/>
        <v>-9.0090090090090058E-2</v>
      </c>
      <c r="AB316" s="75">
        <f t="shared" si="264"/>
        <v>4.0000000000000036E-2</v>
      </c>
      <c r="AC316" s="75">
        <f t="shared" si="264"/>
        <v>-2.6315789473684181E-2</v>
      </c>
      <c r="AD316" s="75">
        <f t="shared" si="264"/>
        <v>-8.2352941176470629E-2</v>
      </c>
      <c r="AE316" s="75">
        <f t="shared" si="264"/>
        <v>-4.0322580645161255E-2</v>
      </c>
      <c r="AF316" s="75">
        <f t="shared" si="264"/>
        <v>0.10891089108910901</v>
      </c>
      <c r="AG316" s="75">
        <f t="shared" si="264"/>
        <v>-1.9230769230769273E-2</v>
      </c>
      <c r="AH316" s="75">
        <f t="shared" si="264"/>
        <v>0.12162162162162171</v>
      </c>
      <c r="AI316" s="75">
        <f t="shared" si="264"/>
        <v>0.19230769230769229</v>
      </c>
      <c r="AJ316" s="75">
        <f t="shared" si="264"/>
        <v>9.243697478991586E-2</v>
      </c>
      <c r="AK316" s="75">
        <f t="shared" si="264"/>
        <v>0.14285714285714279</v>
      </c>
      <c r="AL316" s="75">
        <f t="shared" si="264"/>
        <v>8.8235294117646967E-2</v>
      </c>
      <c r="AM316" s="75">
        <f t="shared" si="264"/>
        <v>4.8192771084337283E-2</v>
      </c>
      <c r="AN316" s="75">
        <f t="shared" si="264"/>
        <v>6.4516129032258007E-2</v>
      </c>
      <c r="AO316" s="75">
        <f t="shared" si="264"/>
        <v>8.9743589743589647E-2</v>
      </c>
      <c r="AP316" s="75">
        <f t="shared" si="264"/>
        <v>3.125E-2</v>
      </c>
      <c r="AQ316" s="75">
        <f t="shared" si="264"/>
        <v>-0.13513513513513509</v>
      </c>
      <c r="AR316" s="75">
        <f t="shared" si="264"/>
        <v>9.1954022988505857E-2</v>
      </c>
      <c r="AS316" s="75">
        <f t="shared" si="264"/>
        <v>0.10101010101010099</v>
      </c>
      <c r="AT316" s="75">
        <f t="shared" si="264"/>
        <v>1.6470588235294015E-2</v>
      </c>
      <c r="AU316" s="75">
        <f t="shared" si="264"/>
        <v>-6.0606060606060552E-2</v>
      </c>
      <c r="AV316" s="75">
        <f t="shared" si="264"/>
        <v>-3.125E-2</v>
      </c>
      <c r="AW316" s="75">
        <f t="shared" si="264"/>
        <v>-0.14736842105263159</v>
      </c>
      <c r="AX316" s="75">
        <f t="shared" si="264"/>
        <v>0.11926605504587151</v>
      </c>
      <c r="AY316" s="75">
        <f t="shared" si="264"/>
        <v>-2.777777777777779E-2</v>
      </c>
      <c r="AZ316" s="75">
        <f t="shared" si="264"/>
        <v>-3.2258064516129004E-2</v>
      </c>
      <c r="BA316" s="75">
        <f t="shared" si="264"/>
        <v>-0.30107526881720426</v>
      </c>
      <c r="BB316" s="75">
        <f t="shared" si="264"/>
        <v>-0.32098765432098764</v>
      </c>
      <c r="BC316" s="75">
        <f t="shared" si="264"/>
        <v>-0.39344262295081966</v>
      </c>
      <c r="BD316" s="75">
        <f t="shared" si="264"/>
        <v>-0.25238095238095237</v>
      </c>
      <c r="BE316" s="76">
        <f t="shared" si="264"/>
        <v>-0.27500000000000002</v>
      </c>
      <c r="BF316" s="76">
        <f t="shared" si="264"/>
        <v>-0.2615384615384615</v>
      </c>
      <c r="BG316" s="76">
        <f t="shared" si="264"/>
        <v>-0.1454545454545455</v>
      </c>
      <c r="BH316" s="76">
        <f t="shared" si="264"/>
        <v>-0.14864864864864868</v>
      </c>
      <c r="BI316" s="90">
        <f t="shared" si="264"/>
        <v>-0.21974522292993626</v>
      </c>
      <c r="BJ316" s="76">
        <f t="shared" si="264"/>
        <v>-0.12643678160919536</v>
      </c>
      <c r="BK316" s="76">
        <f t="shared" si="264"/>
        <v>-0.16666666666666663</v>
      </c>
      <c r="BL316" s="76">
        <f t="shared" si="264"/>
        <v>-0.23404255319148937</v>
      </c>
      <c r="BM316" s="76">
        <f t="shared" si="264"/>
        <v>-0.17460317460317465</v>
      </c>
      <c r="BN316" s="90">
        <f>BN313/BI313-1</f>
        <v>-0.16734693877551021</v>
      </c>
      <c r="BO316" s="76"/>
      <c r="BP316" s="76"/>
      <c r="BQ316" s="76"/>
      <c r="BR316" s="76"/>
      <c r="BS316" s="75"/>
      <c r="BT316" s="76"/>
      <c r="BU316" s="76"/>
      <c r="BV316" s="76"/>
      <c r="BW316" s="76"/>
      <c r="BX316" s="75"/>
      <c r="BY316" s="75"/>
      <c r="BZ316" s="75"/>
      <c r="CA316" s="75"/>
      <c r="CB316" s="75"/>
      <c r="CC316" s="75"/>
      <c r="CD316" s="75"/>
      <c r="CE316" s="75"/>
      <c r="CF316" s="75"/>
      <c r="CG316" s="75"/>
      <c r="CH316" s="75"/>
      <c r="CI316" s="75"/>
      <c r="CJ316" s="75"/>
      <c r="CK316" s="75"/>
      <c r="CL316" s="75"/>
      <c r="CM316" s="75"/>
      <c r="CN316" s="75"/>
      <c r="CO316" s="75"/>
      <c r="CP316" s="75"/>
      <c r="CQ316" s="75"/>
      <c r="CR316" s="75"/>
      <c r="CS316" s="75"/>
      <c r="CT316" s="75"/>
      <c r="CU316" s="75"/>
      <c r="CV316" s="75"/>
      <c r="CW316" s="75"/>
      <c r="CX316" s="75"/>
      <c r="CY316" s="75"/>
      <c r="CZ316" s="75"/>
      <c r="DA316" s="75"/>
      <c r="DB316" s="75"/>
      <c r="DC316" s="75"/>
      <c r="DD316" s="75"/>
      <c r="DE316" s="75"/>
      <c r="DF316" s="75"/>
      <c r="DG316" s="75"/>
      <c r="DH316" s="75"/>
      <c r="DI316" s="75"/>
      <c r="DJ316" s="75"/>
      <c r="DK316" s="75"/>
      <c r="DL316" s="192"/>
      <c r="DM316" s="192"/>
      <c r="DN316" s="192"/>
      <c r="DO316" s="192"/>
      <c r="DP316" s="192"/>
    </row>
    <row r="317" spans="1:120" hidden="1" x14ac:dyDescent="0.2">
      <c r="A317" s="78" t="s">
        <v>56</v>
      </c>
      <c r="F317" s="98"/>
      <c r="G317" s="130"/>
      <c r="H317" s="130"/>
      <c r="I317" s="130"/>
      <c r="J317" s="130"/>
      <c r="K317" s="83"/>
      <c r="L317" s="83" t="e">
        <f t="shared" si="263"/>
        <v>#DIV/0!</v>
      </c>
      <c r="M317" s="83" t="e">
        <f t="shared" si="263"/>
        <v>#DIV/0!</v>
      </c>
      <c r="N317" s="83" t="e">
        <f>N314/I314-1</f>
        <v>#DIV/0!</v>
      </c>
      <c r="O317" s="83" t="e">
        <f>O314/J314-1</f>
        <v>#DIV/0!</v>
      </c>
      <c r="P317" s="83"/>
      <c r="Q317" s="83">
        <f t="shared" si="264"/>
        <v>0.24931506849315066</v>
      </c>
      <c r="R317" s="83">
        <f t="shared" si="264"/>
        <v>9.6000000000000085E-2</v>
      </c>
      <c r="S317" s="83">
        <f t="shared" si="264"/>
        <v>0.35757575757575766</v>
      </c>
      <c r="T317" s="83">
        <f t="shared" si="264"/>
        <v>0.63265306122448983</v>
      </c>
      <c r="U317" s="83">
        <f t="shared" si="264"/>
        <v>0.30060851926977672</v>
      </c>
      <c r="V317" s="83">
        <f t="shared" si="264"/>
        <v>0.21710526315789469</v>
      </c>
      <c r="W317" s="83">
        <f t="shared" si="264"/>
        <v>0.21654501216545019</v>
      </c>
      <c r="X317" s="83">
        <f t="shared" si="264"/>
        <v>0.13095238095238093</v>
      </c>
      <c r="Y317" s="83">
        <f t="shared" si="264"/>
        <v>6.25E-2</v>
      </c>
      <c r="Z317" s="83">
        <f t="shared" si="264"/>
        <v>0.16032439176544</v>
      </c>
      <c r="AA317" s="83">
        <f t="shared" si="264"/>
        <v>-9.0090090090090058E-2</v>
      </c>
      <c r="AB317" s="83">
        <f t="shared" si="264"/>
        <v>4.0000000000000036E-2</v>
      </c>
      <c r="AC317" s="83">
        <f t="shared" si="264"/>
        <v>-2.6315789473684181E-2</v>
      </c>
      <c r="AD317" s="83">
        <f t="shared" si="264"/>
        <v>-8.2352941176470629E-2</v>
      </c>
      <c r="AE317" s="83">
        <f t="shared" si="264"/>
        <v>-4.0322580645161255E-2</v>
      </c>
      <c r="AF317" s="83">
        <f t="shared" si="264"/>
        <v>0.10891089108910901</v>
      </c>
      <c r="AG317" s="83">
        <f t="shared" si="264"/>
        <v>-1.9230769230769273E-2</v>
      </c>
      <c r="AH317" s="83">
        <f t="shared" si="264"/>
        <v>0.12162162162162171</v>
      </c>
      <c r="AI317" s="83">
        <f t="shared" si="264"/>
        <v>0.19230769230769229</v>
      </c>
      <c r="AJ317" s="83">
        <f t="shared" si="264"/>
        <v>9.243697478991586E-2</v>
      </c>
      <c r="AK317" s="83">
        <f t="shared" si="264"/>
        <v>0.14285714285714279</v>
      </c>
      <c r="AL317" s="83">
        <f t="shared" si="264"/>
        <v>8.8235294117646967E-2</v>
      </c>
      <c r="AM317" s="83">
        <f t="shared" si="264"/>
        <v>4.8192771084337283E-2</v>
      </c>
      <c r="AN317" s="83">
        <f t="shared" si="264"/>
        <v>6.4516129032258007E-2</v>
      </c>
      <c r="AO317" s="83">
        <f t="shared" si="264"/>
        <v>8.9743589743589647E-2</v>
      </c>
      <c r="AP317" s="83">
        <f t="shared" si="264"/>
        <v>3.125E-2</v>
      </c>
      <c r="AQ317" s="83">
        <f t="shared" si="264"/>
        <v>-0.13513513513513509</v>
      </c>
      <c r="AR317" s="83">
        <f t="shared" si="264"/>
        <v>9.1954022988505857E-2</v>
      </c>
      <c r="AS317" s="83">
        <f t="shared" si="264"/>
        <v>0.10101010101010099</v>
      </c>
      <c r="AT317" s="83">
        <f t="shared" si="264"/>
        <v>1.6470588235294015E-2</v>
      </c>
      <c r="AU317" s="83">
        <f t="shared" si="264"/>
        <v>-6.0606060606060552E-2</v>
      </c>
      <c r="AV317" s="83">
        <f t="shared" si="264"/>
        <v>-3.125E-2</v>
      </c>
      <c r="AW317" s="83">
        <f t="shared" si="264"/>
        <v>-0.14736842105263159</v>
      </c>
      <c r="AX317" s="83">
        <f t="shared" si="264"/>
        <v>0.11926605504587151</v>
      </c>
      <c r="AY317" s="83">
        <f t="shared" si="264"/>
        <v>-2.777777777777779E-2</v>
      </c>
      <c r="AZ317" s="83">
        <f t="shared" si="264"/>
        <v>-3.2258064516129004E-2</v>
      </c>
      <c r="BA317" s="83">
        <f t="shared" si="264"/>
        <v>-0.30107526881720426</v>
      </c>
      <c r="BB317" s="83">
        <f t="shared" si="264"/>
        <v>-0.32098765432098764</v>
      </c>
      <c r="BC317" s="83">
        <f t="shared" si="264"/>
        <v>-0.39344262295081966</v>
      </c>
      <c r="BD317" s="83">
        <f t="shared" si="264"/>
        <v>-0.25238095238095237</v>
      </c>
      <c r="BE317" s="80">
        <f t="shared" si="264"/>
        <v>-0.27500000000000002</v>
      </c>
      <c r="BF317" s="80">
        <f t="shared" si="264"/>
        <v>-0.2615384615384615</v>
      </c>
      <c r="BG317" s="80">
        <f t="shared" si="264"/>
        <v>-0.1454545454545455</v>
      </c>
      <c r="BH317" s="80">
        <f>BH314/BC314-1</f>
        <v>-0.14864864864864868</v>
      </c>
      <c r="BI317" s="80">
        <f t="shared" si="264"/>
        <v>-0.21974522292993626</v>
      </c>
      <c r="BJ317" s="80">
        <f t="shared" si="264"/>
        <v>-0.12643678160919536</v>
      </c>
      <c r="BK317" s="91">
        <f t="shared" si="264"/>
        <v>-0.16666666666666663</v>
      </c>
      <c r="BL317" s="91">
        <f t="shared" si="264"/>
        <v>-0.23404255319148937</v>
      </c>
      <c r="BM317" s="91">
        <f t="shared" si="264"/>
        <v>-0.17460317460317465</v>
      </c>
      <c r="BN317" s="80">
        <f>BN314/BI314-1</f>
        <v>-0.16734693877551021</v>
      </c>
      <c r="BO317" s="80">
        <f>BO314/BJ314-1</f>
        <v>-1</v>
      </c>
      <c r="BP317" s="91"/>
      <c r="BQ317" s="91"/>
      <c r="BR317" s="91"/>
      <c r="BS317" s="83"/>
      <c r="BT317" s="80"/>
      <c r="BU317" s="91"/>
      <c r="BV317" s="91"/>
      <c r="BW317" s="91"/>
      <c r="BX317" s="83"/>
      <c r="BY317" s="83"/>
      <c r="BZ317" s="83"/>
      <c r="CA317" s="83"/>
      <c r="CB317" s="83"/>
      <c r="CC317" s="83"/>
      <c r="CD317" s="83"/>
      <c r="CE317" s="83"/>
      <c r="CF317" s="83"/>
      <c r="CG317" s="83"/>
      <c r="CH317" s="83"/>
      <c r="CI317" s="83"/>
      <c r="CJ317" s="83"/>
      <c r="CK317" s="83"/>
      <c r="CL317" s="83"/>
      <c r="CM317" s="83"/>
      <c r="CN317" s="83"/>
      <c r="CO317" s="83"/>
      <c r="CP317" s="83"/>
      <c r="CQ317" s="83"/>
      <c r="CR317" s="83"/>
      <c r="CS317" s="83"/>
      <c r="CT317" s="83"/>
      <c r="CU317" s="83"/>
      <c r="CV317" s="83"/>
      <c r="CW317" s="83"/>
      <c r="CX317" s="83"/>
      <c r="CY317" s="83"/>
      <c r="CZ317" s="83"/>
      <c r="DA317" s="83"/>
      <c r="DB317" s="83"/>
      <c r="DC317" s="83"/>
      <c r="DD317" s="83"/>
      <c r="DE317" s="83"/>
      <c r="DF317" s="83"/>
      <c r="DG317" s="83"/>
      <c r="DH317" s="83"/>
      <c r="DI317" s="83"/>
      <c r="DJ317" s="83"/>
      <c r="DK317" s="83"/>
      <c r="DL317" s="193"/>
      <c r="DM317" s="193"/>
      <c r="DN317" s="193"/>
      <c r="DO317" s="193"/>
      <c r="DP317" s="193"/>
    </row>
    <row r="318" spans="1:120" hidden="1" x14ac:dyDescent="0.2">
      <c r="A318" s="115" t="s">
        <v>217</v>
      </c>
      <c r="B318" s="36">
        <v>628.548</v>
      </c>
      <c r="C318" s="36">
        <v>628.54700000000003</v>
      </c>
      <c r="D318" s="86">
        <v>876.23760000000004</v>
      </c>
      <c r="E318" s="36">
        <v>1003.1347</v>
      </c>
      <c r="F318" s="36">
        <v>3136.4681295715773</v>
      </c>
      <c r="G318" s="36">
        <v>628</v>
      </c>
      <c r="H318" s="36">
        <v>628</v>
      </c>
      <c r="I318" s="86">
        <v>864</v>
      </c>
      <c r="J318" s="86">
        <v>1067</v>
      </c>
      <c r="K318" s="36">
        <f>J318+I318+H318+G318</f>
        <v>3187</v>
      </c>
      <c r="L318" s="86">
        <v>638</v>
      </c>
      <c r="M318" s="86">
        <v>750</v>
      </c>
      <c r="N318" s="86">
        <v>994</v>
      </c>
      <c r="O318" s="36">
        <v>761.74</v>
      </c>
      <c r="P318" s="36">
        <f>O318+N318+M318+L318</f>
        <v>3143.74</v>
      </c>
      <c r="Q318" s="36">
        <v>900</v>
      </c>
      <c r="R318" s="36">
        <v>958</v>
      </c>
      <c r="S318" s="36">
        <v>854</v>
      </c>
      <c r="T318" s="36">
        <v>901</v>
      </c>
      <c r="U318" s="36">
        <f>T318+S318+R318+Q318</f>
        <v>3613</v>
      </c>
      <c r="V318" s="36">
        <v>738</v>
      </c>
      <c r="W318" s="36">
        <v>814</v>
      </c>
      <c r="X318" s="36">
        <v>770</v>
      </c>
      <c r="Y318" s="36">
        <v>819</v>
      </c>
      <c r="Z318" s="36">
        <f>Y318+X318+W318+V318</f>
        <v>3141</v>
      </c>
      <c r="AA318" s="36">
        <v>833</v>
      </c>
      <c r="AB318" s="36">
        <v>742</v>
      </c>
      <c r="AC318" s="36">
        <v>152</v>
      </c>
      <c r="AD318" s="36">
        <v>161</v>
      </c>
      <c r="AE318" s="36">
        <f>AD318+AC318+AB318+AA318</f>
        <v>1888</v>
      </c>
      <c r="AF318" s="36">
        <v>70</v>
      </c>
      <c r="AG318" s="36">
        <v>2</v>
      </c>
      <c r="AH318" s="36">
        <v>55</v>
      </c>
      <c r="AI318" s="36">
        <v>55</v>
      </c>
      <c r="AJ318" s="36">
        <f>AI318+AH318+AG318+AF318</f>
        <v>182</v>
      </c>
      <c r="AK318" s="36">
        <v>28</v>
      </c>
      <c r="AL318" s="36">
        <v>19</v>
      </c>
      <c r="AM318" s="36">
        <v>17</v>
      </c>
      <c r="AN318" s="36">
        <v>11</v>
      </c>
      <c r="AO318" s="36">
        <f>AN318+AM318+AL318+AK318</f>
        <v>75</v>
      </c>
      <c r="AP318" s="36">
        <v>8</v>
      </c>
      <c r="AQ318" s="36">
        <v>9</v>
      </c>
      <c r="AR318" s="36">
        <v>17</v>
      </c>
      <c r="AS318" s="36">
        <v>10</v>
      </c>
      <c r="AT318" s="36">
        <f>AS318+AR318+AQ318+AP318</f>
        <v>44</v>
      </c>
      <c r="AU318" s="36">
        <v>10</v>
      </c>
      <c r="AV318" s="36">
        <v>9</v>
      </c>
      <c r="AW318" s="36">
        <v>11</v>
      </c>
      <c r="AX318" s="36">
        <v>12</v>
      </c>
      <c r="AY318" s="36">
        <f>AX318+AW318+AV318+AU318</f>
        <v>42</v>
      </c>
      <c r="AZ318" s="36">
        <v>8</v>
      </c>
      <c r="BA318" s="36">
        <v>9</v>
      </c>
      <c r="BB318" s="36">
        <v>7</v>
      </c>
      <c r="BC318" s="36">
        <v>8</v>
      </c>
      <c r="BD318" s="36">
        <f>BC318+BB318+BA318+AZ318</f>
        <v>32</v>
      </c>
      <c r="BE318" s="36">
        <v>6</v>
      </c>
      <c r="BF318" s="36">
        <v>7</v>
      </c>
      <c r="BG318" s="36">
        <v>7</v>
      </c>
      <c r="BH318" s="36">
        <v>7</v>
      </c>
      <c r="BI318" s="36">
        <f>SUM(BE318:BH318)</f>
        <v>27</v>
      </c>
      <c r="BJ318" s="36">
        <v>6</v>
      </c>
      <c r="BK318" s="36">
        <v>6</v>
      </c>
      <c r="BL318" s="36">
        <v>6</v>
      </c>
      <c r="BM318" s="36">
        <v>7</v>
      </c>
      <c r="BN318" s="36">
        <f>SUM(BJ318:BM318)</f>
        <v>25</v>
      </c>
      <c r="BO318" s="36">
        <v>5</v>
      </c>
      <c r="BP318" s="36">
        <v>5</v>
      </c>
      <c r="BQ318" s="36">
        <v>5</v>
      </c>
      <c r="BR318" s="36">
        <v>6</v>
      </c>
      <c r="BS318" s="36">
        <f>SUM(BO318:BR318)</f>
        <v>21</v>
      </c>
      <c r="BT318" s="36">
        <v>5</v>
      </c>
      <c r="BU318" s="36">
        <v>5</v>
      </c>
      <c r="BV318" s="36">
        <v>5</v>
      </c>
      <c r="BW318" s="36">
        <v>5</v>
      </c>
      <c r="BX318" s="36">
        <f>SUM(BT318:BW318)</f>
        <v>20</v>
      </c>
      <c r="BY318" s="36">
        <v>4</v>
      </c>
      <c r="BZ318" s="36">
        <v>2</v>
      </c>
      <c r="CA318" s="36">
        <v>3</v>
      </c>
      <c r="CB318" s="36">
        <v>2</v>
      </c>
      <c r="CC318" s="36">
        <f>SUM(BY318:CB318)</f>
        <v>11</v>
      </c>
      <c r="CD318" s="36"/>
      <c r="CE318" s="36"/>
      <c r="CF318" s="36"/>
      <c r="CG318" s="36"/>
      <c r="CH318" s="36"/>
      <c r="CI318" s="36"/>
      <c r="CJ318" s="36"/>
      <c r="CK318" s="36"/>
      <c r="CL318" s="36"/>
      <c r="CM318" s="36"/>
      <c r="CN318" s="36"/>
      <c r="CO318" s="36"/>
      <c r="CP318" s="36"/>
      <c r="CQ318" s="36"/>
      <c r="CR318" s="36"/>
      <c r="CS318" s="36"/>
      <c r="CT318" s="36"/>
      <c r="CU318" s="36"/>
      <c r="CV318" s="36"/>
      <c r="CW318" s="36"/>
      <c r="CX318" s="36"/>
      <c r="CY318" s="36"/>
      <c r="CZ318" s="36"/>
      <c r="DA318" s="36"/>
      <c r="DB318" s="36"/>
      <c r="DC318" s="36"/>
      <c r="DD318" s="36"/>
      <c r="DE318" s="36"/>
      <c r="DF318" s="36"/>
      <c r="DG318" s="36"/>
      <c r="DH318" s="36"/>
      <c r="DI318" s="36"/>
      <c r="DJ318" s="36"/>
      <c r="DK318" s="36"/>
      <c r="DL318" s="183"/>
      <c r="DM318" s="183"/>
      <c r="DN318" s="183"/>
      <c r="DO318" s="183"/>
      <c r="DP318" s="183"/>
    </row>
    <row r="319" spans="1:120" hidden="1" x14ac:dyDescent="0.2">
      <c r="A319" s="115" t="s">
        <v>218</v>
      </c>
      <c r="B319" s="36">
        <v>478.39859999999999</v>
      </c>
      <c r="C319" s="36">
        <v>478.39800000000002</v>
      </c>
      <c r="D319" s="86">
        <v>471.77418999999998</v>
      </c>
      <c r="E319" s="36">
        <v>556.39089999999999</v>
      </c>
      <c r="F319" s="36">
        <v>1984.9624060150372</v>
      </c>
      <c r="G319" s="36">
        <v>477</v>
      </c>
      <c r="H319" s="36">
        <v>547</v>
      </c>
      <c r="I319" s="86">
        <v>576</v>
      </c>
      <c r="J319" s="86">
        <v>656</v>
      </c>
      <c r="K319" s="36">
        <f>J319+I319+H319+G319</f>
        <v>2256</v>
      </c>
      <c r="L319" s="86">
        <v>537</v>
      </c>
      <c r="M319" s="86">
        <v>468</v>
      </c>
      <c r="N319" s="86">
        <v>410.75</v>
      </c>
      <c r="O319" s="36">
        <v>452</v>
      </c>
      <c r="P319" s="36">
        <f>O319+N319+M319+L319</f>
        <v>1867.75</v>
      </c>
      <c r="Q319" s="36">
        <v>396</v>
      </c>
      <c r="R319" s="36">
        <v>411</v>
      </c>
      <c r="S319" s="36">
        <v>366</v>
      </c>
      <c r="T319" s="36">
        <v>410</v>
      </c>
      <c r="U319" s="36">
        <f>T319+S319+R319+Q319</f>
        <v>1583</v>
      </c>
      <c r="V319" s="36">
        <v>368</v>
      </c>
      <c r="W319" s="36">
        <v>337</v>
      </c>
      <c r="X319" s="36">
        <v>280</v>
      </c>
      <c r="Y319" s="36">
        <v>255</v>
      </c>
      <c r="Z319" s="36">
        <f>Y319+X319+W319+V319</f>
        <v>1240</v>
      </c>
      <c r="AA319" s="36">
        <v>231</v>
      </c>
      <c r="AB319" s="36">
        <v>247</v>
      </c>
      <c r="AC319" s="36">
        <v>219</v>
      </c>
      <c r="AD319" s="36">
        <v>218</v>
      </c>
      <c r="AE319" s="36">
        <f>AD319+AC319+AB319+AA319</f>
        <v>915</v>
      </c>
      <c r="AF319" s="36">
        <v>188</v>
      </c>
      <c r="AG319" s="36">
        <v>176</v>
      </c>
      <c r="AH319" s="36">
        <v>163</v>
      </c>
      <c r="AI319" s="36">
        <v>168</v>
      </c>
      <c r="AJ319" s="36">
        <f>AI319+AH319+AG319+AF319</f>
        <v>695</v>
      </c>
      <c r="AK319" s="36">
        <v>151</v>
      </c>
      <c r="AL319" s="36">
        <v>157</v>
      </c>
      <c r="AM319" s="36">
        <v>140</v>
      </c>
      <c r="AN319" s="36">
        <v>136</v>
      </c>
      <c r="AO319" s="36">
        <f>AN319+AM319+AL319+AK319</f>
        <v>584</v>
      </c>
      <c r="AP319" s="36">
        <v>129</v>
      </c>
      <c r="AQ319" s="36">
        <v>132</v>
      </c>
      <c r="AR319" s="36">
        <v>124</v>
      </c>
      <c r="AS319" s="36">
        <v>129</v>
      </c>
      <c r="AT319" s="36">
        <f>AS319+AR319+AQ319+AP319</f>
        <v>514</v>
      </c>
      <c r="AU319" s="36">
        <v>106</v>
      </c>
      <c r="AV319" s="36">
        <v>108</v>
      </c>
      <c r="AW319" s="36">
        <v>103</v>
      </c>
      <c r="AX319" s="36">
        <v>109</v>
      </c>
      <c r="AY319" s="36">
        <f>AX319+AW319+AV319+AU319</f>
        <v>426</v>
      </c>
      <c r="AZ319" s="36">
        <v>119</v>
      </c>
      <c r="BA319" s="36">
        <v>98</v>
      </c>
      <c r="BB319" s="36">
        <v>103</v>
      </c>
      <c r="BC319" s="36">
        <v>103</v>
      </c>
      <c r="BD319" s="36">
        <f>BC319+BB319+BA319+AZ319</f>
        <v>423</v>
      </c>
      <c r="BE319" s="36">
        <v>96</v>
      </c>
      <c r="BF319" s="36">
        <v>89</v>
      </c>
      <c r="BG319" s="36">
        <v>79</v>
      </c>
      <c r="BH319" s="36">
        <v>90</v>
      </c>
      <c r="BI319" s="36">
        <f>SUM(BE319:BH319)</f>
        <v>354</v>
      </c>
      <c r="BJ319" s="36">
        <v>76</v>
      </c>
      <c r="BK319" s="36">
        <v>68</v>
      </c>
      <c r="BL319" s="36">
        <v>59</v>
      </c>
      <c r="BM319" s="36">
        <v>73</v>
      </c>
      <c r="BN319" s="36">
        <f>SUM(BJ319:BM319)</f>
        <v>276</v>
      </c>
      <c r="BO319" s="36">
        <v>60</v>
      </c>
      <c r="BP319" s="36">
        <v>63</v>
      </c>
      <c r="BQ319" s="36">
        <v>56</v>
      </c>
      <c r="BR319" s="36">
        <v>58</v>
      </c>
      <c r="BS319" s="36">
        <f>SUM(BO319:BR319)</f>
        <v>237</v>
      </c>
      <c r="BT319" s="36">
        <v>44</v>
      </c>
      <c r="BU319" s="36">
        <v>58</v>
      </c>
      <c r="BV319" s="36">
        <v>51</v>
      </c>
      <c r="BW319" s="36">
        <v>44</v>
      </c>
      <c r="BX319" s="36">
        <f>SUM(BT319:BW319)</f>
        <v>197</v>
      </c>
      <c r="BY319" s="36">
        <v>42</v>
      </c>
      <c r="BZ319" s="36">
        <v>48</v>
      </c>
      <c r="CA319" s="36">
        <v>51</v>
      </c>
      <c r="CB319" s="36">
        <v>35</v>
      </c>
      <c r="CC319" s="36">
        <f>SUM(BY319:CB319)</f>
        <v>176</v>
      </c>
      <c r="CD319" s="36"/>
      <c r="CE319" s="36"/>
      <c r="CF319" s="36"/>
      <c r="CG319" s="36"/>
      <c r="CH319" s="36"/>
      <c r="CI319" s="36"/>
      <c r="CJ319" s="36"/>
      <c r="CK319" s="36"/>
      <c r="CL319" s="36"/>
      <c r="CM319" s="36"/>
      <c r="CN319" s="36"/>
      <c r="CO319" s="36"/>
      <c r="CP319" s="36"/>
      <c r="CQ319" s="36"/>
      <c r="CR319" s="36"/>
      <c r="CS319" s="36"/>
      <c r="CT319" s="36"/>
      <c r="CU319" s="36"/>
      <c r="CV319" s="36"/>
      <c r="CW319" s="36"/>
      <c r="CX319" s="36"/>
      <c r="CY319" s="36"/>
      <c r="CZ319" s="36"/>
      <c r="DA319" s="36"/>
      <c r="DB319" s="36"/>
      <c r="DC319" s="36"/>
      <c r="DD319" s="36"/>
      <c r="DE319" s="36"/>
      <c r="DF319" s="36"/>
      <c r="DG319" s="36"/>
      <c r="DH319" s="36"/>
      <c r="DI319" s="36"/>
      <c r="DJ319" s="36"/>
      <c r="DK319" s="36"/>
      <c r="DL319" s="183"/>
      <c r="DM319" s="183"/>
      <c r="DN319" s="183"/>
      <c r="DO319" s="183"/>
      <c r="DP319" s="183"/>
    </row>
    <row r="320" spans="1:120" hidden="1" x14ac:dyDescent="0.2">
      <c r="A320" s="116" t="s">
        <v>219</v>
      </c>
      <c r="B320" s="39">
        <f t="shared" ref="B320:U320" si="265">B319+B318</f>
        <v>1106.9466</v>
      </c>
      <c r="C320" s="39">
        <f t="shared" si="265"/>
        <v>1106.9450000000002</v>
      </c>
      <c r="D320" s="39">
        <f t="shared" si="265"/>
        <v>1348.01179</v>
      </c>
      <c r="E320" s="39">
        <f t="shared" si="265"/>
        <v>1559.5255999999999</v>
      </c>
      <c r="F320" s="39">
        <f t="shared" si="265"/>
        <v>5121.4305355866145</v>
      </c>
      <c r="G320" s="39">
        <f t="shared" si="265"/>
        <v>1105</v>
      </c>
      <c r="H320" s="39">
        <f t="shared" si="265"/>
        <v>1175</v>
      </c>
      <c r="I320" s="39">
        <f t="shared" si="265"/>
        <v>1440</v>
      </c>
      <c r="J320" s="39">
        <f t="shared" si="265"/>
        <v>1723</v>
      </c>
      <c r="K320" s="39">
        <f t="shared" si="265"/>
        <v>5443</v>
      </c>
      <c r="L320" s="39">
        <f t="shared" si="265"/>
        <v>1175</v>
      </c>
      <c r="M320" s="39">
        <f t="shared" si="265"/>
        <v>1218</v>
      </c>
      <c r="N320" s="39">
        <f t="shared" si="265"/>
        <v>1404.75</v>
      </c>
      <c r="O320" s="39">
        <f t="shared" si="265"/>
        <v>1213.74</v>
      </c>
      <c r="P320" s="39">
        <f t="shared" si="265"/>
        <v>5011.49</v>
      </c>
      <c r="Q320" s="39">
        <f t="shared" si="265"/>
        <v>1296</v>
      </c>
      <c r="R320" s="39">
        <f t="shared" si="265"/>
        <v>1369</v>
      </c>
      <c r="S320" s="39">
        <f t="shared" si="265"/>
        <v>1220</v>
      </c>
      <c r="T320" s="39">
        <f t="shared" si="265"/>
        <v>1311</v>
      </c>
      <c r="U320" s="39">
        <f t="shared" si="265"/>
        <v>5196</v>
      </c>
      <c r="V320" s="39">
        <f>V319+V318+1</f>
        <v>1107</v>
      </c>
      <c r="W320" s="39">
        <f>W319+W318+1</f>
        <v>1152</v>
      </c>
      <c r="X320" s="39">
        <f>X319+X318+1</f>
        <v>1051</v>
      </c>
      <c r="Y320" s="39">
        <f>Y319+Y318+1</f>
        <v>1075</v>
      </c>
      <c r="Z320" s="39">
        <f>Z319+Z318</f>
        <v>4381</v>
      </c>
      <c r="AA320" s="39">
        <f>AA319+AA318+1</f>
        <v>1065</v>
      </c>
      <c r="AB320" s="39">
        <f>AB319+AB318+1</f>
        <v>990</v>
      </c>
      <c r="AC320" s="39">
        <f t="shared" ref="AC320:BD320" si="266">AC319+AC318</f>
        <v>371</v>
      </c>
      <c r="AD320" s="39">
        <f t="shared" si="266"/>
        <v>379</v>
      </c>
      <c r="AE320" s="39">
        <f t="shared" si="266"/>
        <v>2803</v>
      </c>
      <c r="AF320" s="39">
        <f t="shared" si="266"/>
        <v>258</v>
      </c>
      <c r="AG320" s="39">
        <f t="shared" si="266"/>
        <v>178</v>
      </c>
      <c r="AH320" s="39">
        <f t="shared" si="266"/>
        <v>218</v>
      </c>
      <c r="AI320" s="39">
        <f t="shared" si="266"/>
        <v>223</v>
      </c>
      <c r="AJ320" s="39">
        <f t="shared" si="266"/>
        <v>877</v>
      </c>
      <c r="AK320" s="39">
        <f t="shared" si="266"/>
        <v>179</v>
      </c>
      <c r="AL320" s="39">
        <f t="shared" si="266"/>
        <v>176</v>
      </c>
      <c r="AM320" s="39">
        <f t="shared" si="266"/>
        <v>157</v>
      </c>
      <c r="AN320" s="39">
        <f t="shared" si="266"/>
        <v>147</v>
      </c>
      <c r="AO320" s="39">
        <f t="shared" si="266"/>
        <v>659</v>
      </c>
      <c r="AP320" s="39">
        <f t="shared" si="266"/>
        <v>137</v>
      </c>
      <c r="AQ320" s="39">
        <f t="shared" si="266"/>
        <v>141</v>
      </c>
      <c r="AR320" s="39">
        <f t="shared" si="266"/>
        <v>141</v>
      </c>
      <c r="AS320" s="39">
        <f t="shared" si="266"/>
        <v>139</v>
      </c>
      <c r="AT320" s="39">
        <f t="shared" si="266"/>
        <v>558</v>
      </c>
      <c r="AU320" s="39">
        <f t="shared" si="266"/>
        <v>116</v>
      </c>
      <c r="AV320" s="39">
        <f t="shared" si="266"/>
        <v>117</v>
      </c>
      <c r="AW320" s="39">
        <f t="shared" si="266"/>
        <v>114</v>
      </c>
      <c r="AX320" s="39">
        <f t="shared" si="266"/>
        <v>121</v>
      </c>
      <c r="AY320" s="39">
        <f t="shared" si="266"/>
        <v>468</v>
      </c>
      <c r="AZ320" s="39">
        <f t="shared" si="266"/>
        <v>127</v>
      </c>
      <c r="BA320" s="39">
        <f t="shared" si="266"/>
        <v>107</v>
      </c>
      <c r="BB320" s="39">
        <f t="shared" si="266"/>
        <v>110</v>
      </c>
      <c r="BC320" s="39">
        <f t="shared" si="266"/>
        <v>111</v>
      </c>
      <c r="BD320" s="39">
        <f t="shared" si="266"/>
        <v>455</v>
      </c>
      <c r="BE320" s="39">
        <f>BE318+BE319</f>
        <v>102</v>
      </c>
      <c r="BF320" s="39">
        <f>BF318+BF319</f>
        <v>96</v>
      </c>
      <c r="BG320" s="39">
        <f>BG318+BG319</f>
        <v>86</v>
      </c>
      <c r="BH320" s="39">
        <f>BH318+BH319</f>
        <v>97</v>
      </c>
      <c r="BI320" s="39">
        <f t="shared" ref="BI320:CC320" si="267">BI319+BI318</f>
        <v>381</v>
      </c>
      <c r="BJ320" s="39">
        <f t="shared" si="267"/>
        <v>82</v>
      </c>
      <c r="BK320" s="39">
        <f t="shared" si="267"/>
        <v>74</v>
      </c>
      <c r="BL320" s="39">
        <f t="shared" si="267"/>
        <v>65</v>
      </c>
      <c r="BM320" s="39">
        <f t="shared" si="267"/>
        <v>80</v>
      </c>
      <c r="BN320" s="39">
        <f t="shared" si="267"/>
        <v>301</v>
      </c>
      <c r="BO320" s="39">
        <f t="shared" si="267"/>
        <v>65</v>
      </c>
      <c r="BP320" s="39">
        <f t="shared" si="267"/>
        <v>68</v>
      </c>
      <c r="BQ320" s="39">
        <f t="shared" si="267"/>
        <v>61</v>
      </c>
      <c r="BR320" s="39">
        <f t="shared" si="267"/>
        <v>64</v>
      </c>
      <c r="BS320" s="39">
        <f t="shared" si="267"/>
        <v>258</v>
      </c>
      <c r="BT320" s="39">
        <f t="shared" si="267"/>
        <v>49</v>
      </c>
      <c r="BU320" s="39">
        <f t="shared" si="267"/>
        <v>63</v>
      </c>
      <c r="BV320" s="39">
        <f t="shared" si="267"/>
        <v>56</v>
      </c>
      <c r="BW320" s="39">
        <f t="shared" si="267"/>
        <v>49</v>
      </c>
      <c r="BX320" s="39">
        <f t="shared" si="267"/>
        <v>217</v>
      </c>
      <c r="BY320" s="39">
        <f t="shared" si="267"/>
        <v>46</v>
      </c>
      <c r="BZ320" s="39">
        <f t="shared" si="267"/>
        <v>50</v>
      </c>
      <c r="CA320" s="39">
        <f t="shared" si="267"/>
        <v>54</v>
      </c>
      <c r="CB320" s="39">
        <f t="shared" si="267"/>
        <v>37</v>
      </c>
      <c r="CC320" s="39">
        <f t="shared" si="267"/>
        <v>187</v>
      </c>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187"/>
      <c r="DM320" s="187"/>
      <c r="DN320" s="187"/>
      <c r="DO320" s="187"/>
      <c r="DP320" s="187"/>
    </row>
    <row r="321" spans="1:120" hidden="1" x14ac:dyDescent="0.2">
      <c r="A321" s="68" t="s">
        <v>54</v>
      </c>
      <c r="G321" s="76">
        <f t="shared" ref="G321:AJ323" si="268">G318/B318-1</f>
        <v>-8.7185067807071803E-4</v>
      </c>
      <c r="H321" s="76">
        <f t="shared" si="268"/>
        <v>-8.702610942380451E-4</v>
      </c>
      <c r="I321" s="76">
        <f t="shared" si="268"/>
        <v>-1.3966074955012231E-2</v>
      </c>
      <c r="J321" s="76">
        <f t="shared" si="268"/>
        <v>6.3665727045430831E-2</v>
      </c>
      <c r="K321" s="76">
        <f t="shared" si="268"/>
        <v>1.6111074093816846E-2</v>
      </c>
      <c r="L321" s="76">
        <f t="shared" si="268"/>
        <v>1.5923566878980999E-2</v>
      </c>
      <c r="M321" s="76">
        <f t="shared" si="268"/>
        <v>0.19426751592356695</v>
      </c>
      <c r="N321" s="76">
        <f t="shared" si="268"/>
        <v>0.15046296296296302</v>
      </c>
      <c r="O321" s="76">
        <f t="shared" si="268"/>
        <v>-0.28609184629803186</v>
      </c>
      <c r="P321" s="76">
        <f t="shared" si="268"/>
        <v>-1.3573893944148208E-2</v>
      </c>
      <c r="Q321" s="90">
        <f t="shared" si="268"/>
        <v>0.41065830721003138</v>
      </c>
      <c r="R321" s="90">
        <f t="shared" si="268"/>
        <v>0.27733333333333343</v>
      </c>
      <c r="S321" s="90">
        <f t="shared" si="268"/>
        <v>-0.14084507042253525</v>
      </c>
      <c r="T321" s="90">
        <f t="shared" si="268"/>
        <v>0.18281828445401316</v>
      </c>
      <c r="U321" s="76">
        <f t="shared" si="268"/>
        <v>0.14926806924236735</v>
      </c>
      <c r="V321" s="90">
        <f t="shared" si="268"/>
        <v>-0.18000000000000005</v>
      </c>
      <c r="W321" s="90">
        <f t="shared" si="268"/>
        <v>-0.15031315240083509</v>
      </c>
      <c r="X321" s="90">
        <f t="shared" si="268"/>
        <v>-9.8360655737704916E-2</v>
      </c>
      <c r="Y321" s="90">
        <f t="shared" si="268"/>
        <v>-9.1009988901220917E-2</v>
      </c>
      <c r="Z321" s="76">
        <f t="shared" si="268"/>
        <v>-0.13063935787434267</v>
      </c>
      <c r="AA321" s="90">
        <f t="shared" si="268"/>
        <v>0.12872628726287272</v>
      </c>
      <c r="AB321" s="90">
        <f t="shared" si="268"/>
        <v>-8.8452088452088407E-2</v>
      </c>
      <c r="AC321" s="90">
        <f t="shared" si="268"/>
        <v>-0.80259740259740253</v>
      </c>
      <c r="AD321" s="90">
        <f t="shared" si="268"/>
        <v>-0.80341880341880345</v>
      </c>
      <c r="AE321" s="76">
        <f t="shared" si="268"/>
        <v>-0.39891754218401787</v>
      </c>
      <c r="AF321" s="90">
        <f t="shared" si="268"/>
        <v>-0.91596638655462181</v>
      </c>
      <c r="AG321" s="90">
        <f t="shared" si="268"/>
        <v>-0.99730458221024254</v>
      </c>
      <c r="AH321" s="90">
        <f t="shared" si="268"/>
        <v>-0.63815789473684204</v>
      </c>
      <c r="AI321" s="90">
        <f t="shared" si="268"/>
        <v>-0.65838509316770188</v>
      </c>
      <c r="AJ321" s="76">
        <f t="shared" si="268"/>
        <v>-0.90360169491525422</v>
      </c>
      <c r="AK321" s="90">
        <f>AK318/AF318-1</f>
        <v>-0.6</v>
      </c>
      <c r="AL321" s="76" t="s">
        <v>216</v>
      </c>
      <c r="AM321" s="76" t="s">
        <v>216</v>
      </c>
      <c r="AN321" s="76" t="s">
        <v>216</v>
      </c>
      <c r="AO321" s="76">
        <f>AO318/AJ318-1</f>
        <v>-0.58791208791208793</v>
      </c>
      <c r="AP321" s="76" t="s">
        <v>216</v>
      </c>
      <c r="AQ321" s="76" t="s">
        <v>216</v>
      </c>
      <c r="AR321" s="76" t="s">
        <v>216</v>
      </c>
      <c r="AS321" s="76" t="s">
        <v>216</v>
      </c>
      <c r="AT321" s="76">
        <f>AT318/AO318-1</f>
        <v>-0.41333333333333333</v>
      </c>
      <c r="AU321" s="76" t="s">
        <v>216</v>
      </c>
      <c r="AV321" s="76" t="s">
        <v>216</v>
      </c>
      <c r="AW321" s="76" t="s">
        <v>216</v>
      </c>
      <c r="AX321" s="76" t="s">
        <v>216</v>
      </c>
      <c r="AY321" s="76">
        <f t="shared" ref="AY321:CB323" si="269">AY318/AT318-1</f>
        <v>-4.5454545454545414E-2</v>
      </c>
      <c r="AZ321" s="76">
        <f t="shared" si="269"/>
        <v>-0.19999999999999996</v>
      </c>
      <c r="BA321" s="76">
        <f t="shared" si="269"/>
        <v>0</v>
      </c>
      <c r="BB321" s="76">
        <f t="shared" si="269"/>
        <v>-0.36363636363636365</v>
      </c>
      <c r="BC321" s="76">
        <f t="shared" si="269"/>
        <v>-0.33333333333333337</v>
      </c>
      <c r="BD321" s="76">
        <f t="shared" si="269"/>
        <v>-0.23809523809523814</v>
      </c>
      <c r="BE321" s="76">
        <f t="shared" si="269"/>
        <v>-0.25</v>
      </c>
      <c r="BF321" s="76">
        <f t="shared" si="269"/>
        <v>-0.22222222222222221</v>
      </c>
      <c r="BG321" s="76">
        <f t="shared" si="269"/>
        <v>0</v>
      </c>
      <c r="BH321" s="76">
        <f t="shared" si="269"/>
        <v>-0.125</v>
      </c>
      <c r="BI321" s="90">
        <f t="shared" si="269"/>
        <v>-0.15625</v>
      </c>
      <c r="BJ321" s="76">
        <f t="shared" si="269"/>
        <v>0</v>
      </c>
      <c r="BK321" s="76">
        <f t="shared" si="269"/>
        <v>-0.1428571428571429</v>
      </c>
      <c r="BL321" s="76">
        <f t="shared" si="269"/>
        <v>-0.1428571428571429</v>
      </c>
      <c r="BM321" s="76">
        <f t="shared" si="269"/>
        <v>0</v>
      </c>
      <c r="BN321" s="90">
        <f>BN318/BI318-1</f>
        <v>-7.407407407407407E-2</v>
      </c>
      <c r="BO321" s="76">
        <f t="shared" si="269"/>
        <v>-0.16666666666666663</v>
      </c>
      <c r="BP321" s="76">
        <f t="shared" si="269"/>
        <v>-0.16666666666666663</v>
      </c>
      <c r="BQ321" s="76">
        <f t="shared" si="269"/>
        <v>-0.16666666666666663</v>
      </c>
      <c r="BR321" s="76">
        <f t="shared" si="269"/>
        <v>-0.1428571428571429</v>
      </c>
      <c r="BS321" s="90">
        <f>BS318/BN318-1</f>
        <v>-0.16000000000000003</v>
      </c>
      <c r="BT321" s="76">
        <f t="shared" si="269"/>
        <v>0</v>
      </c>
      <c r="BU321" s="76">
        <f t="shared" si="269"/>
        <v>0</v>
      </c>
      <c r="BV321" s="76">
        <f t="shared" si="269"/>
        <v>0</v>
      </c>
      <c r="BW321" s="76">
        <f t="shared" si="269"/>
        <v>-0.16666666666666663</v>
      </c>
      <c r="BX321" s="90">
        <f>BX318/BS318-1</f>
        <v>-4.7619047619047672E-2</v>
      </c>
      <c r="BY321" s="76">
        <f t="shared" si="269"/>
        <v>-0.19999999999999996</v>
      </c>
      <c r="BZ321" s="76">
        <f t="shared" si="269"/>
        <v>-0.6</v>
      </c>
      <c r="CA321" s="76">
        <f t="shared" si="269"/>
        <v>-0.4</v>
      </c>
      <c r="CB321" s="76">
        <f t="shared" si="269"/>
        <v>-0.6</v>
      </c>
      <c r="CC321" s="90">
        <f>CC318/BX318-1</f>
        <v>-0.44999999999999996</v>
      </c>
      <c r="CD321" s="76"/>
      <c r="CE321" s="76"/>
      <c r="CF321" s="76"/>
      <c r="CG321" s="76"/>
      <c r="CH321" s="90"/>
      <c r="CI321" s="90"/>
      <c r="CJ321" s="90"/>
      <c r="CK321" s="90"/>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188"/>
      <c r="DM321" s="188"/>
      <c r="DN321" s="188"/>
      <c r="DO321" s="188"/>
      <c r="DP321" s="188"/>
    </row>
    <row r="322" spans="1:120" hidden="1" x14ac:dyDescent="0.2">
      <c r="A322" s="68" t="s">
        <v>55</v>
      </c>
      <c r="G322" s="76">
        <f t="shared" si="268"/>
        <v>-2.9235035386808716E-3</v>
      </c>
      <c r="H322" s="76">
        <f t="shared" si="268"/>
        <v>0.14339942892737834</v>
      </c>
      <c r="I322" s="76">
        <f t="shared" si="268"/>
        <v>0.22092308610608824</v>
      </c>
      <c r="J322" s="76">
        <f t="shared" si="268"/>
        <v>0.17902719113486576</v>
      </c>
      <c r="K322" s="76">
        <f t="shared" si="268"/>
        <v>0.13654545454545475</v>
      </c>
      <c r="L322" s="76">
        <f t="shared" si="268"/>
        <v>0.12578616352201255</v>
      </c>
      <c r="M322" s="76">
        <f t="shared" si="268"/>
        <v>-0.1444241316270567</v>
      </c>
      <c r="N322" s="76">
        <f t="shared" si="268"/>
        <v>-0.28689236111111116</v>
      </c>
      <c r="O322" s="76">
        <f t="shared" si="268"/>
        <v>-0.31097560975609762</v>
      </c>
      <c r="P322" s="76">
        <f t="shared" si="268"/>
        <v>-0.17209663120567376</v>
      </c>
      <c r="Q322" s="90">
        <f t="shared" si="268"/>
        <v>-0.26256983240223464</v>
      </c>
      <c r="R322" s="90">
        <f t="shared" si="268"/>
        <v>-0.12179487179487181</v>
      </c>
      <c r="S322" s="90">
        <f t="shared" si="268"/>
        <v>-0.10894704808277544</v>
      </c>
      <c r="T322" s="90">
        <f t="shared" si="268"/>
        <v>-9.2920353982300918E-2</v>
      </c>
      <c r="U322" s="76">
        <f t="shared" si="268"/>
        <v>-0.15245616383348948</v>
      </c>
      <c r="V322" s="90">
        <f t="shared" si="268"/>
        <v>-7.0707070707070718E-2</v>
      </c>
      <c r="W322" s="90">
        <f t="shared" si="268"/>
        <v>-0.18004866180048662</v>
      </c>
      <c r="X322" s="90">
        <f t="shared" si="268"/>
        <v>-0.23497267759562845</v>
      </c>
      <c r="Y322" s="90">
        <f t="shared" si="268"/>
        <v>-0.37804878048780488</v>
      </c>
      <c r="Z322" s="76">
        <f t="shared" si="268"/>
        <v>-0.21667719519898931</v>
      </c>
      <c r="AA322" s="90">
        <f t="shared" si="268"/>
        <v>-0.37228260869565222</v>
      </c>
      <c r="AB322" s="90">
        <f t="shared" si="268"/>
        <v>-0.26706231454005935</v>
      </c>
      <c r="AC322" s="90">
        <f t="shared" si="268"/>
        <v>-0.21785714285714286</v>
      </c>
      <c r="AD322" s="90">
        <f t="shared" si="268"/>
        <v>-0.14509803921568631</v>
      </c>
      <c r="AE322" s="76">
        <f t="shared" si="268"/>
        <v>-0.26209677419354838</v>
      </c>
      <c r="AF322" s="90">
        <f t="shared" si="268"/>
        <v>-0.18614718614718617</v>
      </c>
      <c r="AG322" s="90">
        <f t="shared" si="268"/>
        <v>-0.28744939271255066</v>
      </c>
      <c r="AH322" s="90">
        <f t="shared" si="268"/>
        <v>-0.25570776255707761</v>
      </c>
      <c r="AI322" s="90">
        <f t="shared" si="268"/>
        <v>-0.22935779816513757</v>
      </c>
      <c r="AJ322" s="76">
        <f t="shared" si="268"/>
        <v>-0.2404371584699454</v>
      </c>
      <c r="AK322" s="90">
        <f>AK319/AF319-1</f>
        <v>-0.19680851063829785</v>
      </c>
      <c r="AL322" s="90">
        <f t="shared" ref="AL322:AN323" si="270">AL319/AG319-1</f>
        <v>-0.10795454545454541</v>
      </c>
      <c r="AM322" s="90">
        <f t="shared" si="270"/>
        <v>-0.14110429447852757</v>
      </c>
      <c r="AN322" s="90">
        <f t="shared" si="270"/>
        <v>-0.19047619047619047</v>
      </c>
      <c r="AO322" s="76">
        <f>AO319/AJ319-1</f>
        <v>-0.15971223021582737</v>
      </c>
      <c r="AP322" s="90">
        <f t="shared" ref="AP322:AS323" si="271">AP319/AK319-1</f>
        <v>-0.14569536423841056</v>
      </c>
      <c r="AQ322" s="90">
        <f t="shared" si="271"/>
        <v>-0.15923566878980888</v>
      </c>
      <c r="AR322" s="90">
        <f t="shared" si="271"/>
        <v>-0.11428571428571432</v>
      </c>
      <c r="AS322" s="90">
        <f t="shared" si="271"/>
        <v>-5.1470588235294157E-2</v>
      </c>
      <c r="AT322" s="76">
        <f>AT319/AO319-1</f>
        <v>-0.11986301369863017</v>
      </c>
      <c r="AU322" s="90">
        <f t="shared" ref="AU322:AX323" si="272">AU319/AP319-1</f>
        <v>-0.17829457364341084</v>
      </c>
      <c r="AV322" s="90">
        <f t="shared" si="272"/>
        <v>-0.18181818181818177</v>
      </c>
      <c r="AW322" s="90">
        <f t="shared" si="272"/>
        <v>-0.16935483870967738</v>
      </c>
      <c r="AX322" s="90">
        <f t="shared" si="272"/>
        <v>-0.15503875968992253</v>
      </c>
      <c r="AY322" s="76">
        <f t="shared" si="269"/>
        <v>-0.1712062256809338</v>
      </c>
      <c r="AZ322" s="90">
        <f t="shared" si="269"/>
        <v>0.12264150943396235</v>
      </c>
      <c r="BA322" s="90">
        <f t="shared" si="269"/>
        <v>-9.259259259259256E-2</v>
      </c>
      <c r="BB322" s="90">
        <f t="shared" si="269"/>
        <v>0</v>
      </c>
      <c r="BC322" s="90">
        <f t="shared" si="269"/>
        <v>-5.5045871559633031E-2</v>
      </c>
      <c r="BD322" s="76">
        <f t="shared" si="269"/>
        <v>-7.0422535211267512E-3</v>
      </c>
      <c r="BE322" s="76">
        <f t="shared" si="269"/>
        <v>-0.19327731092436973</v>
      </c>
      <c r="BF322" s="76">
        <f t="shared" si="269"/>
        <v>-9.1836734693877542E-2</v>
      </c>
      <c r="BG322" s="76">
        <f t="shared" si="269"/>
        <v>-0.23300970873786409</v>
      </c>
      <c r="BH322" s="76">
        <f t="shared" si="269"/>
        <v>-0.12621359223300976</v>
      </c>
      <c r="BI322" s="90">
        <f t="shared" si="269"/>
        <v>-0.16312056737588654</v>
      </c>
      <c r="BJ322" s="76">
        <f t="shared" si="269"/>
        <v>-0.20833333333333337</v>
      </c>
      <c r="BK322" s="76">
        <f t="shared" si="269"/>
        <v>-0.2359550561797753</v>
      </c>
      <c r="BL322" s="76">
        <f t="shared" si="269"/>
        <v>-0.25316455696202533</v>
      </c>
      <c r="BM322" s="76">
        <f t="shared" si="269"/>
        <v>-0.18888888888888888</v>
      </c>
      <c r="BN322" s="90">
        <f>BN319/BI319-1</f>
        <v>-0.22033898305084743</v>
      </c>
      <c r="BO322" s="76">
        <f t="shared" si="269"/>
        <v>-0.21052631578947367</v>
      </c>
      <c r="BP322" s="76">
        <f t="shared" si="269"/>
        <v>-7.3529411764705843E-2</v>
      </c>
      <c r="BQ322" s="76">
        <f t="shared" si="269"/>
        <v>-5.084745762711862E-2</v>
      </c>
      <c r="BR322" s="76">
        <f t="shared" si="269"/>
        <v>-0.20547945205479456</v>
      </c>
      <c r="BS322" s="90">
        <f>BS319/BN319-1</f>
        <v>-0.14130434782608692</v>
      </c>
      <c r="BT322" s="76">
        <f t="shared" si="269"/>
        <v>-0.26666666666666672</v>
      </c>
      <c r="BU322" s="76">
        <f t="shared" si="269"/>
        <v>-7.9365079365079416E-2</v>
      </c>
      <c r="BV322" s="76">
        <f t="shared" si="269"/>
        <v>-8.9285714285714302E-2</v>
      </c>
      <c r="BW322" s="76">
        <f t="shared" si="269"/>
        <v>-0.24137931034482762</v>
      </c>
      <c r="BX322" s="90">
        <f>BX319/BS319-1</f>
        <v>-0.16877637130801693</v>
      </c>
      <c r="BY322" s="76">
        <f t="shared" si="269"/>
        <v>-4.5454545454545414E-2</v>
      </c>
      <c r="BZ322" s="76">
        <f t="shared" si="269"/>
        <v>-0.17241379310344829</v>
      </c>
      <c r="CA322" s="76">
        <f t="shared" si="269"/>
        <v>0</v>
      </c>
      <c r="CB322" s="76">
        <f t="shared" si="269"/>
        <v>-0.20454545454545459</v>
      </c>
      <c r="CC322" s="90">
        <f>CC319/BX319-1</f>
        <v>-0.10659898477157359</v>
      </c>
      <c r="CD322" s="76"/>
      <c r="CE322" s="76"/>
      <c r="CF322" s="76"/>
      <c r="CG322" s="76"/>
      <c r="CH322" s="90"/>
      <c r="CI322" s="90"/>
      <c r="CJ322" s="90"/>
      <c r="CK322" s="90"/>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188"/>
      <c r="DM322" s="188"/>
      <c r="DN322" s="188"/>
      <c r="DO322" s="188"/>
      <c r="DP322" s="188"/>
    </row>
    <row r="323" spans="1:120" hidden="1" x14ac:dyDescent="0.2">
      <c r="A323" s="78" t="s">
        <v>56</v>
      </c>
      <c r="B323" s="79"/>
      <c r="C323" s="79"/>
      <c r="D323" s="79"/>
      <c r="E323" s="79"/>
      <c r="F323" s="79"/>
      <c r="G323" s="80">
        <f t="shared" si="268"/>
        <v>-1.7585310799996812E-3</v>
      </c>
      <c r="H323" s="80">
        <f t="shared" si="268"/>
        <v>6.1480019332486924E-2</v>
      </c>
      <c r="I323" s="80">
        <f t="shared" si="268"/>
        <v>6.8239915023295072E-2</v>
      </c>
      <c r="J323" s="80">
        <f t="shared" si="268"/>
        <v>0.10482315904272421</v>
      </c>
      <c r="K323" s="80">
        <f t="shared" si="268"/>
        <v>6.2788992680646194E-2</v>
      </c>
      <c r="L323" s="80">
        <f t="shared" si="268"/>
        <v>6.3348416289592757E-2</v>
      </c>
      <c r="M323" s="80">
        <f t="shared" si="268"/>
        <v>3.6595744680851139E-2</v>
      </c>
      <c r="N323" s="80">
        <f t="shared" si="268"/>
        <v>-2.4479166666666718E-2</v>
      </c>
      <c r="O323" s="80">
        <f t="shared" si="268"/>
        <v>-0.29556587347649443</v>
      </c>
      <c r="P323" s="80">
        <f t="shared" si="268"/>
        <v>-7.9277971706779415E-2</v>
      </c>
      <c r="Q323" s="80">
        <f t="shared" si="268"/>
        <v>0.1029787234042554</v>
      </c>
      <c r="R323" s="80">
        <f t="shared" si="268"/>
        <v>0.12397372742200319</v>
      </c>
      <c r="S323" s="80">
        <f t="shared" si="268"/>
        <v>-0.13151806371240438</v>
      </c>
      <c r="T323" s="80">
        <f t="shared" si="268"/>
        <v>8.0132483068861449E-2</v>
      </c>
      <c r="U323" s="80">
        <f t="shared" si="268"/>
        <v>3.6817393629439588E-2</v>
      </c>
      <c r="V323" s="80">
        <f t="shared" si="268"/>
        <v>-0.14583333333333337</v>
      </c>
      <c r="W323" s="80">
        <f t="shared" si="268"/>
        <v>-0.15850986121256394</v>
      </c>
      <c r="X323" s="80">
        <f t="shared" si="268"/>
        <v>-0.13852459016393448</v>
      </c>
      <c r="Y323" s="80">
        <f t="shared" si="268"/>
        <v>-0.18001525553012965</v>
      </c>
      <c r="Z323" s="80">
        <f t="shared" si="268"/>
        <v>-0.15685142417244036</v>
      </c>
      <c r="AA323" s="80">
        <f t="shared" si="268"/>
        <v>-3.7940379403794022E-2</v>
      </c>
      <c r="AB323" s="80">
        <f t="shared" si="268"/>
        <v>-0.140625</v>
      </c>
      <c r="AC323" s="80">
        <f t="shared" si="268"/>
        <v>-0.64700285442435779</v>
      </c>
      <c r="AD323" s="80">
        <f t="shared" si="268"/>
        <v>-0.6474418604651162</v>
      </c>
      <c r="AE323" s="80">
        <f t="shared" si="268"/>
        <v>-0.36019173704633645</v>
      </c>
      <c r="AF323" s="80">
        <f t="shared" si="268"/>
        <v>-0.75774647887323943</v>
      </c>
      <c r="AG323" s="80">
        <f t="shared" si="268"/>
        <v>-0.82020202020202015</v>
      </c>
      <c r="AH323" s="80">
        <f t="shared" si="268"/>
        <v>-0.41239892183288407</v>
      </c>
      <c r="AI323" s="80">
        <f t="shared" si="268"/>
        <v>-0.41160949868073882</v>
      </c>
      <c r="AJ323" s="80">
        <f t="shared" si="268"/>
        <v>-0.68712094184801997</v>
      </c>
      <c r="AK323" s="80">
        <f>AK320/AF320-1</f>
        <v>-0.30620155038759689</v>
      </c>
      <c r="AL323" s="80">
        <f t="shared" si="270"/>
        <v>-1.1235955056179803E-2</v>
      </c>
      <c r="AM323" s="80">
        <f t="shared" si="270"/>
        <v>-0.27981651376146788</v>
      </c>
      <c r="AN323" s="80">
        <f t="shared" si="270"/>
        <v>-0.34080717488789236</v>
      </c>
      <c r="AO323" s="80">
        <f>AO320/AJ320-1</f>
        <v>-0.24857468643101477</v>
      </c>
      <c r="AP323" s="80">
        <f t="shared" si="271"/>
        <v>-0.23463687150837986</v>
      </c>
      <c r="AQ323" s="80">
        <f t="shared" si="271"/>
        <v>-0.19886363636363635</v>
      </c>
      <c r="AR323" s="80">
        <f t="shared" si="271"/>
        <v>-0.10191082802547768</v>
      </c>
      <c r="AS323" s="80">
        <f t="shared" si="271"/>
        <v>-5.4421768707482943E-2</v>
      </c>
      <c r="AT323" s="80">
        <f>AT320/AO320-1</f>
        <v>-0.15326251896813359</v>
      </c>
      <c r="AU323" s="80">
        <f t="shared" si="272"/>
        <v>-0.15328467153284675</v>
      </c>
      <c r="AV323" s="80">
        <f t="shared" si="272"/>
        <v>-0.17021276595744683</v>
      </c>
      <c r="AW323" s="80">
        <f t="shared" si="272"/>
        <v>-0.19148936170212771</v>
      </c>
      <c r="AX323" s="80">
        <f t="shared" si="272"/>
        <v>-0.12949640287769781</v>
      </c>
      <c r="AY323" s="80">
        <f t="shared" si="269"/>
        <v>-0.16129032258064513</v>
      </c>
      <c r="AZ323" s="80">
        <f t="shared" si="269"/>
        <v>9.4827586206896575E-2</v>
      </c>
      <c r="BA323" s="80">
        <f t="shared" si="269"/>
        <v>-8.54700854700855E-2</v>
      </c>
      <c r="BB323" s="80">
        <f t="shared" si="269"/>
        <v>-3.5087719298245612E-2</v>
      </c>
      <c r="BC323" s="80">
        <f t="shared" si="269"/>
        <v>-8.2644628099173501E-2</v>
      </c>
      <c r="BD323" s="80">
        <f t="shared" si="269"/>
        <v>-2.777777777777779E-2</v>
      </c>
      <c r="BE323" s="80">
        <f t="shared" si="269"/>
        <v>-0.19685039370078738</v>
      </c>
      <c r="BF323" s="80">
        <f t="shared" si="269"/>
        <v>-0.10280373831775702</v>
      </c>
      <c r="BG323" s="80">
        <f>BG320/BB320-1</f>
        <v>-0.21818181818181814</v>
      </c>
      <c r="BH323" s="80">
        <f>BH320/BC320-1</f>
        <v>-0.12612612612612617</v>
      </c>
      <c r="BI323" s="80">
        <f t="shared" si="269"/>
        <v>-0.16263736263736261</v>
      </c>
      <c r="BJ323" s="80">
        <f t="shared" si="269"/>
        <v>-0.19607843137254899</v>
      </c>
      <c r="BK323" s="91">
        <f>BK320/BF320-1</f>
        <v>-0.22916666666666663</v>
      </c>
      <c r="BL323" s="91">
        <f>BL320/BG320-1</f>
        <v>-0.2441860465116279</v>
      </c>
      <c r="BM323" s="91">
        <f>BM320/BH320-1</f>
        <v>-0.17525773195876293</v>
      </c>
      <c r="BN323" s="80">
        <f>BN320/BI320-1</f>
        <v>-0.20997375328083989</v>
      </c>
      <c r="BO323" s="80">
        <f>BO320/BJ320-1</f>
        <v>-0.20731707317073167</v>
      </c>
      <c r="BP323" s="91">
        <f>BP320/BK320-1</f>
        <v>-8.108108108108103E-2</v>
      </c>
      <c r="BQ323" s="91">
        <f>BQ320/BL320-1</f>
        <v>-6.1538461538461542E-2</v>
      </c>
      <c r="BR323" s="91">
        <f>BR320/BM320-1</f>
        <v>-0.19999999999999996</v>
      </c>
      <c r="BS323" s="80">
        <f>BS320/BN320-1</f>
        <v>-0.1428571428571429</v>
      </c>
      <c r="BT323" s="80">
        <f>BT320/BO320-1</f>
        <v>-0.24615384615384617</v>
      </c>
      <c r="BU323" s="80">
        <f>BU320/BP320-1</f>
        <v>-7.3529411764705843E-2</v>
      </c>
      <c r="BV323" s="91">
        <f>BV320/BQ320-1</f>
        <v>-8.1967213114754078E-2</v>
      </c>
      <c r="BW323" s="91">
        <f>BW320/BR320-1</f>
        <v>-0.234375</v>
      </c>
      <c r="BX323" s="80">
        <f>BX320/BS320-1</f>
        <v>-0.15891472868217049</v>
      </c>
      <c r="BY323" s="80">
        <f>BY320/BT320-1</f>
        <v>-6.1224489795918324E-2</v>
      </c>
      <c r="BZ323" s="80">
        <f>BZ320/BU320-1</f>
        <v>-0.20634920634920639</v>
      </c>
      <c r="CA323" s="80">
        <f>CA320/BV320-1</f>
        <v>-3.5714285714285698E-2</v>
      </c>
      <c r="CB323" s="80">
        <f>CB320/BW320-1</f>
        <v>-0.24489795918367352</v>
      </c>
      <c r="CC323" s="80">
        <f>CC320/BX320-1</f>
        <v>-0.13824884792626724</v>
      </c>
      <c r="CD323" s="80"/>
      <c r="CE323" s="80"/>
      <c r="CF323" s="80"/>
      <c r="CG323" s="80"/>
      <c r="CH323" s="80"/>
      <c r="CI323" s="80"/>
      <c r="CJ323" s="80"/>
      <c r="CK323" s="80"/>
      <c r="CL323" s="80"/>
      <c r="CM323" s="80"/>
      <c r="CN323" s="80"/>
      <c r="CO323" s="80"/>
      <c r="CP323" s="80"/>
      <c r="CQ323" s="80"/>
      <c r="CR323" s="80"/>
      <c r="CS323" s="80"/>
      <c r="CT323" s="80"/>
      <c r="CU323" s="80"/>
      <c r="CV323" s="80"/>
      <c r="CW323" s="80"/>
      <c r="CX323" s="80"/>
      <c r="CY323" s="80"/>
      <c r="CZ323" s="80"/>
      <c r="DA323" s="80"/>
      <c r="DB323" s="80"/>
      <c r="DC323" s="80"/>
      <c r="DD323" s="80"/>
      <c r="DE323" s="80"/>
      <c r="DF323" s="80"/>
      <c r="DG323" s="80"/>
      <c r="DH323" s="80"/>
      <c r="DI323" s="80"/>
      <c r="DJ323" s="80"/>
      <c r="DK323" s="80"/>
      <c r="DL323" s="189"/>
      <c r="DM323" s="189"/>
      <c r="DN323" s="189"/>
      <c r="DO323" s="189"/>
      <c r="DP323" s="189"/>
    </row>
    <row r="324" spans="1:120" hidden="1" x14ac:dyDescent="0.2">
      <c r="A324" s="115" t="s">
        <v>220</v>
      </c>
      <c r="B324" s="36">
        <v>35</v>
      </c>
      <c r="C324" s="36">
        <v>45</v>
      </c>
      <c r="D324" s="36">
        <v>30</v>
      </c>
      <c r="E324" s="36">
        <v>20</v>
      </c>
      <c r="F324" s="36">
        <v>130</v>
      </c>
      <c r="G324" s="36">
        <v>14</v>
      </c>
      <c r="H324" s="36">
        <v>-7</v>
      </c>
      <c r="I324" s="36">
        <v>-6</v>
      </c>
      <c r="J324" s="36">
        <v>-2</v>
      </c>
      <c r="K324" s="36">
        <f>J324+I324+H324+G324</f>
        <v>-1</v>
      </c>
      <c r="L324" s="36">
        <v>-4</v>
      </c>
      <c r="M324" s="36">
        <v>-4</v>
      </c>
      <c r="N324" s="36">
        <v>-2.25</v>
      </c>
      <c r="O324" s="36">
        <v>-1.25</v>
      </c>
      <c r="P324" s="36">
        <f>O324+N324+M324+L324</f>
        <v>-11.5</v>
      </c>
      <c r="Q324" s="36">
        <v>0</v>
      </c>
      <c r="R324" s="36">
        <v>0</v>
      </c>
      <c r="S324" s="36">
        <v>0</v>
      </c>
      <c r="T324" s="36">
        <v>0</v>
      </c>
      <c r="U324" s="36">
        <f>T324+S324+R324+Q324</f>
        <v>0</v>
      </c>
      <c r="V324" s="36">
        <v>0</v>
      </c>
      <c r="W324" s="36">
        <v>0</v>
      </c>
      <c r="X324" s="36">
        <v>0</v>
      </c>
      <c r="Y324" s="36">
        <v>0</v>
      </c>
      <c r="Z324" s="36">
        <f>Y324+X324+W324+V324</f>
        <v>0</v>
      </c>
      <c r="AA324" s="36">
        <v>0</v>
      </c>
      <c r="AB324" s="36">
        <v>0</v>
      </c>
      <c r="AC324" s="36">
        <v>0</v>
      </c>
      <c r="AD324" s="36">
        <v>0</v>
      </c>
      <c r="AE324" s="36">
        <f>AD324+AC324+AB324+AA324</f>
        <v>0</v>
      </c>
      <c r="AF324" s="36">
        <f>AA324*(1+AF327)</f>
        <v>0</v>
      </c>
      <c r="AG324" s="36">
        <v>0</v>
      </c>
      <c r="AH324" s="36">
        <v>0</v>
      </c>
      <c r="AI324" s="36">
        <v>0</v>
      </c>
      <c r="AJ324" s="36">
        <f>AI324+AH324+AG324+AF324</f>
        <v>0</v>
      </c>
      <c r="AK324" s="36">
        <v>0</v>
      </c>
      <c r="AL324" s="36">
        <v>0</v>
      </c>
      <c r="AM324" s="36">
        <v>0</v>
      </c>
      <c r="AN324" s="36">
        <v>0</v>
      </c>
      <c r="AO324" s="36">
        <f>AN324+AM324+AL324+AK324</f>
        <v>0</v>
      </c>
      <c r="AP324" s="36">
        <v>0</v>
      </c>
      <c r="AQ324" s="36">
        <v>0</v>
      </c>
      <c r="AR324" s="36">
        <v>0</v>
      </c>
      <c r="AS324" s="36">
        <v>0</v>
      </c>
      <c r="AT324" s="36">
        <f>AS324+AR324+AQ324+AP324</f>
        <v>0</v>
      </c>
      <c r="AU324" s="36">
        <v>0</v>
      </c>
      <c r="AV324" s="36">
        <v>0</v>
      </c>
      <c r="AW324" s="36">
        <v>0</v>
      </c>
      <c r="AX324" s="36">
        <f>AS324*(1+AX327)</f>
        <v>0</v>
      </c>
      <c r="AY324" s="36">
        <f>AX324+AW324+AV324+AU324</f>
        <v>0</v>
      </c>
      <c r="AZ324" s="36">
        <f>AU324*(1+AZ327)</f>
        <v>0</v>
      </c>
      <c r="BA324" s="36">
        <v>0</v>
      </c>
      <c r="BB324" s="36">
        <v>0</v>
      </c>
      <c r="BC324" s="36">
        <v>0</v>
      </c>
      <c r="BD324" s="36">
        <f>BC324+BB324+BA324+AZ324</f>
        <v>0</v>
      </c>
      <c r="BE324" s="36">
        <v>0</v>
      </c>
      <c r="BF324" s="36">
        <v>0</v>
      </c>
      <c r="BG324" s="36">
        <v>0</v>
      </c>
      <c r="BH324" s="36">
        <v>0</v>
      </c>
      <c r="BI324" s="36">
        <f>SUM(BE324:BH324)</f>
        <v>0</v>
      </c>
      <c r="BJ324" s="36"/>
      <c r="BK324" s="36"/>
      <c r="BL324" s="36"/>
      <c r="BM324" s="36"/>
      <c r="BN324" s="36"/>
      <c r="BO324" s="36"/>
      <c r="BP324" s="36"/>
      <c r="BQ324" s="36"/>
      <c r="BR324" s="36"/>
      <c r="BS324" s="36"/>
      <c r="BT324" s="36"/>
      <c r="BU324" s="36"/>
      <c r="BV324" s="36"/>
      <c r="BW324" s="36"/>
      <c r="BX324" s="36"/>
      <c r="BY324" s="36"/>
      <c r="BZ324" s="36"/>
      <c r="CA324" s="36"/>
      <c r="CB324" s="36"/>
      <c r="CC324" s="36"/>
      <c r="CD324" s="36"/>
      <c r="CE324" s="36"/>
      <c r="CF324" s="36"/>
      <c r="CG324" s="36"/>
      <c r="CH324" s="36"/>
      <c r="CI324" s="36"/>
      <c r="CJ324" s="36"/>
      <c r="CK324" s="36"/>
      <c r="CL324" s="36"/>
      <c r="CM324" s="36"/>
      <c r="CN324" s="36"/>
      <c r="CO324" s="36"/>
      <c r="CP324" s="36"/>
      <c r="CQ324" s="36"/>
      <c r="CR324" s="36"/>
      <c r="CS324" s="36"/>
      <c r="CT324" s="36"/>
      <c r="CU324" s="36"/>
      <c r="CV324" s="36"/>
      <c r="CW324" s="36"/>
      <c r="CX324" s="36"/>
      <c r="CY324" s="36"/>
      <c r="CZ324" s="36"/>
      <c r="DA324" s="36"/>
      <c r="DB324" s="36"/>
      <c r="DC324" s="36"/>
      <c r="DD324" s="36"/>
      <c r="DE324" s="36"/>
      <c r="DF324" s="36"/>
      <c r="DG324" s="36"/>
      <c r="DH324" s="36"/>
      <c r="DI324" s="36"/>
      <c r="DJ324" s="36"/>
      <c r="DK324" s="36"/>
      <c r="DL324" s="183"/>
      <c r="DM324" s="183"/>
      <c r="DN324" s="183"/>
      <c r="DO324" s="183"/>
      <c r="DP324" s="183"/>
    </row>
    <row r="325" spans="1:120" hidden="1" x14ac:dyDescent="0.2">
      <c r="A325" s="115" t="s">
        <v>221</v>
      </c>
      <c r="B325" s="36">
        <v>238.09522999999999</v>
      </c>
      <c r="C325" s="36">
        <v>238.09520000000001</v>
      </c>
      <c r="D325" s="36">
        <v>214.28569999999999</v>
      </c>
      <c r="E325" s="36">
        <v>230.15799999999999</v>
      </c>
      <c r="F325" s="36">
        <v>920.6349206349206</v>
      </c>
      <c r="G325" s="36">
        <v>172</v>
      </c>
      <c r="H325" s="36">
        <v>213</v>
      </c>
      <c r="I325" s="36">
        <v>194</v>
      </c>
      <c r="J325" s="36">
        <v>216</v>
      </c>
      <c r="K325" s="36">
        <f>J325+I325+H325+G325</f>
        <v>795</v>
      </c>
      <c r="L325" s="86">
        <v>172</v>
      </c>
      <c r="M325" s="86">
        <v>205</v>
      </c>
      <c r="N325" s="86">
        <v>187.74</v>
      </c>
      <c r="O325" s="36">
        <v>210.75</v>
      </c>
      <c r="P325" s="36">
        <f>O325+N325+M325+L325</f>
        <v>775.49</v>
      </c>
      <c r="Q325" s="36">
        <v>173</v>
      </c>
      <c r="R325" s="36">
        <v>195</v>
      </c>
      <c r="S325" s="36">
        <v>170</v>
      </c>
      <c r="T325" s="36">
        <v>182</v>
      </c>
      <c r="U325" s="36">
        <f>T325+S325+R325+Q325</f>
        <v>720</v>
      </c>
      <c r="V325" s="36">
        <v>128</v>
      </c>
      <c r="W325" s="36">
        <v>194</v>
      </c>
      <c r="X325" s="36">
        <v>149</v>
      </c>
      <c r="Y325" s="36">
        <v>152</v>
      </c>
      <c r="Z325" s="36">
        <f>Y325+X325+W325+V325</f>
        <v>623</v>
      </c>
      <c r="AA325" s="36">
        <v>136</v>
      </c>
      <c r="AB325" s="36">
        <v>140</v>
      </c>
      <c r="AC325" s="36">
        <v>134</v>
      </c>
      <c r="AD325" s="36">
        <v>136</v>
      </c>
      <c r="AE325" s="36">
        <f>AD325+AC325+AB325+AA325</f>
        <v>546</v>
      </c>
      <c r="AF325" s="36">
        <v>122</v>
      </c>
      <c r="AG325" s="36">
        <v>127</v>
      </c>
      <c r="AH325" s="36">
        <v>119</v>
      </c>
      <c r="AI325" s="36">
        <v>126</v>
      </c>
      <c r="AJ325" s="36">
        <f>AI325+AH325+AG325+AF325</f>
        <v>494</v>
      </c>
      <c r="AK325" s="36">
        <v>96</v>
      </c>
      <c r="AL325" s="36">
        <v>94</v>
      </c>
      <c r="AM325" s="36">
        <v>82</v>
      </c>
      <c r="AN325" s="36">
        <v>85</v>
      </c>
      <c r="AO325" s="36">
        <f>AN325+AM325+AL325+AK325</f>
        <v>357</v>
      </c>
      <c r="AP325" s="36">
        <v>77</v>
      </c>
      <c r="AQ325" s="36">
        <v>76</v>
      </c>
      <c r="AR325" s="36">
        <v>73</v>
      </c>
      <c r="AS325" s="36">
        <v>85</v>
      </c>
      <c r="AT325" s="36">
        <f>AS325+AR325+AQ325+AP325</f>
        <v>311</v>
      </c>
      <c r="AU325" s="36">
        <v>59</v>
      </c>
      <c r="AV325" s="36">
        <v>63</v>
      </c>
      <c r="AW325" s="36">
        <v>69</v>
      </c>
      <c r="AX325" s="36">
        <v>64</v>
      </c>
      <c r="AY325" s="36">
        <f>AX325+AW325+AV325+AU325</f>
        <v>255</v>
      </c>
      <c r="AZ325" s="36">
        <v>57</v>
      </c>
      <c r="BA325" s="36">
        <v>59</v>
      </c>
      <c r="BB325" s="36">
        <v>57</v>
      </c>
      <c r="BC325" s="36">
        <v>58</v>
      </c>
      <c r="BD325" s="36">
        <f>BC325+BB325+BA325+AZ325</f>
        <v>231</v>
      </c>
      <c r="BE325" s="36">
        <v>53</v>
      </c>
      <c r="BF325" s="36">
        <v>49</v>
      </c>
      <c r="BG325" s="36">
        <v>42</v>
      </c>
      <c r="BH325" s="36">
        <v>48</v>
      </c>
      <c r="BI325" s="36">
        <f>SUM(BE325:BH325)</f>
        <v>192</v>
      </c>
      <c r="BJ325" s="36"/>
      <c r="BK325" s="36"/>
      <c r="BL325" s="36"/>
      <c r="BM325" s="36"/>
      <c r="BN325" s="36"/>
      <c r="BO325" s="36"/>
      <c r="BP325" s="36"/>
      <c r="BQ325" s="36"/>
      <c r="BR325" s="36"/>
      <c r="BS325" s="36"/>
      <c r="BT325" s="36"/>
      <c r="BU325" s="36"/>
      <c r="BV325" s="36"/>
      <c r="BW325" s="36"/>
      <c r="BX325" s="36"/>
      <c r="BY325" s="36"/>
      <c r="BZ325" s="36"/>
      <c r="CA325" s="36"/>
      <c r="CB325" s="36"/>
      <c r="CC325" s="36"/>
      <c r="CD325" s="36"/>
      <c r="CE325" s="36"/>
      <c r="CF325" s="36"/>
      <c r="CG325" s="36"/>
      <c r="CH325" s="36"/>
      <c r="CI325" s="36"/>
      <c r="CJ325" s="36"/>
      <c r="CK325" s="36"/>
      <c r="CL325" s="36"/>
      <c r="CM325" s="36"/>
      <c r="CN325" s="36"/>
      <c r="CO325" s="36"/>
      <c r="CP325" s="36"/>
      <c r="CQ325" s="36"/>
      <c r="CR325" s="36"/>
      <c r="CS325" s="36"/>
      <c r="CT325" s="36"/>
      <c r="CU325" s="36"/>
      <c r="CV325" s="36"/>
      <c r="CW325" s="36"/>
      <c r="CX325" s="36"/>
      <c r="CY325" s="36"/>
      <c r="CZ325" s="36"/>
      <c r="DA325" s="36"/>
      <c r="DB325" s="36"/>
      <c r="DC325" s="36"/>
      <c r="DD325" s="36"/>
      <c r="DE325" s="36"/>
      <c r="DF325" s="36"/>
      <c r="DG325" s="36"/>
      <c r="DH325" s="36"/>
      <c r="DI325" s="36"/>
      <c r="DJ325" s="36"/>
      <c r="DK325" s="36"/>
      <c r="DL325" s="183"/>
      <c r="DM325" s="183"/>
      <c r="DN325" s="183"/>
      <c r="DO325" s="183"/>
      <c r="DP325" s="183"/>
    </row>
    <row r="326" spans="1:120" hidden="1" x14ac:dyDescent="0.2">
      <c r="A326" s="116" t="s">
        <v>222</v>
      </c>
      <c r="B326" s="39">
        <f t="shared" ref="B326:U326" si="273">B325+B324</f>
        <v>273.09523000000002</v>
      </c>
      <c r="C326" s="39">
        <f t="shared" si="273"/>
        <v>283.09519999999998</v>
      </c>
      <c r="D326" s="39">
        <f t="shared" si="273"/>
        <v>244.28569999999999</v>
      </c>
      <c r="E326" s="39">
        <f t="shared" si="273"/>
        <v>250.15799999999999</v>
      </c>
      <c r="F326" s="39">
        <f t="shared" si="273"/>
        <v>1050.6349206349205</v>
      </c>
      <c r="G326" s="39">
        <f t="shared" si="273"/>
        <v>186</v>
      </c>
      <c r="H326" s="39">
        <f t="shared" si="273"/>
        <v>206</v>
      </c>
      <c r="I326" s="39">
        <f t="shared" si="273"/>
        <v>188</v>
      </c>
      <c r="J326" s="39">
        <f t="shared" si="273"/>
        <v>214</v>
      </c>
      <c r="K326" s="39">
        <f t="shared" si="273"/>
        <v>794</v>
      </c>
      <c r="L326" s="39">
        <f t="shared" si="273"/>
        <v>168</v>
      </c>
      <c r="M326" s="39">
        <f t="shared" si="273"/>
        <v>201</v>
      </c>
      <c r="N326" s="39">
        <f t="shared" si="273"/>
        <v>185.49</v>
      </c>
      <c r="O326" s="39">
        <f t="shared" si="273"/>
        <v>209.5</v>
      </c>
      <c r="P326" s="39">
        <f t="shared" si="273"/>
        <v>763.99</v>
      </c>
      <c r="Q326" s="39">
        <f t="shared" si="273"/>
        <v>173</v>
      </c>
      <c r="R326" s="39">
        <f t="shared" si="273"/>
        <v>195</v>
      </c>
      <c r="S326" s="39">
        <f t="shared" si="273"/>
        <v>170</v>
      </c>
      <c r="T326" s="39">
        <f t="shared" si="273"/>
        <v>182</v>
      </c>
      <c r="U326" s="39">
        <f t="shared" si="273"/>
        <v>720</v>
      </c>
      <c r="V326" s="39">
        <f>V325+V324+1</f>
        <v>129</v>
      </c>
      <c r="W326" s="39">
        <f>W325+W324+1</f>
        <v>195</v>
      </c>
      <c r="X326" s="39">
        <f>X325+X324+1</f>
        <v>150</v>
      </c>
      <c r="Y326" s="39">
        <f>Y325+Y324+1</f>
        <v>153</v>
      </c>
      <c r="Z326" s="39">
        <f>Z325+Z324</f>
        <v>623</v>
      </c>
      <c r="AA326" s="39">
        <f>AA325+AA324+1</f>
        <v>137</v>
      </c>
      <c r="AB326" s="39">
        <f>AB325+AB324+1</f>
        <v>141</v>
      </c>
      <c r="AC326" s="39">
        <f t="shared" ref="AC326:BD326" si="274">AC325+AC324</f>
        <v>134</v>
      </c>
      <c r="AD326" s="39">
        <f t="shared" si="274"/>
        <v>136</v>
      </c>
      <c r="AE326" s="39">
        <f t="shared" si="274"/>
        <v>546</v>
      </c>
      <c r="AF326" s="39">
        <f t="shared" si="274"/>
        <v>122</v>
      </c>
      <c r="AG326" s="39">
        <f t="shared" si="274"/>
        <v>127</v>
      </c>
      <c r="AH326" s="39">
        <f t="shared" si="274"/>
        <v>119</v>
      </c>
      <c r="AI326" s="39">
        <f t="shared" si="274"/>
        <v>126</v>
      </c>
      <c r="AJ326" s="39">
        <f t="shared" si="274"/>
        <v>494</v>
      </c>
      <c r="AK326" s="39">
        <f t="shared" si="274"/>
        <v>96</v>
      </c>
      <c r="AL326" s="39">
        <f t="shared" si="274"/>
        <v>94</v>
      </c>
      <c r="AM326" s="39">
        <f t="shared" si="274"/>
        <v>82</v>
      </c>
      <c r="AN326" s="39">
        <f t="shared" si="274"/>
        <v>85</v>
      </c>
      <c r="AO326" s="39">
        <f t="shared" si="274"/>
        <v>357</v>
      </c>
      <c r="AP326" s="39">
        <f t="shared" si="274"/>
        <v>77</v>
      </c>
      <c r="AQ326" s="39">
        <f t="shared" si="274"/>
        <v>76</v>
      </c>
      <c r="AR326" s="39">
        <f t="shared" si="274"/>
        <v>73</v>
      </c>
      <c r="AS326" s="39">
        <f t="shared" si="274"/>
        <v>85</v>
      </c>
      <c r="AT326" s="39">
        <f t="shared" si="274"/>
        <v>311</v>
      </c>
      <c r="AU326" s="39">
        <f t="shared" si="274"/>
        <v>59</v>
      </c>
      <c r="AV326" s="39">
        <f t="shared" si="274"/>
        <v>63</v>
      </c>
      <c r="AW326" s="39">
        <f t="shared" si="274"/>
        <v>69</v>
      </c>
      <c r="AX326" s="39">
        <f t="shared" si="274"/>
        <v>64</v>
      </c>
      <c r="AY326" s="39">
        <f t="shared" si="274"/>
        <v>255</v>
      </c>
      <c r="AZ326" s="39">
        <f t="shared" si="274"/>
        <v>57</v>
      </c>
      <c r="BA326" s="39">
        <f t="shared" si="274"/>
        <v>59</v>
      </c>
      <c r="BB326" s="39">
        <f t="shared" si="274"/>
        <v>57</v>
      </c>
      <c r="BC326" s="39">
        <f t="shared" si="274"/>
        <v>58</v>
      </c>
      <c r="BD326" s="39">
        <f t="shared" si="274"/>
        <v>231</v>
      </c>
      <c r="BE326" s="39">
        <f>BE324+BE325</f>
        <v>53</v>
      </c>
      <c r="BF326" s="39">
        <f>BF324+BF325</f>
        <v>49</v>
      </c>
      <c r="BG326" s="39">
        <f>BG324+BG325</f>
        <v>42</v>
      </c>
      <c r="BH326" s="39">
        <f>BH324+BH325</f>
        <v>48</v>
      </c>
      <c r="BI326" s="39">
        <f>BI325+BI324</f>
        <v>192</v>
      </c>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187"/>
      <c r="DM326" s="187"/>
      <c r="DN326" s="187"/>
      <c r="DO326" s="187"/>
      <c r="DP326" s="187"/>
    </row>
    <row r="327" spans="1:120" hidden="1" x14ac:dyDescent="0.2">
      <c r="A327" s="68" t="s">
        <v>54</v>
      </c>
      <c r="G327" s="76">
        <f t="shared" ref="G327:V329" si="275">G324/B324-1</f>
        <v>-0.6</v>
      </c>
      <c r="H327" s="76">
        <f t="shared" si="275"/>
        <v>-1.1555555555555554</v>
      </c>
      <c r="I327" s="76">
        <f t="shared" si="275"/>
        <v>-1.2</v>
      </c>
      <c r="J327" s="76">
        <f t="shared" si="275"/>
        <v>-1.1000000000000001</v>
      </c>
      <c r="K327" s="76">
        <f t="shared" si="275"/>
        <v>-1.0076923076923077</v>
      </c>
      <c r="L327" s="76" t="s">
        <v>216</v>
      </c>
      <c r="M327" s="76" t="s">
        <v>216</v>
      </c>
      <c r="N327" s="76" t="s">
        <v>216</v>
      </c>
      <c r="O327" s="76" t="s">
        <v>216</v>
      </c>
      <c r="P327" s="76" t="s">
        <v>216</v>
      </c>
      <c r="Q327" s="76" t="s">
        <v>216</v>
      </c>
      <c r="R327" s="76" t="s">
        <v>216</v>
      </c>
      <c r="S327" s="76" t="s">
        <v>216</v>
      </c>
      <c r="T327" s="76" t="s">
        <v>216</v>
      </c>
      <c r="U327" s="76" t="s">
        <v>216</v>
      </c>
      <c r="V327" s="90"/>
      <c r="W327" s="90"/>
      <c r="X327" s="90"/>
      <c r="Y327" s="90"/>
      <c r="Z327" s="76"/>
      <c r="AA327" s="90"/>
      <c r="AB327" s="90"/>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90"/>
      <c r="BJ327" s="76"/>
      <c r="BK327" s="139"/>
      <c r="BL327" s="90"/>
      <c r="BM327" s="90"/>
      <c r="BN327" s="90"/>
      <c r="BO327" s="76"/>
      <c r="BP327" s="139"/>
      <c r="BQ327" s="90"/>
      <c r="BR327" s="90"/>
      <c r="BS327" s="90"/>
      <c r="BT327" s="76"/>
      <c r="BU327" s="139"/>
      <c r="BV327" s="90"/>
      <c r="BW327" s="90"/>
      <c r="BX327" s="90"/>
      <c r="BY327" s="90"/>
      <c r="BZ327" s="90"/>
      <c r="CA327" s="90"/>
      <c r="CB327" s="90"/>
      <c r="CC327" s="90"/>
      <c r="CD327" s="90"/>
      <c r="CE327" s="90"/>
      <c r="CF327" s="90"/>
      <c r="CG327" s="90"/>
      <c r="CH327" s="90"/>
      <c r="CI327" s="90"/>
      <c r="CJ327" s="90"/>
      <c r="CK327" s="90"/>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188"/>
      <c r="DM327" s="188"/>
      <c r="DN327" s="188"/>
      <c r="DO327" s="188"/>
      <c r="DP327" s="188"/>
    </row>
    <row r="328" spans="1:120" hidden="1" x14ac:dyDescent="0.2">
      <c r="A328" s="68" t="s">
        <v>55</v>
      </c>
      <c r="G328" s="76">
        <f t="shared" si="275"/>
        <v>-0.27759997543839909</v>
      </c>
      <c r="H328" s="76">
        <f t="shared" si="275"/>
        <v>-0.10539985686397713</v>
      </c>
      <c r="I328" s="76">
        <f t="shared" si="275"/>
        <v>-9.4666606311107016E-2</v>
      </c>
      <c r="J328" s="76">
        <f t="shared" si="275"/>
        <v>-6.1514264114217121E-2</v>
      </c>
      <c r="K328" s="76">
        <f t="shared" si="275"/>
        <v>-0.13646551724137923</v>
      </c>
      <c r="L328" s="76">
        <f t="shared" si="275"/>
        <v>0</v>
      </c>
      <c r="M328" s="76">
        <f t="shared" si="275"/>
        <v>-3.7558685446009377E-2</v>
      </c>
      <c r="N328" s="76">
        <f t="shared" si="275"/>
        <v>-3.2268041237113354E-2</v>
      </c>
      <c r="O328" s="76">
        <f t="shared" si="275"/>
        <v>-2.430555555555558E-2</v>
      </c>
      <c r="P328" s="76">
        <f t="shared" si="275"/>
        <v>-2.4540880503144624E-2</v>
      </c>
      <c r="Q328" s="90">
        <f t="shared" si="275"/>
        <v>5.8139534883721034E-3</v>
      </c>
      <c r="R328" s="90">
        <f t="shared" si="275"/>
        <v>-4.8780487804878092E-2</v>
      </c>
      <c r="S328" s="90">
        <f t="shared" si="275"/>
        <v>-9.449238308298713E-2</v>
      </c>
      <c r="T328" s="90">
        <f t="shared" si="275"/>
        <v>-0.13641755634638197</v>
      </c>
      <c r="U328" s="76">
        <f t="shared" si="275"/>
        <v>-7.1554758926614115E-2</v>
      </c>
      <c r="V328" s="90">
        <f t="shared" si="275"/>
        <v>-0.26011560693641622</v>
      </c>
      <c r="W328" s="90">
        <f t="shared" ref="V328:BB329" si="276">W325/R325-1</f>
        <v>-5.12820512820511E-3</v>
      </c>
      <c r="X328" s="90">
        <f t="shared" si="276"/>
        <v>-0.12352941176470589</v>
      </c>
      <c r="Y328" s="90">
        <f t="shared" si="276"/>
        <v>-0.1648351648351648</v>
      </c>
      <c r="Z328" s="76">
        <f t="shared" si="276"/>
        <v>-0.13472222222222219</v>
      </c>
      <c r="AA328" s="90">
        <f t="shared" si="276"/>
        <v>6.25E-2</v>
      </c>
      <c r="AB328" s="90">
        <f t="shared" si="276"/>
        <v>-0.27835051546391754</v>
      </c>
      <c r="AC328" s="90">
        <f t="shared" si="276"/>
        <v>-0.10067114093959728</v>
      </c>
      <c r="AD328" s="90">
        <f t="shared" si="276"/>
        <v>-0.10526315789473684</v>
      </c>
      <c r="AE328" s="76">
        <f t="shared" si="276"/>
        <v>-0.1235955056179775</v>
      </c>
      <c r="AF328" s="90">
        <f t="shared" si="276"/>
        <v>-0.1029411764705882</v>
      </c>
      <c r="AG328" s="90">
        <f t="shared" si="276"/>
        <v>-9.285714285714286E-2</v>
      </c>
      <c r="AH328" s="90">
        <f t="shared" si="276"/>
        <v>-0.11194029850746268</v>
      </c>
      <c r="AI328" s="90">
        <f t="shared" si="276"/>
        <v>-7.3529411764705843E-2</v>
      </c>
      <c r="AJ328" s="76">
        <f t="shared" si="276"/>
        <v>-9.5238095238095233E-2</v>
      </c>
      <c r="AK328" s="90">
        <f t="shared" si="276"/>
        <v>-0.21311475409836067</v>
      </c>
      <c r="AL328" s="90">
        <f t="shared" si="276"/>
        <v>-0.25984251968503935</v>
      </c>
      <c r="AM328" s="90">
        <f t="shared" si="276"/>
        <v>-0.31092436974789917</v>
      </c>
      <c r="AN328" s="90">
        <f t="shared" si="276"/>
        <v>-0.32539682539682535</v>
      </c>
      <c r="AO328" s="76">
        <f t="shared" si="276"/>
        <v>-0.27732793522267207</v>
      </c>
      <c r="AP328" s="90">
        <f t="shared" si="276"/>
        <v>-0.19791666666666663</v>
      </c>
      <c r="AQ328" s="90">
        <f t="shared" si="276"/>
        <v>-0.19148936170212771</v>
      </c>
      <c r="AR328" s="90">
        <f t="shared" si="276"/>
        <v>-0.1097560975609756</v>
      </c>
      <c r="AS328" s="90">
        <f t="shared" si="276"/>
        <v>0</v>
      </c>
      <c r="AT328" s="76">
        <f t="shared" si="276"/>
        <v>-0.12885154061624648</v>
      </c>
      <c r="AU328" s="90">
        <f t="shared" si="276"/>
        <v>-0.23376623376623373</v>
      </c>
      <c r="AV328" s="90">
        <f t="shared" si="276"/>
        <v>-0.17105263157894735</v>
      </c>
      <c r="AW328" s="90">
        <f t="shared" si="276"/>
        <v>-5.4794520547945202E-2</v>
      </c>
      <c r="AX328" s="90">
        <f t="shared" si="276"/>
        <v>-0.24705882352941178</v>
      </c>
      <c r="AY328" s="76">
        <f t="shared" si="276"/>
        <v>-0.180064308681672</v>
      </c>
      <c r="AZ328" s="90">
        <f t="shared" si="276"/>
        <v>-3.3898305084745783E-2</v>
      </c>
      <c r="BA328" s="90">
        <f t="shared" si="276"/>
        <v>-6.3492063492063489E-2</v>
      </c>
      <c r="BB328" s="90">
        <f t="shared" si="276"/>
        <v>-0.17391304347826086</v>
      </c>
      <c r="BC328" s="76">
        <v>-0.15</v>
      </c>
      <c r="BD328" s="76">
        <f t="shared" ref="BD328:BH329" si="277">BD325/AY325-1</f>
        <v>-9.4117647058823528E-2</v>
      </c>
      <c r="BE328" s="76">
        <f t="shared" si="277"/>
        <v>-7.0175438596491224E-2</v>
      </c>
      <c r="BF328" s="76">
        <f t="shared" si="277"/>
        <v>-0.16949152542372881</v>
      </c>
      <c r="BG328" s="76">
        <f t="shared" si="277"/>
        <v>-0.26315789473684215</v>
      </c>
      <c r="BH328" s="76">
        <f t="shared" si="277"/>
        <v>-0.17241379310344829</v>
      </c>
      <c r="BI328" s="90">
        <f>BI325/BD325-1</f>
        <v>-0.16883116883116878</v>
      </c>
      <c r="BJ328" s="76"/>
      <c r="BK328" s="139"/>
      <c r="BL328" s="90"/>
      <c r="BM328" s="90"/>
      <c r="BN328" s="90"/>
      <c r="BO328" s="76"/>
      <c r="BP328" s="139"/>
      <c r="BQ328" s="90"/>
      <c r="BR328" s="90"/>
      <c r="BS328" s="90"/>
      <c r="BT328" s="76"/>
      <c r="BU328" s="139"/>
      <c r="BV328" s="90"/>
      <c r="BW328" s="90"/>
      <c r="BX328" s="90"/>
      <c r="BY328" s="90"/>
      <c r="BZ328" s="90"/>
      <c r="CA328" s="90"/>
      <c r="CB328" s="90"/>
      <c r="CC328" s="90"/>
      <c r="CD328" s="90"/>
      <c r="CE328" s="90"/>
      <c r="CF328" s="90"/>
      <c r="CG328" s="90"/>
      <c r="CH328" s="90"/>
      <c r="CI328" s="90"/>
      <c r="CJ328" s="90"/>
      <c r="CK328" s="90"/>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188"/>
      <c r="DM328" s="188"/>
      <c r="DN328" s="188"/>
      <c r="DO328" s="188"/>
      <c r="DP328" s="188"/>
    </row>
    <row r="329" spans="1:120" hidden="1" x14ac:dyDescent="0.2">
      <c r="A329" s="78" t="s">
        <v>56</v>
      </c>
      <c r="B329" s="79"/>
      <c r="C329" s="79"/>
      <c r="D329" s="79"/>
      <c r="E329" s="79"/>
      <c r="F329" s="79"/>
      <c r="G329" s="80">
        <f t="shared" si="275"/>
        <v>-0.31891889872994128</v>
      </c>
      <c r="H329" s="80">
        <f t="shared" si="275"/>
        <v>-0.27232959089380526</v>
      </c>
      <c r="I329" s="80">
        <f t="shared" si="275"/>
        <v>-0.2304093117198428</v>
      </c>
      <c r="J329" s="80">
        <f t="shared" si="275"/>
        <v>-0.14454065030900465</v>
      </c>
      <c r="K329" s="80">
        <f t="shared" si="275"/>
        <v>-0.24426650551442808</v>
      </c>
      <c r="L329" s="80">
        <f t="shared" si="275"/>
        <v>-9.6774193548387122E-2</v>
      </c>
      <c r="M329" s="80">
        <f t="shared" si="275"/>
        <v>-2.4271844660194164E-2</v>
      </c>
      <c r="N329" s="80">
        <f t="shared" si="275"/>
        <v>-1.3351063829787235E-2</v>
      </c>
      <c r="O329" s="80">
        <f t="shared" si="275"/>
        <v>-2.10280373831776E-2</v>
      </c>
      <c r="P329" s="80">
        <f t="shared" si="275"/>
        <v>-3.7795969773299687E-2</v>
      </c>
      <c r="Q329" s="80">
        <f t="shared" si="275"/>
        <v>2.9761904761904656E-2</v>
      </c>
      <c r="R329" s="80">
        <f t="shared" si="275"/>
        <v>-2.9850746268656692E-2</v>
      </c>
      <c r="S329" s="80">
        <f t="shared" si="275"/>
        <v>-8.350854493503701E-2</v>
      </c>
      <c r="T329" s="80">
        <f t="shared" si="275"/>
        <v>-0.13126491646778038</v>
      </c>
      <c r="U329" s="80">
        <f t="shared" si="275"/>
        <v>-5.7579287687011593E-2</v>
      </c>
      <c r="V329" s="80">
        <f t="shared" si="276"/>
        <v>-0.25433526011560692</v>
      </c>
      <c r="W329" s="80">
        <f t="shared" si="276"/>
        <v>0</v>
      </c>
      <c r="X329" s="80">
        <f t="shared" si="276"/>
        <v>-0.11764705882352944</v>
      </c>
      <c r="Y329" s="80">
        <f t="shared" si="276"/>
        <v>-0.15934065934065933</v>
      </c>
      <c r="Z329" s="80">
        <f t="shared" si="276"/>
        <v>-0.13472222222222219</v>
      </c>
      <c r="AA329" s="80">
        <f t="shared" si="276"/>
        <v>6.2015503875969102E-2</v>
      </c>
      <c r="AB329" s="80">
        <f t="shared" si="276"/>
        <v>-0.27692307692307694</v>
      </c>
      <c r="AC329" s="80">
        <f t="shared" si="276"/>
        <v>-0.10666666666666669</v>
      </c>
      <c r="AD329" s="80">
        <f t="shared" si="276"/>
        <v>-0.11111111111111116</v>
      </c>
      <c r="AE329" s="80">
        <f t="shared" si="276"/>
        <v>-0.1235955056179775</v>
      </c>
      <c r="AF329" s="80">
        <f t="shared" si="276"/>
        <v>-0.10948905109489049</v>
      </c>
      <c r="AG329" s="80">
        <f t="shared" si="276"/>
        <v>-9.9290780141844004E-2</v>
      </c>
      <c r="AH329" s="80">
        <f t="shared" si="276"/>
        <v>-0.11194029850746268</v>
      </c>
      <c r="AI329" s="80">
        <f t="shared" si="276"/>
        <v>-7.3529411764705843E-2</v>
      </c>
      <c r="AJ329" s="80">
        <f t="shared" si="276"/>
        <v>-9.5238095238095233E-2</v>
      </c>
      <c r="AK329" s="80">
        <f t="shared" si="276"/>
        <v>-0.21311475409836067</v>
      </c>
      <c r="AL329" s="80">
        <f t="shared" si="276"/>
        <v>-0.25984251968503935</v>
      </c>
      <c r="AM329" s="80">
        <f t="shared" si="276"/>
        <v>-0.31092436974789917</v>
      </c>
      <c r="AN329" s="80">
        <f t="shared" si="276"/>
        <v>-0.32539682539682535</v>
      </c>
      <c r="AO329" s="80">
        <f t="shared" si="276"/>
        <v>-0.27732793522267207</v>
      </c>
      <c r="AP329" s="80">
        <f t="shared" si="276"/>
        <v>-0.19791666666666663</v>
      </c>
      <c r="AQ329" s="80">
        <f t="shared" si="276"/>
        <v>-0.19148936170212771</v>
      </c>
      <c r="AR329" s="80">
        <f t="shared" si="276"/>
        <v>-0.1097560975609756</v>
      </c>
      <c r="AS329" s="80">
        <f t="shared" si="276"/>
        <v>0</v>
      </c>
      <c r="AT329" s="80">
        <f t="shared" si="276"/>
        <v>-0.12885154061624648</v>
      </c>
      <c r="AU329" s="80">
        <f t="shared" si="276"/>
        <v>-0.23376623376623373</v>
      </c>
      <c r="AV329" s="80">
        <f t="shared" si="276"/>
        <v>-0.17105263157894735</v>
      </c>
      <c r="AW329" s="80">
        <f t="shared" si="276"/>
        <v>-5.4794520547945202E-2</v>
      </c>
      <c r="AX329" s="80">
        <f t="shared" si="276"/>
        <v>-0.24705882352941178</v>
      </c>
      <c r="AY329" s="80">
        <f t="shared" si="276"/>
        <v>-0.180064308681672</v>
      </c>
      <c r="AZ329" s="80">
        <f t="shared" si="276"/>
        <v>-3.3898305084745783E-2</v>
      </c>
      <c r="BA329" s="80">
        <f t="shared" si="276"/>
        <v>-6.3492063492063489E-2</v>
      </c>
      <c r="BB329" s="80">
        <f t="shared" si="276"/>
        <v>-0.17391304347826086</v>
      </c>
      <c r="BC329" s="80">
        <f>BC326/AX326-1</f>
        <v>-9.375E-2</v>
      </c>
      <c r="BD329" s="80">
        <f t="shared" si="277"/>
        <v>-9.4117647058823528E-2</v>
      </c>
      <c r="BE329" s="80">
        <f t="shared" si="277"/>
        <v>-7.0175438596491224E-2</v>
      </c>
      <c r="BF329" s="80">
        <f t="shared" si="277"/>
        <v>-0.16949152542372881</v>
      </c>
      <c r="BG329" s="80">
        <f>BG326/BB326-1</f>
        <v>-0.26315789473684215</v>
      </c>
      <c r="BH329" s="80">
        <f>BH326/BC326-1</f>
        <v>-0.17241379310344829</v>
      </c>
      <c r="BI329" s="80">
        <f>BI326/BD326-1</f>
        <v>-0.16883116883116878</v>
      </c>
      <c r="BJ329" s="80"/>
      <c r="BK329" s="91"/>
      <c r="BL329" s="80"/>
      <c r="BM329" s="80"/>
      <c r="BN329" s="80"/>
      <c r="BO329" s="80"/>
      <c r="BP329" s="91"/>
      <c r="BQ329" s="80"/>
      <c r="BR329" s="80"/>
      <c r="BS329" s="80"/>
      <c r="BT329" s="80"/>
      <c r="BU329" s="91"/>
      <c r="BV329" s="80"/>
      <c r="BW329" s="80"/>
      <c r="BX329" s="80"/>
      <c r="BY329" s="80"/>
      <c r="BZ329" s="80"/>
      <c r="CA329" s="80"/>
      <c r="CB329" s="80"/>
      <c r="CC329" s="80"/>
      <c r="CD329" s="80"/>
      <c r="CE329" s="80"/>
      <c r="CF329" s="80"/>
      <c r="CG329" s="80"/>
      <c r="CH329" s="80"/>
      <c r="CI329" s="80"/>
      <c r="CJ329" s="80"/>
      <c r="CK329" s="80"/>
      <c r="CL329" s="80"/>
      <c r="CM329" s="80"/>
      <c r="CN329" s="80"/>
      <c r="CO329" s="80"/>
      <c r="CP329" s="80"/>
      <c r="CQ329" s="80"/>
      <c r="CR329" s="80"/>
      <c r="CS329" s="80"/>
      <c r="CT329" s="80"/>
      <c r="CU329" s="80"/>
      <c r="CV329" s="80"/>
      <c r="CW329" s="80"/>
      <c r="CX329" s="80"/>
      <c r="CY329" s="80"/>
      <c r="CZ329" s="80"/>
      <c r="DA329" s="80"/>
      <c r="DB329" s="80"/>
      <c r="DC329" s="80"/>
      <c r="DD329" s="80"/>
      <c r="DE329" s="80"/>
      <c r="DF329" s="80"/>
      <c r="DG329" s="80"/>
      <c r="DH329" s="80"/>
      <c r="DI329" s="80"/>
      <c r="DJ329" s="80"/>
      <c r="DK329" s="80"/>
      <c r="DL329" s="189"/>
      <c r="DM329" s="189"/>
      <c r="DN329" s="189"/>
      <c r="DO329" s="189"/>
      <c r="DP329" s="189"/>
    </row>
    <row r="330" spans="1:120" hidden="1" x14ac:dyDescent="0.2">
      <c r="A330" s="115" t="s">
        <v>223</v>
      </c>
      <c r="B330" s="36">
        <v>67.400000000000006</v>
      </c>
      <c r="C330" s="36">
        <v>67.42</v>
      </c>
      <c r="D330" s="86">
        <v>59.86</v>
      </c>
      <c r="E330" s="36">
        <v>88.1</v>
      </c>
      <c r="F330" s="36">
        <v>282.83208020050131</v>
      </c>
      <c r="G330" s="36">
        <v>51</v>
      </c>
      <c r="H330" s="36">
        <v>47</v>
      </c>
      <c r="I330" s="86">
        <v>85</v>
      </c>
      <c r="J330" s="86">
        <v>84</v>
      </c>
      <c r="K330" s="36">
        <f>J330+I330+H330+G330</f>
        <v>267</v>
      </c>
      <c r="L330" s="86">
        <v>56</v>
      </c>
      <c r="M330" s="86">
        <v>93</v>
      </c>
      <c r="N330" s="86">
        <v>47</v>
      </c>
      <c r="O330" s="36">
        <v>76</v>
      </c>
      <c r="P330" s="36">
        <f>O330+N330+M330+L330</f>
        <v>272</v>
      </c>
      <c r="Q330" s="36">
        <v>84</v>
      </c>
      <c r="R330" s="36">
        <v>95</v>
      </c>
      <c r="S330" s="36">
        <v>91</v>
      </c>
      <c r="T330" s="36">
        <v>99</v>
      </c>
      <c r="U330" s="36">
        <f>T330+S330+R330+Q330</f>
        <v>369</v>
      </c>
      <c r="V330" s="36">
        <v>79</v>
      </c>
      <c r="W330" s="36">
        <v>94</v>
      </c>
      <c r="X330" s="36">
        <v>98</v>
      </c>
      <c r="Y330" s="36">
        <v>99</v>
      </c>
      <c r="Z330" s="36">
        <f>Y330+X330+W330+V330</f>
        <v>370</v>
      </c>
      <c r="AA330" s="36">
        <v>96</v>
      </c>
      <c r="AB330" s="36">
        <v>89</v>
      </c>
      <c r="AC330" s="36">
        <v>34</v>
      </c>
      <c r="AD330" s="36">
        <v>25</v>
      </c>
      <c r="AE330" s="36">
        <f>AD330+AC330+AB330+AA330</f>
        <v>244</v>
      </c>
      <c r="AF330" s="36">
        <v>26</v>
      </c>
      <c r="AG330" s="36">
        <v>20</v>
      </c>
      <c r="AH330" s="36">
        <v>8</v>
      </c>
      <c r="AI330" s="36">
        <v>4</v>
      </c>
      <c r="AJ330" s="36">
        <f>AI330+AH330+AG330+AF330</f>
        <v>58</v>
      </c>
      <c r="AK330" s="36">
        <v>3</v>
      </c>
      <c r="AL330" s="36">
        <v>3</v>
      </c>
      <c r="AM330" s="36">
        <v>3</v>
      </c>
      <c r="AN330" s="36">
        <v>2</v>
      </c>
      <c r="AO330" s="36">
        <f>AN330+AM330+AL330+AK330</f>
        <v>11</v>
      </c>
      <c r="AP330" s="36">
        <v>1</v>
      </c>
      <c r="AQ330" s="36">
        <v>1</v>
      </c>
      <c r="AR330" s="36">
        <v>2</v>
      </c>
      <c r="AS330" s="36">
        <v>2</v>
      </c>
      <c r="AT330" s="36">
        <f>AS330+AR330+AQ330+AP330</f>
        <v>6</v>
      </c>
      <c r="AU330" s="36">
        <v>2</v>
      </c>
      <c r="AV330" s="36">
        <v>2</v>
      </c>
      <c r="AW330" s="36">
        <v>2</v>
      </c>
      <c r="AX330" s="36">
        <v>1</v>
      </c>
      <c r="AY330" s="36">
        <f>AX330+AW330+AV330+AU330</f>
        <v>7</v>
      </c>
      <c r="AZ330" s="36">
        <v>2</v>
      </c>
      <c r="BA330" s="36">
        <v>1</v>
      </c>
      <c r="BB330" s="36">
        <v>1</v>
      </c>
      <c r="BC330" s="36">
        <v>1</v>
      </c>
      <c r="BD330" s="36">
        <f>BC330+BB330+BA330+AZ330</f>
        <v>5</v>
      </c>
      <c r="BE330" s="36">
        <v>1</v>
      </c>
      <c r="BF330" s="36">
        <v>1</v>
      </c>
      <c r="BG330" s="36">
        <v>1</v>
      </c>
      <c r="BH330" s="36">
        <v>2</v>
      </c>
      <c r="BI330" s="36">
        <f>SUM(BE330:BH330)</f>
        <v>5</v>
      </c>
      <c r="BJ330" s="36">
        <v>1</v>
      </c>
      <c r="BK330" s="36">
        <v>1</v>
      </c>
      <c r="BL330" s="36">
        <v>1</v>
      </c>
      <c r="BM330" s="36">
        <v>1</v>
      </c>
      <c r="BN330" s="36">
        <f>SUM(BJ330:BM330)</f>
        <v>4</v>
      </c>
      <c r="BO330" s="36">
        <v>0</v>
      </c>
      <c r="BP330" s="36"/>
      <c r="BQ330" s="36"/>
      <c r="BR330" s="36"/>
      <c r="BS330" s="36"/>
      <c r="BT330" s="36"/>
      <c r="BU330" s="36"/>
      <c r="BV330" s="36"/>
      <c r="BW330" s="36"/>
      <c r="BX330" s="36"/>
      <c r="BY330" s="36"/>
      <c r="BZ330" s="36"/>
      <c r="CA330" s="36"/>
      <c r="CB330" s="36"/>
      <c r="CC330" s="36"/>
      <c r="CD330" s="36"/>
      <c r="CE330" s="36"/>
      <c r="CF330" s="36"/>
      <c r="CG330" s="36"/>
      <c r="CH330" s="36"/>
      <c r="CI330" s="36"/>
      <c r="CJ330" s="36"/>
      <c r="CK330" s="36"/>
      <c r="CL330" s="36"/>
      <c r="CM330" s="36"/>
      <c r="CN330" s="36"/>
      <c r="CO330" s="36"/>
      <c r="CP330" s="36"/>
      <c r="CQ330" s="36"/>
      <c r="CR330" s="36"/>
      <c r="CS330" s="36"/>
      <c r="CT330" s="36"/>
      <c r="CU330" s="36"/>
      <c r="CV330" s="36"/>
      <c r="CW330" s="36"/>
      <c r="CX330" s="36"/>
      <c r="CY330" s="36"/>
      <c r="CZ330" s="36"/>
      <c r="DA330" s="36"/>
      <c r="DB330" s="36"/>
      <c r="DC330" s="36"/>
      <c r="DD330" s="36"/>
      <c r="DE330" s="36"/>
      <c r="DF330" s="36"/>
      <c r="DG330" s="36"/>
      <c r="DH330" s="36"/>
      <c r="DI330" s="36"/>
      <c r="DJ330" s="36"/>
      <c r="DK330" s="36"/>
      <c r="DL330" s="183"/>
      <c r="DM330" s="183"/>
      <c r="DN330" s="183"/>
      <c r="DO330" s="183"/>
      <c r="DP330" s="183"/>
    </row>
    <row r="331" spans="1:120" hidden="1" x14ac:dyDescent="0.2">
      <c r="A331" s="115" t="s">
        <v>224</v>
      </c>
      <c r="B331" s="36">
        <v>65</v>
      </c>
      <c r="C331" s="36">
        <v>65</v>
      </c>
      <c r="D331" s="86">
        <v>70</v>
      </c>
      <c r="E331" s="36">
        <v>70</v>
      </c>
      <c r="F331" s="36">
        <v>270</v>
      </c>
      <c r="G331" s="36">
        <v>65</v>
      </c>
      <c r="H331" s="36">
        <v>66</v>
      </c>
      <c r="I331" s="86">
        <v>69</v>
      </c>
      <c r="J331" s="86">
        <v>80</v>
      </c>
      <c r="K331" s="36">
        <f>J331+I331+H331+G331</f>
        <v>280</v>
      </c>
      <c r="L331" s="86">
        <v>74</v>
      </c>
      <c r="M331" s="86">
        <v>88</v>
      </c>
      <c r="N331" s="86">
        <v>80</v>
      </c>
      <c r="O331" s="36">
        <v>92</v>
      </c>
      <c r="P331" s="36">
        <f>O331+N331+M331+L331</f>
        <v>334</v>
      </c>
      <c r="Q331" s="36">
        <v>91</v>
      </c>
      <c r="R331" s="36">
        <v>90</v>
      </c>
      <c r="S331" s="36">
        <v>89</v>
      </c>
      <c r="T331" s="36">
        <v>95</v>
      </c>
      <c r="U331" s="36">
        <f>T331+S331+R331+Q331</f>
        <v>365</v>
      </c>
      <c r="V331" s="36">
        <v>86</v>
      </c>
      <c r="W331" s="36">
        <v>94</v>
      </c>
      <c r="X331" s="36">
        <v>88</v>
      </c>
      <c r="Y331" s="36">
        <v>93</v>
      </c>
      <c r="Z331" s="36">
        <f>Y331+X331+W331+V331</f>
        <v>361</v>
      </c>
      <c r="AA331" s="36">
        <v>92</v>
      </c>
      <c r="AB331" s="36">
        <v>94</v>
      </c>
      <c r="AC331" s="36">
        <v>94</v>
      </c>
      <c r="AD331" s="36">
        <v>95</v>
      </c>
      <c r="AE331" s="36">
        <f>AD331+AC331+AB331+AA331</f>
        <v>375</v>
      </c>
      <c r="AF331" s="36">
        <v>99</v>
      </c>
      <c r="AG331" s="36">
        <f ca="1">AB331*(1+AG334)</f>
        <v>101.15217391304347</v>
      </c>
      <c r="AH331" s="36">
        <v>82</v>
      </c>
      <c r="AI331" s="36">
        <v>79</v>
      </c>
      <c r="AJ331" s="36">
        <f ca="1">AI331+AH331+AG331+AF331</f>
        <v>361.1521739130435</v>
      </c>
      <c r="AK331" s="36">
        <v>82</v>
      </c>
      <c r="AL331" s="36">
        <v>83</v>
      </c>
      <c r="AM331" s="36">
        <v>77</v>
      </c>
      <c r="AN331" s="36">
        <v>69</v>
      </c>
      <c r="AO331" s="36">
        <f>AN331+AM331+AL331+AK331</f>
        <v>311</v>
      </c>
      <c r="AP331" s="36">
        <v>71</v>
      </c>
      <c r="AQ331" s="36">
        <v>78</v>
      </c>
      <c r="AR331" s="36">
        <v>66</v>
      </c>
      <c r="AS331" s="36">
        <v>71</v>
      </c>
      <c r="AT331" s="36">
        <f>AS331+AR331+AQ331+AP331</f>
        <v>286</v>
      </c>
      <c r="AU331" s="36">
        <v>57</v>
      </c>
      <c r="AV331" s="36">
        <v>54</v>
      </c>
      <c r="AW331" s="36">
        <v>56</v>
      </c>
      <c r="AX331" s="36">
        <v>43</v>
      </c>
      <c r="AY331" s="36">
        <f>AX331+AW331+AV331+AU331</f>
        <v>210</v>
      </c>
      <c r="AZ331" s="36">
        <v>59</v>
      </c>
      <c r="BA331" s="36">
        <v>52</v>
      </c>
      <c r="BB331" s="36">
        <v>56</v>
      </c>
      <c r="BC331" s="36">
        <v>51</v>
      </c>
      <c r="BD331" s="36">
        <f>BC331+BB331+BA331+AZ331</f>
        <v>218</v>
      </c>
      <c r="BE331" s="36">
        <v>51</v>
      </c>
      <c r="BF331" s="36">
        <v>53</v>
      </c>
      <c r="BG331" s="36">
        <v>55</v>
      </c>
      <c r="BH331" s="36">
        <v>54</v>
      </c>
      <c r="BI331" s="36">
        <f>SUM(BE331:BH331)</f>
        <v>213</v>
      </c>
      <c r="BJ331" s="36">
        <v>38</v>
      </c>
      <c r="BK331" s="36">
        <v>58</v>
      </c>
      <c r="BL331" s="36">
        <v>37</v>
      </c>
      <c r="BM331" s="36">
        <v>47</v>
      </c>
      <c r="BN331" s="36">
        <f>SUM(BJ331:BM331)</f>
        <v>180</v>
      </c>
      <c r="BO331" s="36">
        <v>0</v>
      </c>
      <c r="BP331" s="36"/>
      <c r="BQ331" s="36"/>
      <c r="BR331" s="36"/>
      <c r="BS331" s="36"/>
      <c r="BT331" s="36"/>
      <c r="BU331" s="36"/>
      <c r="BV331" s="36"/>
      <c r="BW331" s="36"/>
      <c r="BX331" s="36"/>
      <c r="BY331" s="36"/>
      <c r="BZ331" s="36"/>
      <c r="CA331" s="36"/>
      <c r="CB331" s="36"/>
      <c r="CC331" s="36"/>
      <c r="CD331" s="36"/>
      <c r="CE331" s="36"/>
      <c r="CF331" s="36"/>
      <c r="CG331" s="36"/>
      <c r="CH331" s="36"/>
      <c r="CI331" s="36"/>
      <c r="CJ331" s="36"/>
      <c r="CK331" s="36"/>
      <c r="CL331" s="36"/>
      <c r="CM331" s="36"/>
      <c r="CN331" s="36"/>
      <c r="CO331" s="36"/>
      <c r="CP331" s="36"/>
      <c r="CQ331" s="36"/>
      <c r="CR331" s="36"/>
      <c r="CS331" s="36"/>
      <c r="CT331" s="36"/>
      <c r="CU331" s="36"/>
      <c r="CV331" s="36"/>
      <c r="CW331" s="36"/>
      <c r="CX331" s="36"/>
      <c r="CY331" s="36"/>
      <c r="CZ331" s="36"/>
      <c r="DA331" s="36"/>
      <c r="DB331" s="36"/>
      <c r="DC331" s="36"/>
      <c r="DD331" s="36"/>
      <c r="DE331" s="36"/>
      <c r="DF331" s="36"/>
      <c r="DG331" s="36"/>
      <c r="DH331" s="36"/>
      <c r="DI331" s="36"/>
      <c r="DJ331" s="36"/>
      <c r="DK331" s="36"/>
      <c r="DL331" s="183"/>
      <c r="DM331" s="183"/>
      <c r="DN331" s="183"/>
      <c r="DO331" s="183"/>
      <c r="DP331" s="183"/>
    </row>
    <row r="332" spans="1:120" hidden="1" x14ac:dyDescent="0.2">
      <c r="A332" s="116" t="s">
        <v>225</v>
      </c>
      <c r="B332" s="39">
        <f t="shared" ref="B332:U332" si="278">B331+B330</f>
        <v>132.4</v>
      </c>
      <c r="C332" s="39">
        <f t="shared" si="278"/>
        <v>132.42000000000002</v>
      </c>
      <c r="D332" s="39">
        <f t="shared" si="278"/>
        <v>129.86000000000001</v>
      </c>
      <c r="E332" s="39">
        <f t="shared" si="278"/>
        <v>158.1</v>
      </c>
      <c r="F332" s="39">
        <f t="shared" si="278"/>
        <v>552.83208020050131</v>
      </c>
      <c r="G332" s="39">
        <f t="shared" si="278"/>
        <v>116</v>
      </c>
      <c r="H332" s="39">
        <f t="shared" si="278"/>
        <v>113</v>
      </c>
      <c r="I332" s="39">
        <f t="shared" si="278"/>
        <v>154</v>
      </c>
      <c r="J332" s="39">
        <f t="shared" si="278"/>
        <v>164</v>
      </c>
      <c r="K332" s="39">
        <f t="shared" si="278"/>
        <v>547</v>
      </c>
      <c r="L332" s="39">
        <f t="shared" si="278"/>
        <v>130</v>
      </c>
      <c r="M332" s="39">
        <f t="shared" si="278"/>
        <v>181</v>
      </c>
      <c r="N332" s="39">
        <f t="shared" si="278"/>
        <v>127</v>
      </c>
      <c r="O332" s="39">
        <f t="shared" si="278"/>
        <v>168</v>
      </c>
      <c r="P332" s="39">
        <f t="shared" si="278"/>
        <v>606</v>
      </c>
      <c r="Q332" s="39">
        <f t="shared" si="278"/>
        <v>175</v>
      </c>
      <c r="R332" s="39">
        <f t="shared" si="278"/>
        <v>185</v>
      </c>
      <c r="S332" s="39">
        <f t="shared" si="278"/>
        <v>180</v>
      </c>
      <c r="T332" s="39">
        <f t="shared" si="278"/>
        <v>194</v>
      </c>
      <c r="U332" s="39">
        <f t="shared" si="278"/>
        <v>734</v>
      </c>
      <c r="V332" s="39">
        <f>V331+V330+1</f>
        <v>166</v>
      </c>
      <c r="W332" s="39">
        <f>W331+W330+1</f>
        <v>189</v>
      </c>
      <c r="X332" s="39">
        <f>X331+X330+1</f>
        <v>187</v>
      </c>
      <c r="Y332" s="39">
        <f>Y331+Y330+1</f>
        <v>193</v>
      </c>
      <c r="Z332" s="39">
        <f>Z331+Z330</f>
        <v>731</v>
      </c>
      <c r="AA332" s="39">
        <f>AA331+AA330+1</f>
        <v>189</v>
      </c>
      <c r="AB332" s="39">
        <f>AB331+AB330+1</f>
        <v>184</v>
      </c>
      <c r="AC332" s="39">
        <f>AC331+AC330</f>
        <v>128</v>
      </c>
      <c r="AD332" s="39">
        <f>AD331+AD330</f>
        <v>120</v>
      </c>
      <c r="AE332" s="39">
        <f>AE331+AE330</f>
        <v>619</v>
      </c>
      <c r="AF332" s="39">
        <f>AF331+AF330</f>
        <v>125</v>
      </c>
      <c r="AG332" s="39">
        <v>93</v>
      </c>
      <c r="AH332" s="39">
        <f t="shared" ref="AH332:BD332" si="279">AH331+AH330</f>
        <v>90</v>
      </c>
      <c r="AI332" s="39">
        <f t="shared" si="279"/>
        <v>83</v>
      </c>
      <c r="AJ332" s="39">
        <f ca="1">AJ331+AJ330</f>
        <v>419.1521739130435</v>
      </c>
      <c r="AK332" s="39">
        <f t="shared" si="279"/>
        <v>85</v>
      </c>
      <c r="AL332" s="39">
        <f t="shared" si="279"/>
        <v>86</v>
      </c>
      <c r="AM332" s="39">
        <f t="shared" si="279"/>
        <v>80</v>
      </c>
      <c r="AN332" s="39">
        <f t="shared" si="279"/>
        <v>71</v>
      </c>
      <c r="AO332" s="39">
        <f t="shared" si="279"/>
        <v>322</v>
      </c>
      <c r="AP332" s="39">
        <f t="shared" si="279"/>
        <v>72</v>
      </c>
      <c r="AQ332" s="39">
        <f t="shared" si="279"/>
        <v>79</v>
      </c>
      <c r="AR332" s="39">
        <f t="shared" si="279"/>
        <v>68</v>
      </c>
      <c r="AS332" s="39">
        <f t="shared" si="279"/>
        <v>73</v>
      </c>
      <c r="AT332" s="39">
        <f t="shared" si="279"/>
        <v>292</v>
      </c>
      <c r="AU332" s="39">
        <f t="shared" si="279"/>
        <v>59</v>
      </c>
      <c r="AV332" s="39">
        <f t="shared" si="279"/>
        <v>56</v>
      </c>
      <c r="AW332" s="39">
        <f t="shared" si="279"/>
        <v>58</v>
      </c>
      <c r="AX332" s="39">
        <f t="shared" si="279"/>
        <v>44</v>
      </c>
      <c r="AY332" s="39">
        <f t="shared" si="279"/>
        <v>217</v>
      </c>
      <c r="AZ332" s="39">
        <f t="shared" si="279"/>
        <v>61</v>
      </c>
      <c r="BA332" s="39">
        <f t="shared" si="279"/>
        <v>53</v>
      </c>
      <c r="BB332" s="39">
        <f t="shared" si="279"/>
        <v>57</v>
      </c>
      <c r="BC332" s="39">
        <f t="shared" si="279"/>
        <v>52</v>
      </c>
      <c r="BD332" s="39">
        <f t="shared" si="279"/>
        <v>223</v>
      </c>
      <c r="BE332" s="39">
        <f>BE330+BE331</f>
        <v>52</v>
      </c>
      <c r="BF332" s="39">
        <f>BF330+BF331</f>
        <v>54</v>
      </c>
      <c r="BG332" s="39">
        <f>BG330+BG331</f>
        <v>56</v>
      </c>
      <c r="BH332" s="39">
        <f>BH330+BH331</f>
        <v>56</v>
      </c>
      <c r="BI332" s="39">
        <f t="shared" ref="BI332:BO332" si="280">BI331+BI330</f>
        <v>218</v>
      </c>
      <c r="BJ332" s="39">
        <f t="shared" si="280"/>
        <v>39</v>
      </c>
      <c r="BK332" s="39">
        <f t="shared" si="280"/>
        <v>59</v>
      </c>
      <c r="BL332" s="39">
        <f t="shared" si="280"/>
        <v>38</v>
      </c>
      <c r="BM332" s="39">
        <f t="shared" si="280"/>
        <v>48</v>
      </c>
      <c r="BN332" s="39">
        <f t="shared" si="280"/>
        <v>184</v>
      </c>
      <c r="BO332" s="39">
        <f t="shared" si="280"/>
        <v>0</v>
      </c>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187"/>
      <c r="DM332" s="187"/>
      <c r="DN332" s="187"/>
      <c r="DO332" s="187"/>
      <c r="DP332" s="187"/>
    </row>
    <row r="333" spans="1:120" hidden="1" x14ac:dyDescent="0.2">
      <c r="A333" s="68" t="s">
        <v>54</v>
      </c>
      <c r="G333" s="76">
        <f t="shared" ref="G333:BM335" si="281">G330/B330-1</f>
        <v>-0.24332344213649859</v>
      </c>
      <c r="H333" s="76">
        <f t="shared" si="281"/>
        <v>-0.30287748442598639</v>
      </c>
      <c r="I333" s="76">
        <f t="shared" si="281"/>
        <v>0.41997995322418968</v>
      </c>
      <c r="J333" s="76">
        <f t="shared" si="281"/>
        <v>-4.6538024971623071E-2</v>
      </c>
      <c r="K333" s="76">
        <f t="shared" si="281"/>
        <v>-5.5976960567124645E-2</v>
      </c>
      <c r="L333" s="76">
        <f t="shared" si="281"/>
        <v>9.8039215686274606E-2</v>
      </c>
      <c r="M333" s="76">
        <f t="shared" si="281"/>
        <v>0.97872340425531923</v>
      </c>
      <c r="N333" s="76">
        <f t="shared" si="281"/>
        <v>-0.44705882352941173</v>
      </c>
      <c r="O333" s="76">
        <f t="shared" si="281"/>
        <v>-9.5238095238095233E-2</v>
      </c>
      <c r="P333" s="76">
        <f t="shared" si="281"/>
        <v>1.8726591760299671E-2</v>
      </c>
      <c r="Q333" s="90">
        <f t="shared" si="281"/>
        <v>0.5</v>
      </c>
      <c r="R333" s="90">
        <f t="shared" si="281"/>
        <v>2.1505376344086002E-2</v>
      </c>
      <c r="S333" s="90">
        <f t="shared" si="281"/>
        <v>0.93617021276595747</v>
      </c>
      <c r="T333" s="90">
        <f t="shared" si="281"/>
        <v>0.30263157894736836</v>
      </c>
      <c r="U333" s="76">
        <f t="shared" si="281"/>
        <v>0.35661764705882359</v>
      </c>
      <c r="V333" s="90">
        <f t="shared" si="281"/>
        <v>-5.9523809523809534E-2</v>
      </c>
      <c r="W333" s="90">
        <f t="shared" si="281"/>
        <v>-1.0526315789473717E-2</v>
      </c>
      <c r="X333" s="90">
        <f t="shared" si="281"/>
        <v>7.6923076923076872E-2</v>
      </c>
      <c r="Y333" s="90">
        <f t="shared" si="281"/>
        <v>0</v>
      </c>
      <c r="Z333" s="76">
        <f t="shared" si="281"/>
        <v>2.7100271002709064E-3</v>
      </c>
      <c r="AA333" s="90">
        <f t="shared" si="281"/>
        <v>0.21518987341772156</v>
      </c>
      <c r="AB333" s="90">
        <f t="shared" si="281"/>
        <v>-5.3191489361702149E-2</v>
      </c>
      <c r="AC333" s="90">
        <f t="shared" si="281"/>
        <v>-0.65306122448979598</v>
      </c>
      <c r="AD333" s="90">
        <f t="shared" si="281"/>
        <v>-0.7474747474747474</v>
      </c>
      <c r="AE333" s="76">
        <f t="shared" si="281"/>
        <v>-0.3405405405405405</v>
      </c>
      <c r="AF333" s="90">
        <f t="shared" si="281"/>
        <v>-0.72916666666666674</v>
      </c>
      <c r="AG333" s="90">
        <f t="shared" si="281"/>
        <v>-0.7752808988764045</v>
      </c>
      <c r="AH333" s="90">
        <f t="shared" si="281"/>
        <v>-0.76470588235294112</v>
      </c>
      <c r="AI333" s="90">
        <f t="shared" si="281"/>
        <v>-0.84</v>
      </c>
      <c r="AJ333" s="76">
        <f t="shared" si="281"/>
        <v>-0.76229508196721318</v>
      </c>
      <c r="AK333" s="90">
        <f t="shared" si="281"/>
        <v>-0.88461538461538458</v>
      </c>
      <c r="AL333" s="90">
        <f t="shared" si="281"/>
        <v>-0.85</v>
      </c>
      <c r="AM333" s="90">
        <f t="shared" si="281"/>
        <v>-0.625</v>
      </c>
      <c r="AN333" s="90">
        <f t="shared" si="281"/>
        <v>-0.5</v>
      </c>
      <c r="AO333" s="76">
        <f t="shared" si="281"/>
        <v>-0.81034482758620685</v>
      </c>
      <c r="AP333" s="90">
        <f t="shared" si="281"/>
        <v>-0.66666666666666674</v>
      </c>
      <c r="AQ333" s="90">
        <f t="shared" si="281"/>
        <v>-0.66666666666666674</v>
      </c>
      <c r="AR333" s="90">
        <f t="shared" si="281"/>
        <v>-0.33333333333333337</v>
      </c>
      <c r="AS333" s="90">
        <f t="shared" si="281"/>
        <v>0</v>
      </c>
      <c r="AT333" s="76">
        <f t="shared" si="281"/>
        <v>-0.45454545454545459</v>
      </c>
      <c r="AU333" s="90">
        <f t="shared" si="281"/>
        <v>1</v>
      </c>
      <c r="AV333" s="90">
        <f t="shared" si="281"/>
        <v>1</v>
      </c>
      <c r="AW333" s="90">
        <f t="shared" si="281"/>
        <v>0</v>
      </c>
      <c r="AX333" s="90">
        <f t="shared" si="281"/>
        <v>-0.5</v>
      </c>
      <c r="AY333" s="76">
        <f t="shared" si="281"/>
        <v>0.16666666666666674</v>
      </c>
      <c r="AZ333" s="90">
        <f t="shared" si="281"/>
        <v>0</v>
      </c>
      <c r="BA333" s="90">
        <f t="shared" si="281"/>
        <v>-0.5</v>
      </c>
      <c r="BB333" s="90">
        <f t="shared" si="281"/>
        <v>-0.5</v>
      </c>
      <c r="BC333" s="90">
        <f t="shared" si="281"/>
        <v>0</v>
      </c>
      <c r="BD333" s="76">
        <f t="shared" si="281"/>
        <v>-0.2857142857142857</v>
      </c>
      <c r="BE333" s="76">
        <f t="shared" si="281"/>
        <v>-0.5</v>
      </c>
      <c r="BF333" s="76">
        <f t="shared" si="281"/>
        <v>0</v>
      </c>
      <c r="BG333" s="76">
        <f t="shared" si="281"/>
        <v>0</v>
      </c>
      <c r="BH333" s="76">
        <f t="shared" si="281"/>
        <v>1</v>
      </c>
      <c r="BI333" s="90">
        <f>BI330/BD330-1</f>
        <v>0</v>
      </c>
      <c r="BJ333" s="76">
        <f t="shared" si="281"/>
        <v>0</v>
      </c>
      <c r="BK333" s="76">
        <f t="shared" si="281"/>
        <v>0</v>
      </c>
      <c r="BL333" s="76">
        <f t="shared" si="281"/>
        <v>0</v>
      </c>
      <c r="BM333" s="76">
        <f t="shared" si="281"/>
        <v>-0.5</v>
      </c>
      <c r="BN333" s="90">
        <f>BN330/BI330-1</f>
        <v>-0.19999999999999996</v>
      </c>
      <c r="BO333" s="76"/>
      <c r="BP333" s="76"/>
      <c r="BQ333" s="76"/>
      <c r="BR333" s="76"/>
      <c r="BS333" s="90"/>
      <c r="BT333" s="76"/>
      <c r="BU333" s="76"/>
      <c r="BV333" s="76"/>
      <c r="BW333" s="76"/>
      <c r="BX333" s="90"/>
      <c r="BY333" s="90"/>
      <c r="BZ333" s="90"/>
      <c r="CA333" s="90"/>
      <c r="CB333" s="90"/>
      <c r="CC333" s="90"/>
      <c r="CD333" s="90"/>
      <c r="CE333" s="90"/>
      <c r="CF333" s="90"/>
      <c r="CG333" s="90"/>
      <c r="CH333" s="90"/>
      <c r="CI333" s="90"/>
      <c r="CJ333" s="90"/>
      <c r="CK333" s="90"/>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188"/>
      <c r="DM333" s="188"/>
      <c r="DN333" s="188"/>
      <c r="DO333" s="188"/>
      <c r="DP333" s="188"/>
    </row>
    <row r="334" spans="1:120" hidden="1" x14ac:dyDescent="0.2">
      <c r="A334" s="68" t="s">
        <v>55</v>
      </c>
      <c r="G334" s="76">
        <f t="shared" si="281"/>
        <v>0</v>
      </c>
      <c r="H334" s="76">
        <f t="shared" si="281"/>
        <v>1.538461538461533E-2</v>
      </c>
      <c r="I334" s="76">
        <f t="shared" si="281"/>
        <v>-1.4285714285714235E-2</v>
      </c>
      <c r="J334" s="76">
        <f t="shared" si="281"/>
        <v>0.14285714285714279</v>
      </c>
      <c r="K334" s="76">
        <f t="shared" si="281"/>
        <v>3.7037037037036979E-2</v>
      </c>
      <c r="L334" s="76">
        <f t="shared" si="281"/>
        <v>0.13846153846153841</v>
      </c>
      <c r="M334" s="76">
        <f t="shared" si="281"/>
        <v>0.33333333333333326</v>
      </c>
      <c r="N334" s="76">
        <f t="shared" si="281"/>
        <v>0.15942028985507251</v>
      </c>
      <c r="O334" s="76">
        <f t="shared" si="281"/>
        <v>0.14999999999999991</v>
      </c>
      <c r="P334" s="76">
        <f t="shared" si="281"/>
        <v>0.19285714285714284</v>
      </c>
      <c r="Q334" s="90">
        <f t="shared" si="281"/>
        <v>0.22972972972972983</v>
      </c>
      <c r="R334" s="90">
        <f t="shared" si="281"/>
        <v>2.2727272727272707E-2</v>
      </c>
      <c r="S334" s="90">
        <f t="shared" si="281"/>
        <v>0.11250000000000004</v>
      </c>
      <c r="T334" s="90">
        <f t="shared" si="281"/>
        <v>3.2608695652173836E-2</v>
      </c>
      <c r="U334" s="76">
        <f t="shared" si="281"/>
        <v>9.2814371257484929E-2</v>
      </c>
      <c r="V334" s="90">
        <f t="shared" si="281"/>
        <v>-5.4945054945054972E-2</v>
      </c>
      <c r="W334" s="90">
        <f t="shared" si="281"/>
        <v>4.4444444444444509E-2</v>
      </c>
      <c r="X334" s="90">
        <f t="shared" si="281"/>
        <v>-1.1235955056179803E-2</v>
      </c>
      <c r="Y334" s="90">
        <f t="shared" si="281"/>
        <v>-2.1052631578947323E-2</v>
      </c>
      <c r="Z334" s="76">
        <f t="shared" si="281"/>
        <v>-1.0958904109588996E-2</v>
      </c>
      <c r="AA334" s="90">
        <f t="shared" si="281"/>
        <v>6.9767441860465018E-2</v>
      </c>
      <c r="AB334" s="90">
        <f t="shared" si="281"/>
        <v>0</v>
      </c>
      <c r="AC334" s="90">
        <f t="shared" si="281"/>
        <v>6.8181818181818121E-2</v>
      </c>
      <c r="AD334" s="90">
        <f t="shared" si="281"/>
        <v>2.1505376344086002E-2</v>
      </c>
      <c r="AE334" s="76">
        <f t="shared" si="281"/>
        <v>3.8781163434903121E-2</v>
      </c>
      <c r="AF334" s="90">
        <f t="shared" si="281"/>
        <v>7.6086956521739024E-2</v>
      </c>
      <c r="AG334" s="90">
        <f ca="1">AG331/AB331-1</f>
        <v>7.6086956521739024E-2</v>
      </c>
      <c r="AH334" s="90">
        <f t="shared" si="281"/>
        <v>-0.12765957446808507</v>
      </c>
      <c r="AI334" s="90">
        <f t="shared" si="281"/>
        <v>-0.16842105263157892</v>
      </c>
      <c r="AJ334" s="76">
        <f ca="1">AJ331/AE331-1</f>
        <v>-3.6927536231884051E-2</v>
      </c>
      <c r="AK334" s="90">
        <f t="shared" si="281"/>
        <v>-0.17171717171717171</v>
      </c>
      <c r="AL334" s="90">
        <f ca="1">AL331/AG331-1</f>
        <v>-0.17945411562432834</v>
      </c>
      <c r="AM334" s="90">
        <f t="shared" si="281"/>
        <v>-6.0975609756097615E-2</v>
      </c>
      <c r="AN334" s="90">
        <f t="shared" si="281"/>
        <v>-0.12658227848101267</v>
      </c>
      <c r="AO334" s="76">
        <f ca="1">AO331/AJ331-1</f>
        <v>-0.1388671522301812</v>
      </c>
      <c r="AP334" s="90">
        <f t="shared" si="281"/>
        <v>-0.13414634146341464</v>
      </c>
      <c r="AQ334" s="90">
        <f t="shared" si="281"/>
        <v>-6.0240963855421659E-2</v>
      </c>
      <c r="AR334" s="90">
        <f t="shared" si="281"/>
        <v>-0.1428571428571429</v>
      </c>
      <c r="AS334" s="90">
        <f t="shared" si="281"/>
        <v>2.8985507246376718E-2</v>
      </c>
      <c r="AT334" s="76">
        <f t="shared" si="281"/>
        <v>-8.0385852090032128E-2</v>
      </c>
      <c r="AU334" s="90">
        <f t="shared" si="281"/>
        <v>-0.19718309859154926</v>
      </c>
      <c r="AV334" s="90">
        <f t="shared" si="281"/>
        <v>-0.30769230769230771</v>
      </c>
      <c r="AW334" s="90">
        <f t="shared" si="281"/>
        <v>-0.15151515151515149</v>
      </c>
      <c r="AX334" s="90">
        <f t="shared" si="281"/>
        <v>-0.39436619718309862</v>
      </c>
      <c r="AY334" s="76">
        <f t="shared" si="281"/>
        <v>-0.26573426573426573</v>
      </c>
      <c r="AZ334" s="90">
        <f t="shared" si="281"/>
        <v>3.5087719298245723E-2</v>
      </c>
      <c r="BA334" s="90">
        <f t="shared" si="281"/>
        <v>-3.703703703703709E-2</v>
      </c>
      <c r="BB334" s="90">
        <f t="shared" si="281"/>
        <v>0</v>
      </c>
      <c r="BC334" s="90">
        <f t="shared" si="281"/>
        <v>0.18604651162790709</v>
      </c>
      <c r="BD334" s="76">
        <f t="shared" si="281"/>
        <v>3.8095238095238182E-2</v>
      </c>
      <c r="BE334" s="76">
        <f t="shared" si="281"/>
        <v>-0.13559322033898302</v>
      </c>
      <c r="BF334" s="76">
        <f t="shared" si="281"/>
        <v>1.9230769230769162E-2</v>
      </c>
      <c r="BG334" s="76">
        <f t="shared" si="281"/>
        <v>-1.7857142857142905E-2</v>
      </c>
      <c r="BH334" s="76">
        <f t="shared" si="281"/>
        <v>5.8823529411764719E-2</v>
      </c>
      <c r="BI334" s="90">
        <f>BI331/BD331-1</f>
        <v>-2.2935779816513735E-2</v>
      </c>
      <c r="BJ334" s="76">
        <f t="shared" si="281"/>
        <v>-0.25490196078431371</v>
      </c>
      <c r="BK334" s="76">
        <f t="shared" si="281"/>
        <v>9.4339622641509413E-2</v>
      </c>
      <c r="BL334" s="76">
        <f t="shared" si="281"/>
        <v>-0.32727272727272727</v>
      </c>
      <c r="BM334" s="76">
        <f t="shared" si="281"/>
        <v>-0.12962962962962965</v>
      </c>
      <c r="BN334" s="90">
        <f>BN331/BI331-1</f>
        <v>-0.15492957746478875</v>
      </c>
      <c r="BO334" s="76"/>
      <c r="BP334" s="76"/>
      <c r="BQ334" s="76"/>
      <c r="BR334" s="76"/>
      <c r="BS334" s="90"/>
      <c r="BT334" s="76"/>
      <c r="BU334" s="76"/>
      <c r="BV334" s="76"/>
      <c r="BW334" s="76"/>
      <c r="BX334" s="90"/>
      <c r="BY334" s="90"/>
      <c r="BZ334" s="90"/>
      <c r="CA334" s="90"/>
      <c r="CB334" s="90"/>
      <c r="CC334" s="90"/>
      <c r="CD334" s="90"/>
      <c r="CE334" s="90"/>
      <c r="CF334" s="90"/>
      <c r="CG334" s="90"/>
      <c r="CH334" s="90"/>
      <c r="CI334" s="90"/>
      <c r="CJ334" s="90"/>
      <c r="CK334" s="90"/>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188"/>
      <c r="DM334" s="188"/>
      <c r="DN334" s="188"/>
      <c r="DO334" s="188"/>
      <c r="DP334" s="188"/>
    </row>
    <row r="335" spans="1:120" ht="17" hidden="1" thickBot="1" x14ac:dyDescent="0.25">
      <c r="A335" s="158" t="s">
        <v>56</v>
      </c>
      <c r="B335" s="159"/>
      <c r="C335" s="159"/>
      <c r="D335" s="159"/>
      <c r="E335" s="159"/>
      <c r="F335" s="159"/>
      <c r="G335" s="160">
        <f t="shared" si="281"/>
        <v>-0.12386706948640491</v>
      </c>
      <c r="H335" s="160">
        <f t="shared" si="281"/>
        <v>-0.14665458389971309</v>
      </c>
      <c r="I335" s="160">
        <f t="shared" si="281"/>
        <v>0.18589249961496979</v>
      </c>
      <c r="J335" s="160">
        <f t="shared" si="281"/>
        <v>3.7318153067678717E-2</v>
      </c>
      <c r="K335" s="160">
        <f t="shared" si="281"/>
        <v>-1.054946051319261E-2</v>
      </c>
      <c r="L335" s="160">
        <f t="shared" si="281"/>
        <v>0.1206896551724137</v>
      </c>
      <c r="M335" s="160">
        <f t="shared" si="281"/>
        <v>0.60176991150442483</v>
      </c>
      <c r="N335" s="160">
        <f t="shared" si="281"/>
        <v>-0.17532467532467533</v>
      </c>
      <c r="O335" s="160">
        <f t="shared" si="281"/>
        <v>2.4390243902439046E-2</v>
      </c>
      <c r="P335" s="160">
        <f t="shared" si="281"/>
        <v>0.10786106032906773</v>
      </c>
      <c r="Q335" s="160">
        <f t="shared" si="281"/>
        <v>0.34615384615384626</v>
      </c>
      <c r="R335" s="160">
        <f t="shared" si="281"/>
        <v>2.2099447513812098E-2</v>
      </c>
      <c r="S335" s="160">
        <f t="shared" si="281"/>
        <v>0.41732283464566922</v>
      </c>
      <c r="T335" s="160">
        <f t="shared" si="281"/>
        <v>0.15476190476190466</v>
      </c>
      <c r="U335" s="160">
        <f t="shared" si="281"/>
        <v>0.21122112211221111</v>
      </c>
      <c r="V335" s="160">
        <f t="shared" si="281"/>
        <v>-5.1428571428571379E-2</v>
      </c>
      <c r="W335" s="160">
        <f t="shared" si="281"/>
        <v>2.1621621621621623E-2</v>
      </c>
      <c r="X335" s="160">
        <f t="shared" si="281"/>
        <v>3.8888888888888973E-2</v>
      </c>
      <c r="Y335" s="160">
        <f t="shared" si="281"/>
        <v>-5.1546391752577136E-3</v>
      </c>
      <c r="Z335" s="160">
        <f t="shared" si="281"/>
        <v>-4.0871934604904681E-3</v>
      </c>
      <c r="AA335" s="160">
        <f t="shared" si="281"/>
        <v>0.13855421686746983</v>
      </c>
      <c r="AB335" s="160">
        <f t="shared" si="281"/>
        <v>-2.6455026455026509E-2</v>
      </c>
      <c r="AC335" s="160">
        <f t="shared" si="281"/>
        <v>-0.31550802139037437</v>
      </c>
      <c r="AD335" s="160">
        <f t="shared" si="281"/>
        <v>-0.37823834196891193</v>
      </c>
      <c r="AE335" s="160">
        <f t="shared" si="281"/>
        <v>-0.15321477428180574</v>
      </c>
      <c r="AF335" s="160">
        <f t="shared" si="281"/>
        <v>-0.33862433862433861</v>
      </c>
      <c r="AG335" s="160">
        <f t="shared" si="281"/>
        <v>-0.49456521739130432</v>
      </c>
      <c r="AH335" s="160">
        <f t="shared" si="281"/>
        <v>-0.296875</v>
      </c>
      <c r="AI335" s="160">
        <f t="shared" si="281"/>
        <v>-0.30833333333333335</v>
      </c>
      <c r="AJ335" s="160">
        <f ca="1">AJ332/AE332-1</f>
        <v>-0.32285593875114138</v>
      </c>
      <c r="AK335" s="160">
        <f t="shared" si="281"/>
        <v>-0.31999999999999995</v>
      </c>
      <c r="AL335" s="160">
        <f t="shared" si="281"/>
        <v>-7.5268817204301119E-2</v>
      </c>
      <c r="AM335" s="160">
        <f t="shared" si="281"/>
        <v>-0.11111111111111116</v>
      </c>
      <c r="AN335" s="160">
        <f t="shared" si="281"/>
        <v>-0.14457831325301207</v>
      </c>
      <c r="AO335" s="160">
        <f ca="1">AO332/AJ332-1</f>
        <v>-0.23178258389087703</v>
      </c>
      <c r="AP335" s="160">
        <f t="shared" si="281"/>
        <v>-0.15294117647058825</v>
      </c>
      <c r="AQ335" s="160">
        <f t="shared" si="281"/>
        <v>-8.1395348837209336E-2</v>
      </c>
      <c r="AR335" s="160">
        <f t="shared" si="281"/>
        <v>-0.15000000000000002</v>
      </c>
      <c r="AS335" s="160">
        <f t="shared" si="281"/>
        <v>2.8169014084507005E-2</v>
      </c>
      <c r="AT335" s="160">
        <f t="shared" si="281"/>
        <v>-9.3167701863353991E-2</v>
      </c>
      <c r="AU335" s="160">
        <f t="shared" si="281"/>
        <v>-0.18055555555555558</v>
      </c>
      <c r="AV335" s="160">
        <f t="shared" si="281"/>
        <v>-0.29113924050632911</v>
      </c>
      <c r="AW335" s="160">
        <f t="shared" si="281"/>
        <v>-0.1470588235294118</v>
      </c>
      <c r="AX335" s="160">
        <f t="shared" si="281"/>
        <v>-0.39726027397260277</v>
      </c>
      <c r="AY335" s="160">
        <f t="shared" si="281"/>
        <v>-0.25684931506849318</v>
      </c>
      <c r="AZ335" s="160">
        <f t="shared" si="281"/>
        <v>3.3898305084745672E-2</v>
      </c>
      <c r="BA335" s="160">
        <f t="shared" si="281"/>
        <v>-5.3571428571428603E-2</v>
      </c>
      <c r="BB335" s="160">
        <f t="shared" si="281"/>
        <v>-1.7241379310344862E-2</v>
      </c>
      <c r="BC335" s="160">
        <f t="shared" si="281"/>
        <v>0.18181818181818188</v>
      </c>
      <c r="BD335" s="160">
        <f t="shared" si="281"/>
        <v>2.7649769585253559E-2</v>
      </c>
      <c r="BE335" s="160">
        <f t="shared" si="281"/>
        <v>-0.14754098360655743</v>
      </c>
      <c r="BF335" s="160">
        <f t="shared" si="281"/>
        <v>1.8867924528301883E-2</v>
      </c>
      <c r="BG335" s="160">
        <f>BG332/BB332-1</f>
        <v>-1.7543859649122862E-2</v>
      </c>
      <c r="BH335" s="160">
        <f>BH332/BC332-1</f>
        <v>7.6923076923076872E-2</v>
      </c>
      <c r="BI335" s="160">
        <f>BI332/BD332-1</f>
        <v>-2.2421524663677084E-2</v>
      </c>
      <c r="BJ335" s="160">
        <f>BJ332/BE332-1</f>
        <v>-0.25</v>
      </c>
      <c r="BK335" s="161">
        <f>BK332/BF332-1</f>
        <v>9.259259259259256E-2</v>
      </c>
      <c r="BL335" s="161">
        <f>BL332/BG332-1</f>
        <v>-0.3214285714285714</v>
      </c>
      <c r="BM335" s="161">
        <f>BM332/BH332-1</f>
        <v>-0.1428571428571429</v>
      </c>
      <c r="BN335" s="160">
        <f>BN332/BI332-1</f>
        <v>-0.15596330275229353</v>
      </c>
      <c r="BO335" s="160">
        <f>BO332/BJ332-1</f>
        <v>-1</v>
      </c>
      <c r="BP335" s="161"/>
      <c r="BQ335" s="161"/>
      <c r="BR335" s="161"/>
      <c r="BS335" s="160"/>
      <c r="BT335" s="160"/>
      <c r="BU335" s="161"/>
      <c r="BV335" s="161"/>
      <c r="BW335" s="161"/>
      <c r="BX335" s="160"/>
      <c r="BY335" s="160"/>
      <c r="BZ335" s="160"/>
      <c r="CA335" s="160"/>
      <c r="CB335" s="160"/>
      <c r="CC335" s="160"/>
      <c r="CD335" s="160"/>
      <c r="CE335" s="160"/>
      <c r="CF335" s="160"/>
      <c r="CG335" s="160"/>
      <c r="CH335" s="160"/>
      <c r="CI335" s="160"/>
      <c r="CJ335" s="160"/>
      <c r="CK335" s="160"/>
      <c r="CL335" s="160"/>
      <c r="CM335" s="160"/>
      <c r="CN335" s="160"/>
      <c r="CO335" s="160"/>
      <c r="CP335" s="160"/>
      <c r="CQ335" s="160"/>
      <c r="CR335" s="160"/>
      <c r="CS335" s="160"/>
      <c r="CT335" s="160"/>
      <c r="CU335" s="160"/>
      <c r="CV335" s="160"/>
      <c r="CW335" s="160"/>
      <c r="CX335" s="160"/>
      <c r="CY335" s="160"/>
      <c r="CZ335" s="160"/>
      <c r="DA335" s="160"/>
      <c r="DB335" s="160"/>
      <c r="DC335" s="160"/>
      <c r="DD335" s="160"/>
      <c r="DE335" s="160"/>
      <c r="DF335" s="160"/>
      <c r="DG335" s="160"/>
      <c r="DH335" s="160"/>
      <c r="DI335" s="160"/>
      <c r="DJ335" s="160"/>
      <c r="DK335" s="160"/>
      <c r="DL335" s="210"/>
      <c r="DM335" s="210"/>
      <c r="DN335" s="210"/>
      <c r="DO335" s="210"/>
      <c r="DP335" s="210"/>
    </row>
    <row r="336" spans="1:120" hidden="1" x14ac:dyDescent="0.2">
      <c r="A336" s="36" t="s">
        <v>226</v>
      </c>
      <c r="G336" s="36"/>
      <c r="H336" s="36"/>
      <c r="I336" s="36"/>
      <c r="J336" s="36"/>
      <c r="K336" s="36"/>
      <c r="L336" s="36">
        <v>17</v>
      </c>
      <c r="M336" s="36">
        <v>42</v>
      </c>
      <c r="N336" s="36">
        <v>23</v>
      </c>
      <c r="O336" s="36">
        <v>43</v>
      </c>
      <c r="P336" s="36">
        <f>O336+N336+M336+L336</f>
        <v>125</v>
      </c>
      <c r="Q336" s="36">
        <f t="shared" ref="Q336:T337" si="282">L336*(1+Q339)</f>
        <v>17.34</v>
      </c>
      <c r="R336" s="36">
        <f t="shared" si="282"/>
        <v>21</v>
      </c>
      <c r="S336" s="36">
        <f t="shared" si="282"/>
        <v>21.849999999999998</v>
      </c>
      <c r="T336" s="36">
        <f t="shared" si="282"/>
        <v>21.5</v>
      </c>
      <c r="U336" s="36">
        <f>T336+S336+R336+Q336</f>
        <v>81.69</v>
      </c>
      <c r="V336" s="36">
        <v>50</v>
      </c>
      <c r="W336" s="36">
        <v>50</v>
      </c>
      <c r="X336" s="36">
        <v>50</v>
      </c>
      <c r="Y336" s="36">
        <v>50</v>
      </c>
      <c r="Z336" s="36">
        <f>Y336+X336+W336+V336</f>
        <v>200</v>
      </c>
      <c r="AA336" s="36">
        <v>41</v>
      </c>
      <c r="AB336" s="36">
        <v>63</v>
      </c>
      <c r="AC336" s="36">
        <v>45</v>
      </c>
      <c r="AD336" s="36">
        <v>55</v>
      </c>
      <c r="AE336" s="36">
        <f>AD336+AC336+AB336+AA336</f>
        <v>204</v>
      </c>
      <c r="AF336" s="36">
        <v>53</v>
      </c>
      <c r="AG336" s="36">
        <v>61</v>
      </c>
      <c r="AH336" s="36">
        <v>52</v>
      </c>
      <c r="AI336" s="36">
        <v>41</v>
      </c>
      <c r="AJ336" s="36">
        <f>AI336+AH336+AG336+AF336</f>
        <v>207</v>
      </c>
      <c r="AK336" s="36">
        <v>50</v>
      </c>
      <c r="AL336" s="36">
        <v>38</v>
      </c>
      <c r="AM336" s="36">
        <v>38</v>
      </c>
      <c r="AN336" s="36">
        <v>63</v>
      </c>
      <c r="AO336" s="36">
        <f>AN336+AM336+AL336+AK336</f>
        <v>189</v>
      </c>
      <c r="AP336" s="36">
        <f ca="1">AK336*(1+AP339)</f>
        <v>76.829268292682926</v>
      </c>
      <c r="AQ336" s="36">
        <v>38</v>
      </c>
      <c r="AR336" s="36">
        <v>59</v>
      </c>
      <c r="AS336" s="36">
        <v>54</v>
      </c>
      <c r="AT336" s="36">
        <f ca="1">AS336+AR336+AQ336+AP336</f>
        <v>227.82926829268291</v>
      </c>
      <c r="AU336" s="36">
        <v>56</v>
      </c>
      <c r="AV336" s="36">
        <v>53</v>
      </c>
      <c r="AW336" s="36">
        <v>41</v>
      </c>
      <c r="AX336" s="36">
        <v>53</v>
      </c>
      <c r="AY336" s="36">
        <f>AX336+AW336+AV336+AU336</f>
        <v>203</v>
      </c>
      <c r="AZ336" s="36">
        <v>39</v>
      </c>
      <c r="BA336" s="36">
        <v>36</v>
      </c>
      <c r="BB336" s="36">
        <v>35</v>
      </c>
      <c r="BC336" s="36">
        <v>35</v>
      </c>
      <c r="BD336" s="36">
        <f>BC336+BB336+BA336+AZ336</f>
        <v>145</v>
      </c>
      <c r="BE336" s="36"/>
      <c r="BF336" s="36"/>
      <c r="BG336" s="36"/>
      <c r="BH336" s="36"/>
      <c r="BI336" s="36"/>
      <c r="BJ336" s="36"/>
      <c r="BK336" s="36"/>
      <c r="BL336" s="36"/>
      <c r="BM336" s="36"/>
      <c r="BN336" s="36"/>
      <c r="BO336" s="36"/>
      <c r="BP336" s="36"/>
      <c r="BQ336" s="36"/>
      <c r="BR336" s="36"/>
      <c r="BS336" s="36"/>
      <c r="BT336" s="36"/>
      <c r="BU336" s="36"/>
      <c r="BV336" s="36"/>
      <c r="BW336" s="36"/>
      <c r="BX336" s="36"/>
      <c r="BY336" s="36"/>
      <c r="BZ336" s="36"/>
      <c r="CA336" s="36"/>
      <c r="CB336" s="36"/>
      <c r="CC336" s="36"/>
      <c r="CD336" s="36"/>
      <c r="CE336" s="36"/>
      <c r="CF336" s="36"/>
      <c r="CG336" s="36"/>
      <c r="CH336" s="36"/>
      <c r="CI336" s="36"/>
      <c r="CJ336" s="36"/>
      <c r="CK336" s="36"/>
      <c r="CL336" s="36"/>
      <c r="CM336" s="36"/>
      <c r="CN336" s="36"/>
      <c r="CO336" s="36"/>
      <c r="CP336" s="36"/>
      <c r="CQ336" s="36"/>
      <c r="CR336" s="36"/>
      <c r="CS336" s="36"/>
      <c r="CT336" s="36"/>
      <c r="CU336" s="36"/>
      <c r="CV336" s="36"/>
      <c r="CW336" s="36"/>
      <c r="CX336" s="36"/>
      <c r="CY336" s="36"/>
      <c r="CZ336" s="36"/>
      <c r="DA336" s="36"/>
      <c r="DB336" s="36"/>
      <c r="DC336" s="36"/>
      <c r="DD336" s="36"/>
      <c r="DE336" s="36"/>
      <c r="DF336" s="36"/>
      <c r="DG336" s="36"/>
      <c r="DH336" s="36"/>
      <c r="DI336" s="36"/>
      <c r="DJ336" s="36"/>
      <c r="DK336" s="36"/>
      <c r="DL336" s="183"/>
      <c r="DM336" s="183"/>
      <c r="DN336" s="183"/>
      <c r="DO336" s="183"/>
      <c r="DP336" s="183"/>
    </row>
    <row r="337" spans="1:120" hidden="1" x14ac:dyDescent="0.2">
      <c r="A337" s="36" t="s">
        <v>227</v>
      </c>
      <c r="G337" s="36"/>
      <c r="H337" s="36"/>
      <c r="I337" s="36"/>
      <c r="J337" s="36"/>
      <c r="K337" s="36"/>
      <c r="L337" s="36">
        <v>0</v>
      </c>
      <c r="M337" s="36">
        <v>0</v>
      </c>
      <c r="N337" s="36">
        <v>0</v>
      </c>
      <c r="O337" s="36">
        <v>0</v>
      </c>
      <c r="P337" s="36">
        <f>O337+N337+M337+L337</f>
        <v>0</v>
      </c>
      <c r="Q337" s="36">
        <f t="shared" si="282"/>
        <v>0</v>
      </c>
      <c r="R337" s="36">
        <f t="shared" si="282"/>
        <v>0</v>
      </c>
      <c r="S337" s="36">
        <f t="shared" si="282"/>
        <v>0</v>
      </c>
      <c r="T337" s="36">
        <f t="shared" si="282"/>
        <v>0</v>
      </c>
      <c r="U337" s="36">
        <f>T337+S337+R337+Q337</f>
        <v>0</v>
      </c>
      <c r="V337" s="36"/>
      <c r="W337" s="36"/>
      <c r="X337" s="36"/>
      <c r="Y337" s="36"/>
      <c r="Z337" s="36"/>
      <c r="AA337" s="36"/>
      <c r="AB337" s="36"/>
      <c r="AC337" s="36"/>
      <c r="AD337" s="36"/>
      <c r="AE337" s="36"/>
      <c r="AF337" s="36"/>
      <c r="AG337" s="36"/>
      <c r="AH337" s="36"/>
      <c r="AI337" s="36"/>
      <c r="AJ337" s="36">
        <f>AI337+AH337+AG337+AF337</f>
        <v>0</v>
      </c>
      <c r="AK337" s="36"/>
      <c r="AL337" s="36"/>
      <c r="AM337" s="36"/>
      <c r="AN337" s="36"/>
      <c r="AO337" s="36">
        <f>AN337+AM337+AL337+AK337</f>
        <v>0</v>
      </c>
      <c r="AP337" s="36"/>
      <c r="AQ337" s="36"/>
      <c r="AR337" s="36"/>
      <c r="AS337" s="36">
        <v>2</v>
      </c>
      <c r="AT337" s="36">
        <f>AS337+AR337+AQ337+AP337</f>
        <v>2</v>
      </c>
      <c r="AU337" s="36">
        <v>1</v>
      </c>
      <c r="AV337" s="36">
        <v>2</v>
      </c>
      <c r="AW337" s="36">
        <v>2</v>
      </c>
      <c r="AX337" s="36">
        <v>2</v>
      </c>
      <c r="AY337" s="36">
        <f>AX337+AW337+AV337+AU337</f>
        <v>7</v>
      </c>
      <c r="AZ337" s="36">
        <v>3</v>
      </c>
      <c r="BA337" s="36">
        <v>1</v>
      </c>
      <c r="BB337" s="36">
        <v>2</v>
      </c>
      <c r="BC337" s="36">
        <v>3</v>
      </c>
      <c r="BD337" s="36">
        <f>BC337+BB337+BA337+AZ337</f>
        <v>9</v>
      </c>
      <c r="BE337" s="36"/>
      <c r="BF337" s="36"/>
      <c r="BG337" s="36"/>
      <c r="BH337" s="36"/>
      <c r="BI337" s="36"/>
      <c r="BJ337" s="36"/>
      <c r="BK337" s="36"/>
      <c r="BL337" s="36"/>
      <c r="BM337" s="36"/>
      <c r="BN337" s="36"/>
      <c r="BO337" s="36"/>
      <c r="BP337" s="36"/>
      <c r="BQ337" s="36"/>
      <c r="BR337" s="36"/>
      <c r="BS337" s="36"/>
      <c r="BT337" s="36"/>
      <c r="BU337" s="36"/>
      <c r="BV337" s="36"/>
      <c r="BW337" s="36"/>
      <c r="BX337" s="36"/>
      <c r="BY337" s="36"/>
      <c r="BZ337" s="36"/>
      <c r="CA337" s="36"/>
      <c r="CB337" s="36"/>
      <c r="CC337" s="36"/>
      <c r="CD337" s="36"/>
      <c r="CE337" s="36"/>
      <c r="CF337" s="36"/>
      <c r="CG337" s="36"/>
      <c r="CH337" s="36"/>
      <c r="CI337" s="36"/>
      <c r="CJ337" s="36"/>
      <c r="CK337" s="36"/>
      <c r="CL337" s="36"/>
      <c r="CM337" s="36"/>
      <c r="CN337" s="36"/>
      <c r="CO337" s="36"/>
      <c r="CP337" s="36"/>
      <c r="CQ337" s="36"/>
      <c r="CR337" s="36"/>
      <c r="CS337" s="36"/>
      <c r="CT337" s="36"/>
      <c r="CU337" s="36"/>
      <c r="CV337" s="36"/>
      <c r="CW337" s="36"/>
      <c r="CX337" s="36"/>
      <c r="CY337" s="36"/>
      <c r="CZ337" s="36"/>
      <c r="DA337" s="36"/>
      <c r="DB337" s="36"/>
      <c r="DC337" s="36"/>
      <c r="DD337" s="36"/>
      <c r="DE337" s="36"/>
      <c r="DF337" s="36"/>
      <c r="DG337" s="36"/>
      <c r="DH337" s="36"/>
      <c r="DI337" s="36"/>
      <c r="DJ337" s="36"/>
      <c r="DK337" s="36"/>
      <c r="DL337" s="183"/>
      <c r="DM337" s="183"/>
      <c r="DN337" s="183"/>
      <c r="DO337" s="183"/>
      <c r="DP337" s="183"/>
    </row>
    <row r="338" spans="1:120" hidden="1" x14ac:dyDescent="0.2">
      <c r="A338" s="39" t="s">
        <v>228</v>
      </c>
      <c r="G338" s="39"/>
      <c r="H338" s="39"/>
      <c r="I338" s="39"/>
      <c r="J338" s="39"/>
      <c r="K338" s="39"/>
      <c r="L338" s="39">
        <f>L337+L336</f>
        <v>17</v>
      </c>
      <c r="M338" s="39">
        <f>M337+M336</f>
        <v>42</v>
      </c>
      <c r="N338" s="39">
        <f>N337+N336</f>
        <v>23</v>
      </c>
      <c r="O338" s="39">
        <f>O337+O336</f>
        <v>43</v>
      </c>
      <c r="P338" s="39">
        <f>O338+N338+M338+L338</f>
        <v>125</v>
      </c>
      <c r="Q338" s="39">
        <f>Q337+Q336</f>
        <v>17.34</v>
      </c>
      <c r="R338" s="39">
        <f>R337+R336</f>
        <v>21</v>
      </c>
      <c r="S338" s="39">
        <f>S337+S336</f>
        <v>21.849999999999998</v>
      </c>
      <c r="T338" s="39">
        <f>T337+T336</f>
        <v>21.5</v>
      </c>
      <c r="U338" s="39">
        <f>T338+S338+R338+Q338</f>
        <v>81.69</v>
      </c>
      <c r="V338" s="39"/>
      <c r="W338" s="39"/>
      <c r="X338" s="39"/>
      <c r="Y338" s="39"/>
      <c r="Z338" s="39">
        <f t="shared" ref="Z338:AI338" si="283">Z337+Z336</f>
        <v>200</v>
      </c>
      <c r="AA338" s="39">
        <f t="shared" si="283"/>
        <v>41</v>
      </c>
      <c r="AB338" s="39">
        <f t="shared" si="283"/>
        <v>63</v>
      </c>
      <c r="AC338" s="39">
        <f t="shared" si="283"/>
        <v>45</v>
      </c>
      <c r="AD338" s="39">
        <f t="shared" si="283"/>
        <v>55</v>
      </c>
      <c r="AE338" s="39">
        <f t="shared" si="283"/>
        <v>204</v>
      </c>
      <c r="AF338" s="39">
        <f t="shared" si="283"/>
        <v>53</v>
      </c>
      <c r="AG338" s="39">
        <f t="shared" si="283"/>
        <v>61</v>
      </c>
      <c r="AH338" s="39">
        <f t="shared" si="283"/>
        <v>52</v>
      </c>
      <c r="AI338" s="39">
        <f t="shared" si="283"/>
        <v>41</v>
      </c>
      <c r="AJ338" s="39">
        <f>AI338+AH338+AG338+AF338</f>
        <v>207</v>
      </c>
      <c r="AK338" s="39">
        <f>AK337+AK336</f>
        <v>50</v>
      </c>
      <c r="AL338" s="39">
        <f>AL337+AL336</f>
        <v>38</v>
      </c>
      <c r="AM338" s="39">
        <f>AM337+AM336</f>
        <v>38</v>
      </c>
      <c r="AN338" s="39">
        <f>AN337+AN336</f>
        <v>63</v>
      </c>
      <c r="AO338" s="39">
        <f>AN338+AM338+AL338+AK338</f>
        <v>189</v>
      </c>
      <c r="AP338" s="39">
        <f ca="1">AP337+AP336</f>
        <v>76.829268292682926</v>
      </c>
      <c r="AQ338" s="39">
        <f>AQ337+AQ336</f>
        <v>38</v>
      </c>
      <c r="AR338" s="39">
        <f>AR337+AR336</f>
        <v>59</v>
      </c>
      <c r="AS338" s="39">
        <f>AS337+AS336</f>
        <v>56</v>
      </c>
      <c r="AT338" s="39">
        <f ca="1">AS338+AR338+AQ338+AP338</f>
        <v>229.82926829268291</v>
      </c>
      <c r="AU338" s="39">
        <f>AU337+AU336</f>
        <v>57</v>
      </c>
      <c r="AV338" s="39">
        <f>AV337+AV336</f>
        <v>55</v>
      </c>
      <c r="AW338" s="39">
        <f>AW337+AW336</f>
        <v>43</v>
      </c>
      <c r="AX338" s="39">
        <f>AX337+AX336</f>
        <v>55</v>
      </c>
      <c r="AY338" s="39">
        <f>AX338+AW338+AV338+AU338</f>
        <v>210</v>
      </c>
      <c r="AZ338" s="39">
        <f>AZ337+AZ336</f>
        <v>42</v>
      </c>
      <c r="BA338" s="39">
        <f>BA337+BA336</f>
        <v>37</v>
      </c>
      <c r="BB338" s="39">
        <f>BB337+BB336</f>
        <v>37</v>
      </c>
      <c r="BC338" s="39">
        <f>BC337+BC336</f>
        <v>38</v>
      </c>
      <c r="BD338" s="39">
        <f>BC338+BB338+BA338+AZ338</f>
        <v>154</v>
      </c>
      <c r="BE338" s="39"/>
      <c r="BF338" s="39"/>
      <c r="BG338" s="39"/>
      <c r="BH338" s="39"/>
      <c r="BI338" s="39"/>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187"/>
      <c r="DM338" s="187"/>
      <c r="DN338" s="187"/>
      <c r="DO338" s="187"/>
      <c r="DP338" s="187"/>
    </row>
    <row r="339" spans="1:120" hidden="1" x14ac:dyDescent="0.2">
      <c r="A339" s="68" t="s">
        <v>54</v>
      </c>
      <c r="G339" s="75"/>
      <c r="H339" s="75"/>
      <c r="I339" s="75"/>
      <c r="J339" s="75"/>
      <c r="K339" s="75"/>
      <c r="L339" s="75" t="e">
        <f>L336/G336-1</f>
        <v>#DIV/0!</v>
      </c>
      <c r="M339" s="75" t="e">
        <f>M336/H336-1</f>
        <v>#DIV/0!</v>
      </c>
      <c r="N339" s="75" t="e">
        <f>N336/I336-1</f>
        <v>#DIV/0!</v>
      </c>
      <c r="O339" s="75" t="e">
        <f>O336/J336-1</f>
        <v>#DIV/0!</v>
      </c>
      <c r="P339" s="75"/>
      <c r="Q339" s="75">
        <v>0.02</v>
      </c>
      <c r="R339" s="75">
        <v>-0.5</v>
      </c>
      <c r="S339" s="75">
        <v>-0.05</v>
      </c>
      <c r="T339" s="75">
        <v>-0.5</v>
      </c>
      <c r="U339" s="75">
        <f>U336/P336-1</f>
        <v>-0.34648000000000001</v>
      </c>
      <c r="V339" s="75"/>
      <c r="W339" s="75"/>
      <c r="X339" s="75"/>
      <c r="Y339" s="75"/>
      <c r="Z339" s="75"/>
      <c r="AA339" s="75"/>
      <c r="AB339" s="75"/>
      <c r="AC339" s="75"/>
      <c r="AD339" s="75"/>
      <c r="AE339" s="75"/>
      <c r="AF339" s="75">
        <f t="shared" ref="AF339:BD339" si="284">AF336/AA336-1</f>
        <v>0.29268292682926833</v>
      </c>
      <c r="AG339" s="75">
        <f t="shared" si="284"/>
        <v>-3.1746031746031744E-2</v>
      </c>
      <c r="AH339" s="75">
        <f t="shared" si="284"/>
        <v>0.15555555555555545</v>
      </c>
      <c r="AI339" s="75">
        <f t="shared" si="284"/>
        <v>-0.25454545454545452</v>
      </c>
      <c r="AJ339" s="75">
        <f t="shared" si="284"/>
        <v>1.4705882352941124E-2</v>
      </c>
      <c r="AK339" s="75">
        <f t="shared" si="284"/>
        <v>-5.6603773584905648E-2</v>
      </c>
      <c r="AL339" s="75">
        <f t="shared" si="284"/>
        <v>-0.37704918032786883</v>
      </c>
      <c r="AM339" s="75">
        <f t="shared" si="284"/>
        <v>-0.26923076923076927</v>
      </c>
      <c r="AN339" s="75">
        <f t="shared" si="284"/>
        <v>0.53658536585365857</v>
      </c>
      <c r="AO339" s="75">
        <f t="shared" si="284"/>
        <v>-8.6956521739130488E-2</v>
      </c>
      <c r="AP339" s="75">
        <f ca="1">AP336/AK336-1</f>
        <v>0.53658536585365857</v>
      </c>
      <c r="AQ339" s="75">
        <f t="shared" si="284"/>
        <v>0</v>
      </c>
      <c r="AR339" s="75">
        <f t="shared" si="284"/>
        <v>0.55263157894736836</v>
      </c>
      <c r="AS339" s="75">
        <f t="shared" si="284"/>
        <v>-0.1428571428571429</v>
      </c>
      <c r="AT339" s="75">
        <f ca="1">AT336/AO336-1</f>
        <v>0.20544586398244924</v>
      </c>
      <c r="AU339" s="75">
        <f ca="1">AU336/AP336-1</f>
        <v>-0.27111111111111108</v>
      </c>
      <c r="AV339" s="75">
        <f t="shared" si="284"/>
        <v>0.39473684210526305</v>
      </c>
      <c r="AW339" s="75">
        <f t="shared" si="284"/>
        <v>-0.30508474576271183</v>
      </c>
      <c r="AX339" s="75">
        <f t="shared" si="284"/>
        <v>-1.851851851851849E-2</v>
      </c>
      <c r="AY339" s="75">
        <f ca="1">AY336/AT336-1</f>
        <v>-0.10898190771865957</v>
      </c>
      <c r="AZ339" s="75">
        <f t="shared" si="284"/>
        <v>-0.3035714285714286</v>
      </c>
      <c r="BA339" s="75">
        <f t="shared" si="284"/>
        <v>-0.32075471698113212</v>
      </c>
      <c r="BB339" s="75">
        <f t="shared" si="284"/>
        <v>-0.14634146341463417</v>
      </c>
      <c r="BC339" s="75">
        <f t="shared" si="284"/>
        <v>-0.339622641509434</v>
      </c>
      <c r="BD339" s="75">
        <f t="shared" si="284"/>
        <v>-0.2857142857142857</v>
      </c>
      <c r="BE339" s="76"/>
      <c r="BF339" s="76"/>
      <c r="BG339" s="76"/>
      <c r="BH339" s="76"/>
      <c r="BI339" s="90"/>
      <c r="BJ339" s="90"/>
      <c r="BK339" s="139"/>
      <c r="BL339" s="90"/>
      <c r="BM339" s="90"/>
      <c r="BN339" s="90"/>
      <c r="BO339" s="90"/>
      <c r="BP339" s="139"/>
      <c r="BQ339" s="90"/>
      <c r="BR339" s="90"/>
      <c r="BS339" s="75"/>
      <c r="BT339" s="90"/>
      <c r="BU339" s="139"/>
      <c r="BV339" s="90"/>
      <c r="BW339" s="90"/>
      <c r="BX339" s="75"/>
      <c r="BY339" s="75"/>
      <c r="BZ339" s="75"/>
      <c r="CA339" s="75"/>
      <c r="CB339" s="75"/>
      <c r="CC339" s="75"/>
      <c r="CD339" s="75"/>
      <c r="CE339" s="75"/>
      <c r="CF339" s="75"/>
      <c r="CG339" s="75"/>
      <c r="CH339" s="75"/>
      <c r="CI339" s="75"/>
      <c r="CJ339" s="75"/>
      <c r="CK339" s="75"/>
      <c r="CL339" s="75"/>
      <c r="CM339" s="75"/>
      <c r="CN339" s="75"/>
      <c r="CO339" s="75"/>
      <c r="CP339" s="75"/>
      <c r="CQ339" s="75"/>
      <c r="CR339" s="75"/>
      <c r="CS339" s="75"/>
      <c r="CT339" s="75"/>
      <c r="CU339" s="75"/>
      <c r="CV339" s="75"/>
      <c r="CW339" s="75"/>
      <c r="CX339" s="75"/>
      <c r="CY339" s="75"/>
      <c r="CZ339" s="75"/>
      <c r="DA339" s="75"/>
      <c r="DB339" s="75"/>
      <c r="DC339" s="75"/>
      <c r="DD339" s="75"/>
      <c r="DE339" s="75"/>
      <c r="DF339" s="75"/>
      <c r="DG339" s="75"/>
      <c r="DH339" s="75"/>
      <c r="DI339" s="75"/>
      <c r="DJ339" s="75"/>
      <c r="DK339" s="75"/>
      <c r="DL339" s="192"/>
      <c r="DM339" s="192"/>
      <c r="DN339" s="192"/>
      <c r="DO339" s="192"/>
      <c r="DP339" s="192"/>
    </row>
    <row r="340" spans="1:120" hidden="1" x14ac:dyDescent="0.2">
      <c r="A340" s="68" t="s">
        <v>55</v>
      </c>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v>0</v>
      </c>
      <c r="AK340" s="75"/>
      <c r="AL340" s="75"/>
      <c r="AM340" s="75"/>
      <c r="AN340" s="75"/>
      <c r="AO340" s="75">
        <v>0</v>
      </c>
      <c r="AP340" s="75"/>
      <c r="AQ340" s="75"/>
      <c r="AR340" s="75"/>
      <c r="AS340" s="75"/>
      <c r="AT340" s="75">
        <v>0</v>
      </c>
      <c r="AU340" s="75"/>
      <c r="AV340" s="75"/>
      <c r="AW340" s="75"/>
      <c r="AX340" s="75"/>
      <c r="AY340" s="75">
        <v>0</v>
      </c>
      <c r="AZ340" s="75"/>
      <c r="BA340" s="75"/>
      <c r="BB340" s="75"/>
      <c r="BC340" s="75"/>
      <c r="BD340" s="75">
        <v>0</v>
      </c>
      <c r="BE340" s="76"/>
      <c r="BF340" s="76"/>
      <c r="BG340" s="76"/>
      <c r="BH340" s="76"/>
      <c r="BI340" s="90"/>
      <c r="BJ340" s="90"/>
      <c r="BK340" s="139"/>
      <c r="BL340" s="90"/>
      <c r="BM340" s="90"/>
      <c r="BN340" s="90"/>
      <c r="BO340" s="90"/>
      <c r="BP340" s="139"/>
      <c r="BQ340" s="90"/>
      <c r="BR340" s="90"/>
      <c r="BS340" s="75"/>
      <c r="BT340" s="90"/>
      <c r="BU340" s="139"/>
      <c r="BV340" s="90"/>
      <c r="BW340" s="90"/>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5"/>
      <c r="DA340" s="75"/>
      <c r="DB340" s="75"/>
      <c r="DC340" s="75"/>
      <c r="DD340" s="75"/>
      <c r="DE340" s="75"/>
      <c r="DF340" s="75"/>
      <c r="DG340" s="75"/>
      <c r="DH340" s="75"/>
      <c r="DI340" s="75"/>
      <c r="DJ340" s="75"/>
      <c r="DK340" s="75"/>
      <c r="DL340" s="192"/>
      <c r="DM340" s="192"/>
      <c r="DN340" s="192"/>
      <c r="DO340" s="192"/>
      <c r="DP340" s="192"/>
    </row>
    <row r="341" spans="1:120" hidden="1" x14ac:dyDescent="0.2">
      <c r="A341" s="78" t="s">
        <v>56</v>
      </c>
      <c r="F341" s="98"/>
      <c r="G341" s="83"/>
      <c r="H341" s="83"/>
      <c r="I341" s="83"/>
      <c r="J341" s="83"/>
      <c r="K341" s="83"/>
      <c r="L341" s="83" t="e">
        <f>L338/G338-1</f>
        <v>#DIV/0!</v>
      </c>
      <c r="M341" s="83" t="e">
        <f>M338/H338-1</f>
        <v>#DIV/0!</v>
      </c>
      <c r="N341" s="83" t="e">
        <f>N338/I338-1</f>
        <v>#DIV/0!</v>
      </c>
      <c r="O341" s="83" t="e">
        <f>O338/J338-1</f>
        <v>#DIV/0!</v>
      </c>
      <c r="P341" s="83"/>
      <c r="Q341" s="83">
        <f>Q338/L338-1</f>
        <v>2.0000000000000018E-2</v>
      </c>
      <c r="R341" s="83">
        <f>R338/M338-1</f>
        <v>-0.5</v>
      </c>
      <c r="S341" s="83">
        <f>S338/N338-1</f>
        <v>-5.0000000000000044E-2</v>
      </c>
      <c r="T341" s="83">
        <f>T338/O338-1</f>
        <v>-0.5</v>
      </c>
      <c r="U341" s="83">
        <f>U338/P338-1</f>
        <v>-0.34648000000000001</v>
      </c>
      <c r="V341" s="83"/>
      <c r="W341" s="83"/>
      <c r="X341" s="83"/>
      <c r="Y341" s="83"/>
      <c r="Z341" s="83"/>
      <c r="AA341" s="83"/>
      <c r="AB341" s="83"/>
      <c r="AC341" s="83"/>
      <c r="AD341" s="83"/>
      <c r="AE341" s="83"/>
      <c r="AF341" s="83">
        <f t="shared" ref="AF341:BD341" si="285">AF338/AA338-1</f>
        <v>0.29268292682926833</v>
      </c>
      <c r="AG341" s="83">
        <f t="shared" si="285"/>
        <v>-3.1746031746031744E-2</v>
      </c>
      <c r="AH341" s="83">
        <f t="shared" si="285"/>
        <v>0.15555555555555545</v>
      </c>
      <c r="AI341" s="83">
        <f t="shared" si="285"/>
        <v>-0.25454545454545452</v>
      </c>
      <c r="AJ341" s="83">
        <f t="shared" si="285"/>
        <v>1.4705882352941124E-2</v>
      </c>
      <c r="AK341" s="83">
        <f t="shared" si="285"/>
        <v>-5.6603773584905648E-2</v>
      </c>
      <c r="AL341" s="83">
        <f t="shared" si="285"/>
        <v>-0.37704918032786883</v>
      </c>
      <c r="AM341" s="83">
        <f t="shared" si="285"/>
        <v>-0.26923076923076927</v>
      </c>
      <c r="AN341" s="83">
        <f t="shared" si="285"/>
        <v>0.53658536585365857</v>
      </c>
      <c r="AO341" s="83">
        <f t="shared" si="285"/>
        <v>-8.6956521739130488E-2</v>
      </c>
      <c r="AP341" s="83">
        <f ca="1">AP338/AK338-1</f>
        <v>0.53658536585365857</v>
      </c>
      <c r="AQ341" s="83">
        <f t="shared" si="285"/>
        <v>0</v>
      </c>
      <c r="AR341" s="83">
        <f t="shared" si="285"/>
        <v>0.55263157894736836</v>
      </c>
      <c r="AS341" s="83">
        <f t="shared" si="285"/>
        <v>-0.11111111111111116</v>
      </c>
      <c r="AT341" s="83">
        <f ca="1">AT338/AO338-1</f>
        <v>0.21602787456445993</v>
      </c>
      <c r="AU341" s="83">
        <f ca="1">AU338/AP338-1</f>
        <v>-0.25809523809523804</v>
      </c>
      <c r="AV341" s="83">
        <f t="shared" si="285"/>
        <v>0.44736842105263164</v>
      </c>
      <c r="AW341" s="83">
        <f t="shared" si="285"/>
        <v>-0.27118644067796616</v>
      </c>
      <c r="AX341" s="83">
        <f t="shared" si="285"/>
        <v>-1.7857142857142905E-2</v>
      </c>
      <c r="AY341" s="83">
        <f ca="1">AY338/AT338-1</f>
        <v>-8.6278255332696507E-2</v>
      </c>
      <c r="AZ341" s="83">
        <f t="shared" si="285"/>
        <v>-0.26315789473684215</v>
      </c>
      <c r="BA341" s="83">
        <f t="shared" si="285"/>
        <v>-0.32727272727272727</v>
      </c>
      <c r="BB341" s="83">
        <f t="shared" si="285"/>
        <v>-0.13953488372093026</v>
      </c>
      <c r="BC341" s="83">
        <f t="shared" si="285"/>
        <v>-0.30909090909090908</v>
      </c>
      <c r="BD341" s="83">
        <f t="shared" si="285"/>
        <v>-0.26666666666666672</v>
      </c>
      <c r="BE341" s="80"/>
      <c r="BF341" s="80"/>
      <c r="BG341" s="80"/>
      <c r="BH341" s="80"/>
      <c r="BI341" s="80"/>
      <c r="BJ341" s="80"/>
      <c r="BK341" s="91"/>
      <c r="BL341" s="80"/>
      <c r="BM341" s="80"/>
      <c r="BN341" s="80"/>
      <c r="BO341" s="80"/>
      <c r="BP341" s="91"/>
      <c r="BQ341" s="80"/>
      <c r="BR341" s="80"/>
      <c r="BS341" s="83"/>
      <c r="BT341" s="80"/>
      <c r="BU341" s="91"/>
      <c r="BV341" s="80"/>
      <c r="BW341" s="80"/>
      <c r="BX341" s="83"/>
      <c r="BY341" s="83"/>
      <c r="BZ341" s="83"/>
      <c r="CA341" s="83"/>
      <c r="CB341" s="83"/>
      <c r="CC341" s="83"/>
      <c r="CD341" s="83"/>
      <c r="CE341" s="83"/>
      <c r="CF341" s="83"/>
      <c r="CG341" s="83"/>
      <c r="CH341" s="83"/>
      <c r="CI341" s="83"/>
      <c r="CJ341" s="83"/>
      <c r="CK341" s="83"/>
      <c r="CL341" s="83"/>
      <c r="CM341" s="83"/>
      <c r="CN341" s="83"/>
      <c r="CO341" s="83"/>
      <c r="CP341" s="83"/>
      <c r="CQ341" s="83"/>
      <c r="CR341" s="83"/>
      <c r="CS341" s="83"/>
      <c r="CT341" s="83"/>
      <c r="CU341" s="83"/>
      <c r="CV341" s="83"/>
      <c r="CW341" s="83"/>
      <c r="CX341" s="83"/>
      <c r="CY341" s="83"/>
      <c r="CZ341" s="83"/>
      <c r="DA341" s="83"/>
      <c r="DB341" s="83"/>
      <c r="DC341" s="83"/>
      <c r="DD341" s="83"/>
      <c r="DE341" s="83"/>
      <c r="DF341" s="83"/>
      <c r="DG341" s="83"/>
      <c r="DH341" s="83"/>
      <c r="DI341" s="83"/>
      <c r="DJ341" s="83"/>
      <c r="DK341" s="83"/>
      <c r="DL341" s="193"/>
      <c r="DM341" s="193"/>
      <c r="DN341" s="193"/>
      <c r="DO341" s="193"/>
      <c r="DP341" s="193"/>
    </row>
    <row r="342" spans="1:120" hidden="1" x14ac:dyDescent="0.2">
      <c r="A342" s="66"/>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c r="AR342" s="67"/>
      <c r="AS342" s="67"/>
      <c r="AT342" s="67"/>
      <c r="AU342" s="67"/>
      <c r="AV342" s="67"/>
      <c r="AW342" s="67"/>
      <c r="AX342" s="67"/>
      <c r="AY342" s="67"/>
      <c r="AZ342" s="67"/>
      <c r="BA342" s="67"/>
      <c r="BB342" s="67"/>
      <c r="BC342" s="67"/>
      <c r="BD342" s="67"/>
      <c r="BE342" s="67"/>
      <c r="BF342" s="67"/>
      <c r="BG342" s="67"/>
      <c r="BH342" s="67"/>
      <c r="BI342" s="67"/>
      <c r="BJ342" s="67"/>
      <c r="BK342" s="67"/>
      <c r="BL342" s="67"/>
      <c r="BM342" s="67"/>
      <c r="BN342" s="67"/>
      <c r="BO342" s="67"/>
      <c r="BP342" s="67"/>
      <c r="BQ342" s="67"/>
      <c r="BR342" s="67"/>
      <c r="BS342" s="67"/>
      <c r="BT342" s="67"/>
      <c r="BU342" s="67"/>
      <c r="BV342" s="67"/>
      <c r="BW342" s="67"/>
      <c r="BX342" s="67"/>
      <c r="BY342" s="67"/>
      <c r="BZ342" s="67"/>
      <c r="CA342" s="67"/>
      <c r="CB342" s="67"/>
      <c r="CC342" s="67"/>
      <c r="CD342" s="67"/>
      <c r="CE342" s="67"/>
      <c r="CF342" s="67"/>
      <c r="CG342" s="67"/>
      <c r="CH342" s="67"/>
      <c r="CI342" s="67"/>
      <c r="CJ342" s="67"/>
      <c r="CK342" s="67"/>
      <c r="CL342" s="67"/>
      <c r="CM342" s="67"/>
      <c r="CN342" s="67"/>
      <c r="CO342" s="67"/>
      <c r="CP342" s="67"/>
      <c r="CQ342" s="67"/>
      <c r="CR342" s="67"/>
      <c r="CS342" s="67"/>
      <c r="CT342" s="67"/>
      <c r="CU342" s="67"/>
      <c r="CV342" s="67"/>
      <c r="CW342" s="67"/>
      <c r="CX342" s="67"/>
      <c r="CY342" s="67"/>
      <c r="CZ342" s="67"/>
      <c r="DA342" s="67"/>
      <c r="DB342" s="67"/>
      <c r="DC342" s="67"/>
      <c r="DD342" s="67"/>
      <c r="DE342" s="67"/>
      <c r="DF342" s="67"/>
      <c r="DG342" s="67"/>
      <c r="DH342" s="67"/>
      <c r="DI342" s="67"/>
      <c r="DJ342" s="67"/>
      <c r="DK342" s="67"/>
      <c r="DL342" s="194"/>
      <c r="DM342" s="194"/>
      <c r="DN342" s="194"/>
      <c r="DO342" s="194"/>
      <c r="DP342" s="194"/>
    </row>
    <row r="343" spans="1:120" hidden="1" x14ac:dyDescent="0.2">
      <c r="A343" s="66" t="s">
        <v>229</v>
      </c>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AZ343" s="67"/>
      <c r="BA343" s="67"/>
      <c r="BB343" s="67"/>
      <c r="BC343" s="67"/>
      <c r="BD343" s="67"/>
      <c r="BE343" s="67"/>
      <c r="BF343" s="67"/>
      <c r="BG343" s="67"/>
      <c r="BH343" s="67"/>
      <c r="BI343" s="67"/>
      <c r="BJ343" s="67"/>
      <c r="BK343" s="67"/>
      <c r="BL343" s="67"/>
      <c r="BM343" s="67"/>
      <c r="BN343" s="67"/>
      <c r="BO343" s="67"/>
      <c r="BP343" s="67"/>
      <c r="BQ343" s="67"/>
      <c r="BR343" s="67"/>
      <c r="BS343" s="67"/>
      <c r="BT343" s="67"/>
      <c r="BU343" s="67"/>
      <c r="BV343" s="67"/>
      <c r="BW343" s="67"/>
      <c r="BX343" s="67"/>
      <c r="BY343" s="67"/>
      <c r="BZ343" s="67"/>
      <c r="CA343" s="67"/>
      <c r="CB343" s="67"/>
      <c r="CC343" s="67"/>
      <c r="CD343" s="67"/>
      <c r="CE343" s="67"/>
      <c r="CF343" s="67"/>
      <c r="CG343" s="67"/>
      <c r="CH343" s="67"/>
      <c r="CI343" s="67"/>
      <c r="CJ343" s="67"/>
      <c r="CK343" s="67"/>
      <c r="CL343" s="67"/>
      <c r="CM343" s="67"/>
      <c r="CN343" s="67"/>
      <c r="CO343" s="67"/>
      <c r="CP343" s="67"/>
      <c r="CQ343" s="67"/>
      <c r="CR343" s="67"/>
      <c r="CS343" s="67"/>
      <c r="CT343" s="67"/>
      <c r="CU343" s="67"/>
      <c r="CV343" s="67"/>
      <c r="CW343" s="67"/>
      <c r="CX343" s="67"/>
      <c r="CY343" s="67"/>
      <c r="CZ343" s="67"/>
      <c r="DA343" s="67"/>
      <c r="DB343" s="67"/>
      <c r="DC343" s="67"/>
      <c r="DD343" s="67"/>
      <c r="DE343" s="67"/>
      <c r="DF343" s="67"/>
      <c r="DG343" s="67"/>
      <c r="DH343" s="67"/>
      <c r="DI343" s="67"/>
      <c r="DJ343" s="67"/>
      <c r="DK343" s="67"/>
      <c r="DL343" s="194"/>
      <c r="DM343" s="194"/>
      <c r="DN343" s="194"/>
      <c r="DO343" s="194"/>
      <c r="DP343" s="194"/>
    </row>
    <row r="344" spans="1:120" hidden="1" x14ac:dyDescent="0.2">
      <c r="A344" s="115" t="s">
        <v>230</v>
      </c>
      <c r="B344" s="36">
        <v>42.570522164108723</v>
      </c>
      <c r="C344" s="36">
        <v>42.570522164108723</v>
      </c>
      <c r="D344" s="86">
        <v>55.045871559633021</v>
      </c>
      <c r="E344" s="36">
        <v>38.232795242141037</v>
      </c>
      <c r="F344" s="36">
        <v>178.4197111299915</v>
      </c>
      <c r="G344" s="36">
        <v>53</v>
      </c>
      <c r="H344" s="36">
        <v>37</v>
      </c>
      <c r="I344" s="86">
        <v>57</v>
      </c>
      <c r="J344" s="86">
        <v>66</v>
      </c>
      <c r="K344" s="36">
        <f>J344+I344+H344+G344</f>
        <v>213</v>
      </c>
      <c r="L344" s="86">
        <v>58</v>
      </c>
      <c r="M344" s="86">
        <v>26</v>
      </c>
      <c r="N344" s="86">
        <v>75</v>
      </c>
      <c r="O344" s="36">
        <v>65</v>
      </c>
      <c r="P344" s="36">
        <f>O344+N344+M344+L344</f>
        <v>224</v>
      </c>
      <c r="Q344" s="36">
        <v>30</v>
      </c>
      <c r="R344" s="36">
        <v>51</v>
      </c>
      <c r="S344" s="36">
        <v>57</v>
      </c>
      <c r="T344" s="36">
        <v>61</v>
      </c>
      <c r="U344" s="36">
        <f>T344+S344+R344+Q344</f>
        <v>199</v>
      </c>
      <c r="V344" s="36">
        <v>48</v>
      </c>
      <c r="W344" s="36">
        <v>53</v>
      </c>
      <c r="X344" s="36">
        <v>62</v>
      </c>
      <c r="Y344" s="36">
        <v>61</v>
      </c>
      <c r="Z344" s="36">
        <f>Y344+X344+W344+V344</f>
        <v>224</v>
      </c>
      <c r="AA344" s="36">
        <v>58</v>
      </c>
      <c r="AB344" s="36">
        <v>64</v>
      </c>
      <c r="AC344" s="36">
        <v>70</v>
      </c>
      <c r="AD344" s="36">
        <v>75</v>
      </c>
      <c r="AE344" s="36">
        <f>AD344+AC344+AB344+AA344</f>
        <v>267</v>
      </c>
      <c r="AF344" s="36">
        <v>71</v>
      </c>
      <c r="AG344" s="36">
        <v>73</v>
      </c>
      <c r="AH344" s="36">
        <v>86</v>
      </c>
      <c r="AI344" s="36">
        <v>85</v>
      </c>
      <c r="AJ344" s="36">
        <f>AI344+AH344+AG344+AF344</f>
        <v>315</v>
      </c>
      <c r="AK344" s="36">
        <v>79</v>
      </c>
      <c r="AL344" s="36">
        <v>86</v>
      </c>
      <c r="AM344" s="36">
        <v>93</v>
      </c>
      <c r="AN344" s="36">
        <v>97</v>
      </c>
      <c r="AO344" s="36">
        <f>AN344+AM344+AL344+AK344</f>
        <v>355</v>
      </c>
      <c r="AP344" s="36">
        <v>92</v>
      </c>
      <c r="AQ344" s="36">
        <v>99</v>
      </c>
      <c r="AR344" s="36">
        <v>100</v>
      </c>
      <c r="AS344" s="36">
        <v>107</v>
      </c>
      <c r="AT344" s="36">
        <f>AS344+AR344+AQ344+AP344</f>
        <v>398</v>
      </c>
      <c r="AU344" s="36">
        <v>83</v>
      </c>
      <c r="AV344" s="36">
        <v>93</v>
      </c>
      <c r="AW344" s="36">
        <v>95</v>
      </c>
      <c r="AX344" s="36">
        <v>106</v>
      </c>
      <c r="AY344" s="36">
        <f>AX344+AW344+AV344+AU344</f>
        <v>377</v>
      </c>
      <c r="AZ344" s="36">
        <v>132</v>
      </c>
      <c r="BA344" s="36">
        <v>82</v>
      </c>
      <c r="BB344" s="36">
        <v>105</v>
      </c>
      <c r="BC344" s="36">
        <v>132</v>
      </c>
      <c r="BD344" s="36">
        <f>BC344+BB344+BA344+AZ344</f>
        <v>451</v>
      </c>
      <c r="BE344" s="36">
        <v>112</v>
      </c>
      <c r="BF344" s="36">
        <v>115</v>
      </c>
      <c r="BG344" s="36">
        <v>136</v>
      </c>
      <c r="BH344" s="36">
        <v>128</v>
      </c>
      <c r="BI344" s="36">
        <f>SUM(BE344:BH344)</f>
        <v>491</v>
      </c>
      <c r="BJ344" s="36">
        <v>9</v>
      </c>
      <c r="BK344" s="36">
        <v>14</v>
      </c>
      <c r="BL344" s="36">
        <v>14</v>
      </c>
      <c r="BM344" s="36">
        <v>1</v>
      </c>
      <c r="BN344" s="36">
        <f>SUM(BJ344:BM344)</f>
        <v>38</v>
      </c>
      <c r="BO344" s="36">
        <v>0</v>
      </c>
      <c r="BP344" s="36"/>
      <c r="BQ344" s="36"/>
      <c r="BR344" s="36"/>
      <c r="BS344" s="36"/>
      <c r="BT344" s="36"/>
      <c r="BU344" s="36"/>
      <c r="BV344" s="36"/>
      <c r="BW344" s="36"/>
      <c r="BX344" s="36"/>
      <c r="BY344" s="36"/>
      <c r="BZ344" s="36"/>
      <c r="CA344" s="36"/>
      <c r="CB344" s="36"/>
      <c r="CC344" s="36"/>
      <c r="CD344" s="36"/>
      <c r="CE344" s="36"/>
      <c r="CF344" s="36"/>
      <c r="CG344" s="36"/>
      <c r="CH344" s="36"/>
      <c r="CI344" s="36"/>
      <c r="CJ344" s="36"/>
      <c r="CK344" s="36"/>
      <c r="CL344" s="36"/>
      <c r="CM344" s="36"/>
      <c r="CN344" s="36"/>
      <c r="CO344" s="36"/>
      <c r="CP344" s="36"/>
      <c r="CQ344" s="36"/>
      <c r="CR344" s="36"/>
      <c r="CS344" s="36"/>
      <c r="CT344" s="36"/>
      <c r="CU344" s="36"/>
      <c r="CV344" s="36"/>
      <c r="CW344" s="36"/>
      <c r="CX344" s="36"/>
      <c r="CY344" s="36"/>
      <c r="CZ344" s="36"/>
      <c r="DA344" s="36"/>
      <c r="DB344" s="36"/>
      <c r="DC344" s="36"/>
      <c r="DD344" s="36"/>
      <c r="DE344" s="36"/>
      <c r="DF344" s="36"/>
      <c r="DG344" s="36"/>
      <c r="DH344" s="36"/>
      <c r="DI344" s="36"/>
      <c r="DJ344" s="36"/>
      <c r="DK344" s="36"/>
      <c r="DL344" s="183"/>
      <c r="DM344" s="183"/>
      <c r="DN344" s="183"/>
      <c r="DO344" s="183"/>
      <c r="DP344" s="183"/>
    </row>
    <row r="345" spans="1:120" hidden="1" x14ac:dyDescent="0.2">
      <c r="A345" s="115" t="s">
        <v>231</v>
      </c>
      <c r="B345" s="36">
        <v>0</v>
      </c>
      <c r="C345" s="36">
        <v>0</v>
      </c>
      <c r="D345" s="86">
        <v>0</v>
      </c>
      <c r="E345" s="36">
        <v>19.927536231884059</v>
      </c>
      <c r="F345" s="36">
        <v>19.927536231884059</v>
      </c>
      <c r="G345" s="36">
        <v>16</v>
      </c>
      <c r="H345" s="36">
        <v>17</v>
      </c>
      <c r="I345" s="86">
        <v>19</v>
      </c>
      <c r="J345" s="86">
        <v>22</v>
      </c>
      <c r="K345" s="36">
        <f>J345+I345+H345+G345</f>
        <v>74</v>
      </c>
      <c r="L345" s="86">
        <v>20</v>
      </c>
      <c r="M345" s="86">
        <v>24</v>
      </c>
      <c r="N345" s="86">
        <v>27</v>
      </c>
      <c r="O345" s="36">
        <v>29</v>
      </c>
      <c r="P345" s="36">
        <f>O345+N345+M345+L345</f>
        <v>100</v>
      </c>
      <c r="Q345" s="36">
        <v>26</v>
      </c>
      <c r="R345" s="36">
        <v>28</v>
      </c>
      <c r="S345" s="36">
        <v>27</v>
      </c>
      <c r="T345" s="36">
        <v>31</v>
      </c>
      <c r="U345" s="36">
        <f>T345+S345+R345+Q345</f>
        <v>112</v>
      </c>
      <c r="V345" s="36">
        <v>30</v>
      </c>
      <c r="W345" s="36">
        <v>31</v>
      </c>
      <c r="X345" s="36">
        <v>30</v>
      </c>
      <c r="Y345" s="36">
        <v>33</v>
      </c>
      <c r="Z345" s="36">
        <f>Y345+X345+W345+V345</f>
        <v>124</v>
      </c>
      <c r="AA345" s="36">
        <v>35</v>
      </c>
      <c r="AB345" s="36">
        <v>33</v>
      </c>
      <c r="AC345" s="36">
        <v>35</v>
      </c>
      <c r="AD345" s="36">
        <v>36</v>
      </c>
      <c r="AE345" s="36">
        <f>AD345+AC345+AB345+AA345</f>
        <v>139</v>
      </c>
      <c r="AF345" s="36">
        <v>37</v>
      </c>
      <c r="AG345" s="36">
        <v>36</v>
      </c>
      <c r="AH345" s="36">
        <v>39</v>
      </c>
      <c r="AI345" s="36">
        <v>41</v>
      </c>
      <c r="AJ345" s="36">
        <f>AI345+AH345+AG345+AF345</f>
        <v>153</v>
      </c>
      <c r="AK345" s="36">
        <v>43</v>
      </c>
      <c r="AL345" s="36">
        <v>45</v>
      </c>
      <c r="AM345" s="36">
        <v>43</v>
      </c>
      <c r="AN345" s="36">
        <v>44</v>
      </c>
      <c r="AO345" s="36">
        <f>AN345+AM345+AL345+AK345</f>
        <v>175</v>
      </c>
      <c r="AP345" s="36">
        <v>41</v>
      </c>
      <c r="AQ345" s="36">
        <v>42</v>
      </c>
      <c r="AR345" s="36">
        <v>44</v>
      </c>
      <c r="AS345" s="36">
        <v>49</v>
      </c>
      <c r="AT345" s="36">
        <f>AS345+AR345+AQ345+AP345</f>
        <v>176</v>
      </c>
      <c r="AU345" s="36">
        <v>52</v>
      </c>
      <c r="AV345" s="36">
        <v>40</v>
      </c>
      <c r="AW345" s="36">
        <v>38</v>
      </c>
      <c r="AX345" s="36">
        <v>43</v>
      </c>
      <c r="AY345" s="36">
        <f>AX345+AW345+AV345+AU345</f>
        <v>173</v>
      </c>
      <c r="AZ345" s="36">
        <v>41</v>
      </c>
      <c r="BA345" s="36">
        <v>49</v>
      </c>
      <c r="BB345" s="36">
        <v>51</v>
      </c>
      <c r="BC345" s="36">
        <v>46</v>
      </c>
      <c r="BD345" s="36">
        <f>BC345+BB345+BA345+AZ345</f>
        <v>187</v>
      </c>
      <c r="BE345" s="36">
        <v>44</v>
      </c>
      <c r="BF345" s="36">
        <v>38</v>
      </c>
      <c r="BG345" s="36">
        <v>31</v>
      </c>
      <c r="BH345" s="36">
        <v>34</v>
      </c>
      <c r="BI345" s="36">
        <f>SUM(BE345:BH345)</f>
        <v>147</v>
      </c>
      <c r="BJ345" s="36">
        <v>32</v>
      </c>
      <c r="BK345" s="36">
        <v>29</v>
      </c>
      <c r="BL345" s="36">
        <v>27</v>
      </c>
      <c r="BM345" s="36">
        <v>24</v>
      </c>
      <c r="BN345" s="36">
        <f>SUM(BJ345:BM345)</f>
        <v>112</v>
      </c>
      <c r="BO345" s="36">
        <v>0</v>
      </c>
      <c r="BP345" s="36"/>
      <c r="BQ345" s="36"/>
      <c r="BR345" s="36"/>
      <c r="BS345" s="36"/>
      <c r="BT345" s="36"/>
      <c r="BU345" s="36"/>
      <c r="BV345" s="36"/>
      <c r="BW345" s="36"/>
      <c r="BX345" s="36"/>
      <c r="BY345" s="36"/>
      <c r="BZ345" s="36"/>
      <c r="CA345" s="36"/>
      <c r="CB345" s="36"/>
      <c r="CC345" s="36"/>
      <c r="CD345" s="36"/>
      <c r="CE345" s="36"/>
      <c r="CF345" s="36"/>
      <c r="CG345" s="36"/>
      <c r="CH345" s="36"/>
      <c r="CI345" s="36"/>
      <c r="CJ345" s="36"/>
      <c r="CK345" s="36"/>
      <c r="CL345" s="36"/>
      <c r="CM345" s="36"/>
      <c r="CN345" s="36"/>
      <c r="CO345" s="36"/>
      <c r="CP345" s="36"/>
      <c r="CQ345" s="36"/>
      <c r="CR345" s="36"/>
      <c r="CS345" s="36"/>
      <c r="CT345" s="36"/>
      <c r="CU345" s="36"/>
      <c r="CV345" s="36"/>
      <c r="CW345" s="36"/>
      <c r="CX345" s="36"/>
      <c r="CY345" s="36"/>
      <c r="CZ345" s="36"/>
      <c r="DA345" s="36"/>
      <c r="DB345" s="36"/>
      <c r="DC345" s="36"/>
      <c r="DD345" s="36"/>
      <c r="DE345" s="36"/>
      <c r="DF345" s="36"/>
      <c r="DG345" s="36"/>
      <c r="DH345" s="36"/>
      <c r="DI345" s="36"/>
      <c r="DJ345" s="36"/>
      <c r="DK345" s="36"/>
      <c r="DL345" s="183"/>
      <c r="DM345" s="183"/>
      <c r="DN345" s="183"/>
      <c r="DO345" s="183"/>
      <c r="DP345" s="183"/>
    </row>
    <row r="346" spans="1:120" hidden="1" x14ac:dyDescent="0.2">
      <c r="A346" s="116" t="s">
        <v>232</v>
      </c>
      <c r="B346" s="39">
        <f t="shared" ref="B346:U346" si="286">B345+B344</f>
        <v>42.570522164108723</v>
      </c>
      <c r="C346" s="39">
        <f t="shared" si="286"/>
        <v>42.570522164108723</v>
      </c>
      <c r="D346" s="39">
        <f t="shared" si="286"/>
        <v>55.045871559633021</v>
      </c>
      <c r="E346" s="39">
        <f t="shared" si="286"/>
        <v>58.160331474025099</v>
      </c>
      <c r="F346" s="39">
        <f t="shared" si="286"/>
        <v>198.34724736187556</v>
      </c>
      <c r="G346" s="39">
        <f t="shared" si="286"/>
        <v>69</v>
      </c>
      <c r="H346" s="39">
        <f t="shared" si="286"/>
        <v>54</v>
      </c>
      <c r="I346" s="39">
        <f t="shared" si="286"/>
        <v>76</v>
      </c>
      <c r="J346" s="39">
        <f t="shared" si="286"/>
        <v>88</v>
      </c>
      <c r="K346" s="39">
        <f t="shared" si="286"/>
        <v>287</v>
      </c>
      <c r="L346" s="39">
        <f t="shared" si="286"/>
        <v>78</v>
      </c>
      <c r="M346" s="39">
        <f t="shared" si="286"/>
        <v>50</v>
      </c>
      <c r="N346" s="39">
        <f t="shared" si="286"/>
        <v>102</v>
      </c>
      <c r="O346" s="39">
        <f t="shared" si="286"/>
        <v>94</v>
      </c>
      <c r="P346" s="39">
        <f t="shared" si="286"/>
        <v>324</v>
      </c>
      <c r="Q346" s="39">
        <f t="shared" si="286"/>
        <v>56</v>
      </c>
      <c r="R346" s="39">
        <f t="shared" si="286"/>
        <v>79</v>
      </c>
      <c r="S346" s="39">
        <f t="shared" si="286"/>
        <v>84</v>
      </c>
      <c r="T346" s="39">
        <f t="shared" si="286"/>
        <v>92</v>
      </c>
      <c r="U346" s="39">
        <f t="shared" si="286"/>
        <v>311</v>
      </c>
      <c r="V346" s="39">
        <f>V345+V344+1</f>
        <v>79</v>
      </c>
      <c r="W346" s="39">
        <f>W345+W344+1</f>
        <v>85</v>
      </c>
      <c r="X346" s="39">
        <f>X345+X344+1</f>
        <v>93</v>
      </c>
      <c r="Y346" s="39">
        <f>Y345+Y344+1</f>
        <v>95</v>
      </c>
      <c r="Z346" s="39">
        <f>Z345+Z344</f>
        <v>348</v>
      </c>
      <c r="AA346" s="39">
        <f>AA345+AA344+1</f>
        <v>94</v>
      </c>
      <c r="AB346" s="39">
        <f>AB345+AB344+1</f>
        <v>98</v>
      </c>
      <c r="AC346" s="39">
        <f t="shared" ref="AC346:BD346" si="287">AC345+AC344</f>
        <v>105</v>
      </c>
      <c r="AD346" s="39">
        <f t="shared" si="287"/>
        <v>111</v>
      </c>
      <c r="AE346" s="39">
        <f t="shared" si="287"/>
        <v>406</v>
      </c>
      <c r="AF346" s="39">
        <f t="shared" si="287"/>
        <v>108</v>
      </c>
      <c r="AG346" s="39">
        <f t="shared" si="287"/>
        <v>109</v>
      </c>
      <c r="AH346" s="39">
        <f t="shared" si="287"/>
        <v>125</v>
      </c>
      <c r="AI346" s="39">
        <f t="shared" si="287"/>
        <v>126</v>
      </c>
      <c r="AJ346" s="39">
        <f t="shared" si="287"/>
        <v>468</v>
      </c>
      <c r="AK346" s="39">
        <f t="shared" si="287"/>
        <v>122</v>
      </c>
      <c r="AL346" s="39">
        <f t="shared" si="287"/>
        <v>131</v>
      </c>
      <c r="AM346" s="39">
        <f t="shared" si="287"/>
        <v>136</v>
      </c>
      <c r="AN346" s="39">
        <f t="shared" si="287"/>
        <v>141</v>
      </c>
      <c r="AO346" s="39">
        <f t="shared" si="287"/>
        <v>530</v>
      </c>
      <c r="AP346" s="39">
        <f t="shared" si="287"/>
        <v>133</v>
      </c>
      <c r="AQ346" s="39">
        <f t="shared" si="287"/>
        <v>141</v>
      </c>
      <c r="AR346" s="39">
        <f t="shared" si="287"/>
        <v>144</v>
      </c>
      <c r="AS346" s="39">
        <f t="shared" si="287"/>
        <v>156</v>
      </c>
      <c r="AT346" s="39">
        <f t="shared" si="287"/>
        <v>574</v>
      </c>
      <c r="AU346" s="39">
        <f t="shared" si="287"/>
        <v>135</v>
      </c>
      <c r="AV346" s="39">
        <f t="shared" si="287"/>
        <v>133</v>
      </c>
      <c r="AW346" s="39">
        <f t="shared" si="287"/>
        <v>133</v>
      </c>
      <c r="AX346" s="39">
        <f t="shared" si="287"/>
        <v>149</v>
      </c>
      <c r="AY346" s="39">
        <f t="shared" si="287"/>
        <v>550</v>
      </c>
      <c r="AZ346" s="39">
        <f t="shared" si="287"/>
        <v>173</v>
      </c>
      <c r="BA346" s="39">
        <f t="shared" si="287"/>
        <v>131</v>
      </c>
      <c r="BB346" s="39">
        <f t="shared" si="287"/>
        <v>156</v>
      </c>
      <c r="BC346" s="39">
        <f t="shared" si="287"/>
        <v>178</v>
      </c>
      <c r="BD346" s="39">
        <f t="shared" si="287"/>
        <v>638</v>
      </c>
      <c r="BE346" s="39">
        <f>BE344+BE345</f>
        <v>156</v>
      </c>
      <c r="BF346" s="39">
        <f>BF344+BF345</f>
        <v>153</v>
      </c>
      <c r="BG346" s="39">
        <f>BG344+BG345</f>
        <v>167</v>
      </c>
      <c r="BH346" s="39">
        <f>BH344+BH345</f>
        <v>162</v>
      </c>
      <c r="BI346" s="39">
        <f t="shared" ref="BI346:BO346" si="288">BI345+BI344</f>
        <v>638</v>
      </c>
      <c r="BJ346" s="39">
        <f t="shared" si="288"/>
        <v>41</v>
      </c>
      <c r="BK346" s="39">
        <f t="shared" si="288"/>
        <v>43</v>
      </c>
      <c r="BL346" s="39">
        <f t="shared" si="288"/>
        <v>41</v>
      </c>
      <c r="BM346" s="39">
        <f t="shared" si="288"/>
        <v>25</v>
      </c>
      <c r="BN346" s="39">
        <f t="shared" si="288"/>
        <v>150</v>
      </c>
      <c r="BO346" s="39">
        <f t="shared" si="288"/>
        <v>0</v>
      </c>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187"/>
      <c r="DM346" s="187"/>
      <c r="DN346" s="187"/>
      <c r="DO346" s="187"/>
      <c r="DP346" s="187"/>
    </row>
    <row r="347" spans="1:120" hidden="1" x14ac:dyDescent="0.2">
      <c r="A347" s="68" t="s">
        <v>54</v>
      </c>
      <c r="G347" s="76">
        <f t="shared" ref="G347:BM349" si="289">G344/B344-1</f>
        <v>0.24499295065458204</v>
      </c>
      <c r="H347" s="76">
        <f t="shared" si="289"/>
        <v>-0.13085397784491448</v>
      </c>
      <c r="I347" s="76">
        <f t="shared" si="289"/>
        <v>3.5500000000000087E-2</v>
      </c>
      <c r="J347" s="76">
        <f t="shared" si="289"/>
        <v>0.72626666666666662</v>
      </c>
      <c r="K347" s="76">
        <f t="shared" si="289"/>
        <v>0.19381428571428572</v>
      </c>
      <c r="L347" s="76">
        <f t="shared" si="289"/>
        <v>9.4339622641509413E-2</v>
      </c>
      <c r="M347" s="76">
        <f t="shared" si="289"/>
        <v>-0.29729729729729726</v>
      </c>
      <c r="N347" s="76">
        <f t="shared" si="289"/>
        <v>0.31578947368421062</v>
      </c>
      <c r="O347" s="76">
        <f t="shared" si="289"/>
        <v>-1.5151515151515138E-2</v>
      </c>
      <c r="P347" s="76">
        <f t="shared" si="289"/>
        <v>5.164319248826299E-2</v>
      </c>
      <c r="Q347" s="90">
        <f t="shared" si="289"/>
        <v>-0.48275862068965514</v>
      </c>
      <c r="R347" s="90">
        <f t="shared" si="289"/>
        <v>0.96153846153846145</v>
      </c>
      <c r="S347" s="90">
        <f t="shared" si="289"/>
        <v>-0.24</v>
      </c>
      <c r="T347" s="90">
        <f t="shared" si="289"/>
        <v>-6.1538461538461542E-2</v>
      </c>
      <c r="U347" s="76">
        <f t="shared" si="289"/>
        <v>-0.1116071428571429</v>
      </c>
      <c r="V347" s="90">
        <f t="shared" si="289"/>
        <v>0.60000000000000009</v>
      </c>
      <c r="W347" s="90">
        <f t="shared" si="289"/>
        <v>3.9215686274509887E-2</v>
      </c>
      <c r="X347" s="90">
        <f t="shared" si="289"/>
        <v>8.7719298245614086E-2</v>
      </c>
      <c r="Y347" s="90">
        <f t="shared" si="289"/>
        <v>0</v>
      </c>
      <c r="Z347" s="76">
        <f t="shared" si="289"/>
        <v>0.12562814070351758</v>
      </c>
      <c r="AA347" s="90">
        <f t="shared" si="289"/>
        <v>0.20833333333333326</v>
      </c>
      <c r="AB347" s="90">
        <f t="shared" si="289"/>
        <v>0.20754716981132071</v>
      </c>
      <c r="AC347" s="90">
        <f t="shared" si="289"/>
        <v>0.12903225806451624</v>
      </c>
      <c r="AD347" s="90">
        <f t="shared" si="289"/>
        <v>0.22950819672131151</v>
      </c>
      <c r="AE347" s="76">
        <f t="shared" si="289"/>
        <v>0.19196428571428581</v>
      </c>
      <c r="AF347" s="90">
        <f t="shared" si="289"/>
        <v>0.22413793103448265</v>
      </c>
      <c r="AG347" s="90">
        <f t="shared" si="289"/>
        <v>0.140625</v>
      </c>
      <c r="AH347" s="90">
        <f t="shared" si="289"/>
        <v>0.22857142857142865</v>
      </c>
      <c r="AI347" s="90">
        <f t="shared" si="289"/>
        <v>0.1333333333333333</v>
      </c>
      <c r="AJ347" s="76">
        <f t="shared" si="289"/>
        <v>0.1797752808988764</v>
      </c>
      <c r="AK347" s="90">
        <f t="shared" si="289"/>
        <v>0.11267605633802824</v>
      </c>
      <c r="AL347" s="90">
        <f t="shared" si="289"/>
        <v>0.17808219178082196</v>
      </c>
      <c r="AM347" s="90">
        <f t="shared" si="289"/>
        <v>8.1395348837209225E-2</v>
      </c>
      <c r="AN347" s="90">
        <f t="shared" si="289"/>
        <v>0.14117647058823524</v>
      </c>
      <c r="AO347" s="76">
        <f t="shared" si="289"/>
        <v>0.12698412698412698</v>
      </c>
      <c r="AP347" s="90">
        <f t="shared" si="289"/>
        <v>0.16455696202531644</v>
      </c>
      <c r="AQ347" s="90">
        <f t="shared" si="289"/>
        <v>0.15116279069767447</v>
      </c>
      <c r="AR347" s="90">
        <f t="shared" si="289"/>
        <v>7.5268817204301008E-2</v>
      </c>
      <c r="AS347" s="90">
        <f t="shared" si="289"/>
        <v>0.10309278350515472</v>
      </c>
      <c r="AT347" s="76">
        <f t="shared" si="289"/>
        <v>0.12112676056338034</v>
      </c>
      <c r="AU347" s="90">
        <f t="shared" si="289"/>
        <v>-9.7826086956521729E-2</v>
      </c>
      <c r="AV347" s="90">
        <f t="shared" si="289"/>
        <v>-6.0606060606060552E-2</v>
      </c>
      <c r="AW347" s="90">
        <f t="shared" si="289"/>
        <v>-5.0000000000000044E-2</v>
      </c>
      <c r="AX347" s="90">
        <f t="shared" si="289"/>
        <v>-9.3457943925233655E-3</v>
      </c>
      <c r="AY347" s="76">
        <f t="shared" si="289"/>
        <v>-5.2763819095477338E-2</v>
      </c>
      <c r="AZ347" s="90">
        <f t="shared" si="289"/>
        <v>0.59036144578313254</v>
      </c>
      <c r="BA347" s="90">
        <f t="shared" si="289"/>
        <v>-0.11827956989247312</v>
      </c>
      <c r="BB347" s="90">
        <f t="shared" si="289"/>
        <v>0.10526315789473695</v>
      </c>
      <c r="BC347" s="90">
        <f t="shared" si="289"/>
        <v>0.24528301886792447</v>
      </c>
      <c r="BD347" s="76">
        <f t="shared" si="289"/>
        <v>0.19628647214854111</v>
      </c>
      <c r="BE347" s="76">
        <f t="shared" si="289"/>
        <v>-0.15151515151515149</v>
      </c>
      <c r="BF347" s="76">
        <f t="shared" si="289"/>
        <v>0.40243902439024382</v>
      </c>
      <c r="BG347" s="76">
        <f t="shared" si="289"/>
        <v>0.2952380952380953</v>
      </c>
      <c r="BH347" s="76">
        <f t="shared" si="289"/>
        <v>-3.0303030303030276E-2</v>
      </c>
      <c r="BI347" s="90">
        <f t="shared" si="289"/>
        <v>8.8691796008869117E-2</v>
      </c>
      <c r="BJ347" s="76">
        <f t="shared" si="289"/>
        <v>-0.9196428571428571</v>
      </c>
      <c r="BK347" s="76">
        <f t="shared" si="289"/>
        <v>-0.87826086956521743</v>
      </c>
      <c r="BL347" s="76">
        <f t="shared" si="289"/>
        <v>-0.8970588235294118</v>
      </c>
      <c r="BM347" s="76">
        <f t="shared" si="289"/>
        <v>-0.9921875</v>
      </c>
      <c r="BN347" s="90">
        <f>BN344/BI344-1</f>
        <v>-0.92260692464358451</v>
      </c>
      <c r="BO347" s="76"/>
      <c r="BP347" s="76"/>
      <c r="BQ347" s="76"/>
      <c r="BR347" s="76"/>
      <c r="BS347" s="90"/>
      <c r="BT347" s="76"/>
      <c r="BU347" s="76"/>
      <c r="BV347" s="76"/>
      <c r="BW347" s="76"/>
      <c r="BX347" s="90"/>
      <c r="BY347" s="90"/>
      <c r="BZ347" s="90"/>
      <c r="CA347" s="90"/>
      <c r="CB347" s="90"/>
      <c r="CC347" s="90"/>
      <c r="CD347" s="90"/>
      <c r="CE347" s="90"/>
      <c r="CF347" s="90"/>
      <c r="CG347" s="90"/>
      <c r="CH347" s="90"/>
      <c r="CI347" s="90"/>
      <c r="CJ347" s="90"/>
      <c r="CK347" s="90"/>
      <c r="CL347" s="90"/>
      <c r="CM347" s="90"/>
      <c r="CN347" s="90"/>
      <c r="CO347" s="90"/>
      <c r="CP347" s="90"/>
      <c r="CQ347" s="90"/>
      <c r="CR347" s="90"/>
      <c r="CS347" s="90"/>
      <c r="CT347" s="90"/>
      <c r="CU347" s="90"/>
      <c r="CV347" s="90"/>
      <c r="CW347" s="90"/>
      <c r="CX347" s="90"/>
      <c r="CY347" s="90"/>
      <c r="CZ347" s="90"/>
      <c r="DA347" s="90"/>
      <c r="DB347" s="90"/>
      <c r="DC347" s="90"/>
      <c r="DD347" s="90"/>
      <c r="DE347" s="90"/>
      <c r="DF347" s="90"/>
      <c r="DG347" s="90"/>
      <c r="DH347" s="90"/>
      <c r="DI347" s="90"/>
      <c r="DJ347" s="90"/>
      <c r="DK347" s="90"/>
      <c r="DL347" s="188"/>
      <c r="DM347" s="188"/>
      <c r="DN347" s="188"/>
      <c r="DO347" s="188"/>
      <c r="DP347" s="188"/>
    </row>
    <row r="348" spans="1:120" hidden="1" x14ac:dyDescent="0.2">
      <c r="A348" s="68" t="s">
        <v>55</v>
      </c>
      <c r="G348" s="76"/>
      <c r="H348" s="76"/>
      <c r="I348" s="76"/>
      <c r="J348" s="76">
        <f t="shared" si="289"/>
        <v>0.10399999999999987</v>
      </c>
      <c r="K348" s="76">
        <f t="shared" si="289"/>
        <v>2.7134545454545456</v>
      </c>
      <c r="L348" s="76">
        <f t="shared" si="289"/>
        <v>0.25</v>
      </c>
      <c r="M348" s="76">
        <f t="shared" si="289"/>
        <v>0.41176470588235303</v>
      </c>
      <c r="N348" s="76">
        <f t="shared" si="289"/>
        <v>0.42105263157894735</v>
      </c>
      <c r="O348" s="76">
        <f t="shared" si="289"/>
        <v>0.31818181818181812</v>
      </c>
      <c r="P348" s="76">
        <f t="shared" si="289"/>
        <v>0.35135135135135132</v>
      </c>
      <c r="Q348" s="90">
        <f t="shared" si="289"/>
        <v>0.30000000000000004</v>
      </c>
      <c r="R348" s="90">
        <f t="shared" si="289"/>
        <v>0.16666666666666674</v>
      </c>
      <c r="S348" s="90">
        <f t="shared" si="289"/>
        <v>0</v>
      </c>
      <c r="T348" s="90">
        <f t="shared" si="289"/>
        <v>6.8965517241379226E-2</v>
      </c>
      <c r="U348" s="76">
        <f t="shared" si="289"/>
        <v>0.12000000000000011</v>
      </c>
      <c r="V348" s="90">
        <f t="shared" si="289"/>
        <v>0.15384615384615374</v>
      </c>
      <c r="W348" s="90">
        <f t="shared" si="289"/>
        <v>0.10714285714285721</v>
      </c>
      <c r="X348" s="90">
        <f t="shared" si="289"/>
        <v>0.11111111111111116</v>
      </c>
      <c r="Y348" s="90">
        <f t="shared" si="289"/>
        <v>6.4516129032258007E-2</v>
      </c>
      <c r="Z348" s="76">
        <f t="shared" si="289"/>
        <v>0.10714285714285721</v>
      </c>
      <c r="AA348" s="90">
        <f t="shared" si="289"/>
        <v>0.16666666666666674</v>
      </c>
      <c r="AB348" s="90">
        <f t="shared" si="289"/>
        <v>6.4516129032258007E-2</v>
      </c>
      <c r="AC348" s="90">
        <f t="shared" si="289"/>
        <v>0.16666666666666674</v>
      </c>
      <c r="AD348" s="90">
        <f t="shared" si="289"/>
        <v>9.0909090909090828E-2</v>
      </c>
      <c r="AE348" s="76">
        <f t="shared" si="289"/>
        <v>0.12096774193548376</v>
      </c>
      <c r="AF348" s="90">
        <f t="shared" si="289"/>
        <v>5.7142857142857162E-2</v>
      </c>
      <c r="AG348" s="90">
        <f t="shared" si="289"/>
        <v>9.0909090909090828E-2</v>
      </c>
      <c r="AH348" s="90">
        <f t="shared" si="289"/>
        <v>0.11428571428571432</v>
      </c>
      <c r="AI348" s="90">
        <f t="shared" si="289"/>
        <v>0.13888888888888884</v>
      </c>
      <c r="AJ348" s="76">
        <f t="shared" si="289"/>
        <v>0.10071942446043169</v>
      </c>
      <c r="AK348" s="90">
        <f t="shared" si="289"/>
        <v>0.16216216216216206</v>
      </c>
      <c r="AL348" s="90">
        <f t="shared" si="289"/>
        <v>0.25</v>
      </c>
      <c r="AM348" s="90">
        <f t="shared" si="289"/>
        <v>0.10256410256410264</v>
      </c>
      <c r="AN348" s="90">
        <f t="shared" si="289"/>
        <v>7.3170731707317138E-2</v>
      </c>
      <c r="AO348" s="76">
        <f t="shared" si="289"/>
        <v>0.14379084967320255</v>
      </c>
      <c r="AP348" s="90">
        <f t="shared" si="289"/>
        <v>-4.6511627906976716E-2</v>
      </c>
      <c r="AQ348" s="90">
        <f t="shared" si="289"/>
        <v>-6.6666666666666652E-2</v>
      </c>
      <c r="AR348" s="90">
        <f t="shared" si="289"/>
        <v>2.3255813953488413E-2</v>
      </c>
      <c r="AS348" s="90">
        <f t="shared" si="289"/>
        <v>0.11363636363636354</v>
      </c>
      <c r="AT348" s="76">
        <f t="shared" si="289"/>
        <v>5.7142857142857828E-3</v>
      </c>
      <c r="AU348" s="90">
        <f t="shared" si="289"/>
        <v>0.26829268292682928</v>
      </c>
      <c r="AV348" s="90">
        <f t="shared" si="289"/>
        <v>-4.7619047619047672E-2</v>
      </c>
      <c r="AW348" s="90">
        <f t="shared" si="289"/>
        <v>-0.13636363636363635</v>
      </c>
      <c r="AX348" s="90">
        <f t="shared" si="289"/>
        <v>-0.12244897959183676</v>
      </c>
      <c r="AY348" s="76">
        <f t="shared" si="289"/>
        <v>-1.7045454545454586E-2</v>
      </c>
      <c r="AZ348" s="90">
        <f t="shared" si="289"/>
        <v>-0.21153846153846156</v>
      </c>
      <c r="BA348" s="90">
        <f t="shared" si="289"/>
        <v>0.22500000000000009</v>
      </c>
      <c r="BB348" s="90">
        <f t="shared" si="289"/>
        <v>0.34210526315789469</v>
      </c>
      <c r="BC348" s="90">
        <f t="shared" si="289"/>
        <v>6.9767441860465018E-2</v>
      </c>
      <c r="BD348" s="76">
        <f t="shared" si="289"/>
        <v>8.092485549132955E-2</v>
      </c>
      <c r="BE348" s="76">
        <f t="shared" si="289"/>
        <v>7.3170731707317138E-2</v>
      </c>
      <c r="BF348" s="76">
        <f t="shared" si="289"/>
        <v>-0.22448979591836737</v>
      </c>
      <c r="BG348" s="76">
        <f t="shared" si="289"/>
        <v>-0.39215686274509809</v>
      </c>
      <c r="BH348" s="76">
        <f t="shared" si="289"/>
        <v>-0.26086956521739135</v>
      </c>
      <c r="BI348" s="90">
        <f t="shared" si="289"/>
        <v>-0.21390374331550799</v>
      </c>
      <c r="BJ348" s="76">
        <f t="shared" si="289"/>
        <v>-0.27272727272727271</v>
      </c>
      <c r="BK348" s="76">
        <f t="shared" si="289"/>
        <v>-0.23684210526315785</v>
      </c>
      <c r="BL348" s="76">
        <f t="shared" si="289"/>
        <v>-0.12903225806451613</v>
      </c>
      <c r="BM348" s="76">
        <f t="shared" si="289"/>
        <v>-0.29411764705882348</v>
      </c>
      <c r="BN348" s="90">
        <f>BN345/BI345-1</f>
        <v>-0.23809523809523814</v>
      </c>
      <c r="BO348" s="76"/>
      <c r="BP348" s="76"/>
      <c r="BQ348" s="76"/>
      <c r="BR348" s="76"/>
      <c r="BS348" s="90"/>
      <c r="BT348" s="76"/>
      <c r="BU348" s="76"/>
      <c r="BV348" s="76"/>
      <c r="BW348" s="76"/>
      <c r="BX348" s="90"/>
      <c r="BY348" s="90"/>
      <c r="BZ348" s="90"/>
      <c r="CA348" s="90"/>
      <c r="CB348" s="90"/>
      <c r="CC348" s="90"/>
      <c r="CD348" s="90"/>
      <c r="CE348" s="90"/>
      <c r="CF348" s="90"/>
      <c r="CG348" s="90"/>
      <c r="CH348" s="90"/>
      <c r="CI348" s="90"/>
      <c r="CJ348" s="90"/>
      <c r="CK348" s="90"/>
      <c r="CL348" s="90"/>
      <c r="CM348" s="90"/>
      <c r="CN348" s="90"/>
      <c r="CO348" s="90"/>
      <c r="CP348" s="90"/>
      <c r="CQ348" s="90"/>
      <c r="CR348" s="90"/>
      <c r="CS348" s="90"/>
      <c r="CT348" s="90"/>
      <c r="CU348" s="90"/>
      <c r="CV348" s="90"/>
      <c r="CW348" s="90"/>
      <c r="CX348" s="90"/>
      <c r="CY348" s="90"/>
      <c r="CZ348" s="90"/>
      <c r="DA348" s="90"/>
      <c r="DB348" s="90"/>
      <c r="DC348" s="90"/>
      <c r="DD348" s="90"/>
      <c r="DE348" s="90"/>
      <c r="DF348" s="90"/>
      <c r="DG348" s="90"/>
      <c r="DH348" s="90"/>
      <c r="DI348" s="90"/>
      <c r="DJ348" s="90"/>
      <c r="DK348" s="90"/>
      <c r="DL348" s="188"/>
      <c r="DM348" s="188"/>
      <c r="DN348" s="188"/>
      <c r="DO348" s="188"/>
      <c r="DP348" s="188"/>
    </row>
    <row r="349" spans="1:120" hidden="1" x14ac:dyDescent="0.2">
      <c r="A349" s="78" t="s">
        <v>56</v>
      </c>
      <c r="B349" s="79"/>
      <c r="C349" s="79"/>
      <c r="D349" s="79"/>
      <c r="E349" s="79"/>
      <c r="F349" s="79"/>
      <c r="G349" s="80">
        <f>G346/B346-1</f>
        <v>0.62083987915407834</v>
      </c>
      <c r="H349" s="80">
        <f>H346/C346-1</f>
        <v>0.26848338368580049</v>
      </c>
      <c r="I349" s="80">
        <f>I346/D346-1</f>
        <v>0.38066666666666693</v>
      </c>
      <c r="J349" s="80">
        <f t="shared" si="289"/>
        <v>0.51305877682800949</v>
      </c>
      <c r="K349" s="80">
        <f t="shared" si="289"/>
        <v>0.44695731257808435</v>
      </c>
      <c r="L349" s="80">
        <f t="shared" si="289"/>
        <v>0.13043478260869557</v>
      </c>
      <c r="M349" s="80">
        <f t="shared" si="289"/>
        <v>-7.407407407407407E-2</v>
      </c>
      <c r="N349" s="80">
        <f t="shared" si="289"/>
        <v>0.34210526315789469</v>
      </c>
      <c r="O349" s="80">
        <f t="shared" si="289"/>
        <v>6.8181818181818121E-2</v>
      </c>
      <c r="P349" s="80">
        <f t="shared" si="289"/>
        <v>0.12891986062717775</v>
      </c>
      <c r="Q349" s="80">
        <f t="shared" si="289"/>
        <v>-0.28205128205128205</v>
      </c>
      <c r="R349" s="80">
        <f t="shared" si="289"/>
        <v>0.58000000000000007</v>
      </c>
      <c r="S349" s="80">
        <f t="shared" si="289"/>
        <v>-0.17647058823529416</v>
      </c>
      <c r="T349" s="80">
        <f t="shared" si="289"/>
        <v>-2.1276595744680882E-2</v>
      </c>
      <c r="U349" s="80">
        <f t="shared" si="289"/>
        <v>-4.0123456790123413E-2</v>
      </c>
      <c r="V349" s="80">
        <f t="shared" si="289"/>
        <v>0.41071428571428581</v>
      </c>
      <c r="W349" s="80">
        <f t="shared" si="289"/>
        <v>7.5949367088607556E-2</v>
      </c>
      <c r="X349" s="80">
        <f t="shared" si="289"/>
        <v>0.10714285714285721</v>
      </c>
      <c r="Y349" s="80">
        <f t="shared" si="289"/>
        <v>3.2608695652173836E-2</v>
      </c>
      <c r="Z349" s="80">
        <f t="shared" si="289"/>
        <v>0.11897106109324751</v>
      </c>
      <c r="AA349" s="80">
        <f t="shared" si="289"/>
        <v>0.18987341772151889</v>
      </c>
      <c r="AB349" s="80">
        <f t="shared" si="289"/>
        <v>0.15294117647058814</v>
      </c>
      <c r="AC349" s="80">
        <f t="shared" si="289"/>
        <v>0.12903225806451624</v>
      </c>
      <c r="AD349" s="80">
        <f t="shared" si="289"/>
        <v>0.16842105263157903</v>
      </c>
      <c r="AE349" s="80">
        <f t="shared" si="289"/>
        <v>0.16666666666666674</v>
      </c>
      <c r="AF349" s="80">
        <f t="shared" si="289"/>
        <v>0.14893617021276606</v>
      </c>
      <c r="AG349" s="80">
        <f t="shared" si="289"/>
        <v>0.11224489795918369</v>
      </c>
      <c r="AH349" s="80">
        <f t="shared" si="289"/>
        <v>0.19047619047619047</v>
      </c>
      <c r="AI349" s="80">
        <f t="shared" si="289"/>
        <v>0.13513513513513509</v>
      </c>
      <c r="AJ349" s="80">
        <f t="shared" si="289"/>
        <v>0.15270935960591125</v>
      </c>
      <c r="AK349" s="80">
        <f t="shared" si="289"/>
        <v>0.12962962962962954</v>
      </c>
      <c r="AL349" s="80">
        <f t="shared" si="289"/>
        <v>0.201834862385321</v>
      </c>
      <c r="AM349" s="80">
        <f t="shared" si="289"/>
        <v>8.8000000000000078E-2</v>
      </c>
      <c r="AN349" s="80">
        <f t="shared" si="289"/>
        <v>0.11904761904761907</v>
      </c>
      <c r="AO349" s="80">
        <f t="shared" si="289"/>
        <v>0.13247863247863245</v>
      </c>
      <c r="AP349" s="80">
        <f t="shared" si="289"/>
        <v>9.0163934426229497E-2</v>
      </c>
      <c r="AQ349" s="80">
        <f t="shared" si="289"/>
        <v>7.6335877862595325E-2</v>
      </c>
      <c r="AR349" s="80">
        <f t="shared" si="289"/>
        <v>5.8823529411764719E-2</v>
      </c>
      <c r="AS349" s="80">
        <f t="shared" si="289"/>
        <v>0.1063829787234043</v>
      </c>
      <c r="AT349" s="80">
        <f t="shared" si="289"/>
        <v>8.3018867924528283E-2</v>
      </c>
      <c r="AU349" s="80">
        <f t="shared" si="289"/>
        <v>1.5037593984962516E-2</v>
      </c>
      <c r="AV349" s="80">
        <f t="shared" si="289"/>
        <v>-5.673758865248224E-2</v>
      </c>
      <c r="AW349" s="80">
        <f t="shared" si="289"/>
        <v>-7.638888888888884E-2</v>
      </c>
      <c r="AX349" s="80">
        <f t="shared" si="289"/>
        <v>-4.4871794871794823E-2</v>
      </c>
      <c r="AY349" s="80">
        <f t="shared" si="289"/>
        <v>-4.181184668989546E-2</v>
      </c>
      <c r="AZ349" s="80">
        <f t="shared" si="289"/>
        <v>0.28148148148148144</v>
      </c>
      <c r="BA349" s="80">
        <f t="shared" si="289"/>
        <v>-1.5037593984962405E-2</v>
      </c>
      <c r="BB349" s="80">
        <f t="shared" si="289"/>
        <v>0.1729323308270676</v>
      </c>
      <c r="BC349" s="80">
        <f t="shared" si="289"/>
        <v>0.19463087248322153</v>
      </c>
      <c r="BD349" s="80">
        <f t="shared" si="289"/>
        <v>0.15999999999999992</v>
      </c>
      <c r="BE349" s="80">
        <f t="shared" si="289"/>
        <v>-9.8265895953757232E-2</v>
      </c>
      <c r="BF349" s="80">
        <f t="shared" si="289"/>
        <v>0.16793893129770998</v>
      </c>
      <c r="BG349" s="80">
        <f>BG346/BB346-1</f>
        <v>7.0512820512820484E-2</v>
      </c>
      <c r="BH349" s="80">
        <f>BH346/BC346-1</f>
        <v>-8.98876404494382E-2</v>
      </c>
      <c r="BI349" s="80">
        <f t="shared" si="289"/>
        <v>0</v>
      </c>
      <c r="BJ349" s="80">
        <f t="shared" si="289"/>
        <v>-0.73717948717948723</v>
      </c>
      <c r="BK349" s="91">
        <f>BK346/BF346-1</f>
        <v>-0.71895424836601307</v>
      </c>
      <c r="BL349" s="91">
        <f>BL346/BG346-1</f>
        <v>-0.75449101796407181</v>
      </c>
      <c r="BM349" s="91">
        <f>BM346/BH346-1</f>
        <v>-0.84567901234567899</v>
      </c>
      <c r="BN349" s="80">
        <f>BN346/BI346-1</f>
        <v>-0.76489028213166144</v>
      </c>
      <c r="BO349" s="80">
        <f>BO346/BJ346-1</f>
        <v>-1</v>
      </c>
      <c r="BP349" s="91"/>
      <c r="BQ349" s="91"/>
      <c r="BR349" s="91"/>
      <c r="BS349" s="80"/>
      <c r="BT349" s="80"/>
      <c r="BU349" s="91"/>
      <c r="BV349" s="91"/>
      <c r="BW349" s="91"/>
      <c r="BX349" s="80"/>
      <c r="BY349" s="80"/>
      <c r="BZ349" s="80"/>
      <c r="CA349" s="80"/>
      <c r="CB349" s="80"/>
      <c r="CC349" s="80"/>
      <c r="CD349" s="80"/>
      <c r="CE349" s="80"/>
      <c r="CF349" s="80"/>
      <c r="CG349" s="80"/>
      <c r="CH349" s="80"/>
      <c r="CI349" s="80"/>
      <c r="CJ349" s="80"/>
      <c r="CK349" s="80"/>
      <c r="CL349" s="80"/>
      <c r="CM349" s="80"/>
      <c r="CN349" s="80"/>
      <c r="CO349" s="80"/>
      <c r="CP349" s="80"/>
      <c r="CQ349" s="80"/>
      <c r="CR349" s="80"/>
      <c r="CS349" s="80"/>
      <c r="CT349" s="80"/>
      <c r="CU349" s="80"/>
      <c r="CV349" s="80"/>
      <c r="CW349" s="80"/>
      <c r="CX349" s="80"/>
      <c r="CY349" s="80"/>
      <c r="CZ349" s="80"/>
      <c r="DA349" s="80"/>
      <c r="DB349" s="80"/>
      <c r="DC349" s="80"/>
      <c r="DD349" s="80"/>
      <c r="DE349" s="80"/>
      <c r="DF349" s="80"/>
      <c r="DG349" s="80"/>
      <c r="DH349" s="80"/>
      <c r="DI349" s="80"/>
      <c r="DJ349" s="80"/>
      <c r="DK349" s="80"/>
      <c r="DL349" s="189"/>
      <c r="DM349" s="189"/>
      <c r="DN349" s="189"/>
      <c r="DO349" s="189"/>
      <c r="DP349" s="189"/>
    </row>
    <row r="350" spans="1:120" hidden="1" x14ac:dyDescent="0.2">
      <c r="A350" s="162" t="s">
        <v>233</v>
      </c>
      <c r="B350" s="36">
        <v>47.5884</v>
      </c>
      <c r="C350" s="36">
        <v>47.588000000000001</v>
      </c>
      <c r="D350" s="86">
        <v>39.823</v>
      </c>
      <c r="E350" s="36">
        <v>55.86</v>
      </c>
      <c r="F350" s="36">
        <v>190.86206896551724</v>
      </c>
      <c r="G350" s="36">
        <v>33</v>
      </c>
      <c r="H350" s="36">
        <v>56</v>
      </c>
      <c r="I350" s="86">
        <v>45</v>
      </c>
      <c r="J350" s="86">
        <v>53</v>
      </c>
      <c r="K350" s="36">
        <f>J350+I350+H350+G350</f>
        <v>187</v>
      </c>
      <c r="L350" s="86">
        <v>44</v>
      </c>
      <c r="M350" s="86">
        <v>51</v>
      </c>
      <c r="N350" s="86">
        <v>50.25</v>
      </c>
      <c r="O350" s="36">
        <v>56.25</v>
      </c>
      <c r="P350" s="36">
        <f>O350+N350+M350+L350</f>
        <v>201.5</v>
      </c>
      <c r="Q350" s="36">
        <v>52</v>
      </c>
      <c r="R350" s="36">
        <v>58</v>
      </c>
      <c r="S350" s="36">
        <v>60</v>
      </c>
      <c r="T350" s="36">
        <v>67</v>
      </c>
      <c r="U350" s="36">
        <f>T350+S350+R350+Q350</f>
        <v>237</v>
      </c>
      <c r="V350" s="36">
        <v>50</v>
      </c>
      <c r="W350" s="36">
        <v>59</v>
      </c>
      <c r="X350" s="36">
        <v>66</v>
      </c>
      <c r="Y350" s="36">
        <v>73</v>
      </c>
      <c r="Z350" s="36">
        <f>Y350+X350+W350+V350</f>
        <v>248</v>
      </c>
      <c r="AA350" s="36">
        <v>57</v>
      </c>
      <c r="AB350" s="36">
        <v>77</v>
      </c>
      <c r="AC350" s="36">
        <v>92</v>
      </c>
      <c r="AD350" s="36">
        <v>80</v>
      </c>
      <c r="AE350" s="36">
        <f>AD350+AC350+AB350+AA350</f>
        <v>306</v>
      </c>
      <c r="AF350" s="36">
        <v>83</v>
      </c>
      <c r="AG350" s="36">
        <v>85</v>
      </c>
      <c r="AH350" s="36">
        <v>86</v>
      </c>
      <c r="AI350" s="36">
        <v>96</v>
      </c>
      <c r="AJ350" s="36">
        <f>AI350+AH350+AG350+AF350</f>
        <v>350</v>
      </c>
      <c r="AK350" s="36">
        <v>81</v>
      </c>
      <c r="AL350" s="36">
        <v>87</v>
      </c>
      <c r="AM350" s="36">
        <v>86</v>
      </c>
      <c r="AN350" s="36">
        <v>37</v>
      </c>
      <c r="AO350" s="36">
        <f>AN350+AM350+AL350+AK350</f>
        <v>291</v>
      </c>
      <c r="AP350" s="36">
        <v>14</v>
      </c>
      <c r="AQ350" s="36">
        <v>11</v>
      </c>
      <c r="AR350" s="36">
        <v>7</v>
      </c>
      <c r="AS350" s="36">
        <v>7</v>
      </c>
      <c r="AT350" s="36">
        <f>AS350+AR350+AQ350+AP350</f>
        <v>39</v>
      </c>
      <c r="AU350" s="36">
        <v>5</v>
      </c>
      <c r="AV350" s="36">
        <v>4</v>
      </c>
      <c r="AW350" s="36">
        <v>5</v>
      </c>
      <c r="AX350" s="36">
        <v>5</v>
      </c>
      <c r="AY350" s="36">
        <f>AX350+AW350+AV350+AU350</f>
        <v>19</v>
      </c>
      <c r="AZ350" s="36">
        <v>4</v>
      </c>
      <c r="BA350" s="36">
        <v>5</v>
      </c>
      <c r="BB350" s="36">
        <v>4</v>
      </c>
      <c r="BC350" s="36">
        <v>4</v>
      </c>
      <c r="BD350" s="36">
        <f>BC350+BB350+BA350+AZ350</f>
        <v>17</v>
      </c>
      <c r="BE350" s="36">
        <v>3</v>
      </c>
      <c r="BF350" s="36">
        <v>4</v>
      </c>
      <c r="BG350" s="36">
        <v>3</v>
      </c>
      <c r="BH350" s="36">
        <v>3</v>
      </c>
      <c r="BI350" s="36">
        <f>SUM(BE350:BH350)</f>
        <v>13</v>
      </c>
      <c r="BJ350" s="36">
        <v>4</v>
      </c>
      <c r="BK350" s="36">
        <v>5</v>
      </c>
      <c r="BL350" s="36">
        <v>5</v>
      </c>
      <c r="BM350" s="36">
        <v>3</v>
      </c>
      <c r="BN350" s="36">
        <f>SUM(BJ350:BM350)</f>
        <v>17</v>
      </c>
      <c r="BO350" s="36">
        <v>1</v>
      </c>
      <c r="BP350" s="36">
        <v>1</v>
      </c>
      <c r="BQ350" s="36">
        <v>1</v>
      </c>
      <c r="BR350" s="36">
        <v>4</v>
      </c>
      <c r="BS350" s="36">
        <f>SUM(BO350:BR350)</f>
        <v>7</v>
      </c>
      <c r="BT350" s="36"/>
      <c r="BU350" s="36"/>
      <c r="BV350" s="36"/>
      <c r="BW350" s="36"/>
      <c r="BX350" s="36"/>
      <c r="BY350" s="36"/>
      <c r="BZ350" s="36"/>
      <c r="CA350" s="36"/>
      <c r="CB350" s="36"/>
      <c r="CC350" s="36"/>
      <c r="CD350" s="36"/>
      <c r="CE350" s="36"/>
      <c r="CF350" s="36"/>
      <c r="CG350" s="36"/>
      <c r="CH350" s="36"/>
      <c r="CI350" s="36"/>
      <c r="CJ350" s="36"/>
      <c r="CK350" s="36"/>
      <c r="CL350" s="36"/>
      <c r="CM350" s="36"/>
      <c r="CN350" s="36"/>
      <c r="CO350" s="36"/>
      <c r="CP350" s="36"/>
      <c r="CQ350" s="36"/>
      <c r="CR350" s="36"/>
      <c r="CS350" s="36"/>
      <c r="CT350" s="36"/>
      <c r="CU350" s="36"/>
      <c r="CV350" s="36"/>
      <c r="CW350" s="36"/>
      <c r="CX350" s="36"/>
      <c r="CY350" s="36"/>
      <c r="CZ350" s="36"/>
      <c r="DA350" s="36"/>
      <c r="DB350" s="36"/>
      <c r="DC350" s="36"/>
      <c r="DD350" s="36"/>
      <c r="DE350" s="36"/>
      <c r="DF350" s="36"/>
      <c r="DG350" s="36"/>
      <c r="DH350" s="36"/>
      <c r="DI350" s="36"/>
      <c r="DJ350" s="36"/>
      <c r="DK350" s="36"/>
      <c r="DL350" s="183"/>
      <c r="DM350" s="183"/>
      <c r="DN350" s="183"/>
      <c r="DO350" s="183"/>
      <c r="DP350" s="183"/>
    </row>
    <row r="351" spans="1:120" hidden="1" x14ac:dyDescent="0.2">
      <c r="A351" s="115" t="s">
        <v>234</v>
      </c>
      <c r="B351" s="36">
        <v>49.749699999999997</v>
      </c>
      <c r="C351" s="36">
        <v>49.749789999999997</v>
      </c>
      <c r="D351" s="86">
        <v>55.04</v>
      </c>
      <c r="E351" s="36">
        <v>64.809384164222863</v>
      </c>
      <c r="F351" s="36">
        <v>219.35483870967741</v>
      </c>
      <c r="G351" s="36">
        <v>53</v>
      </c>
      <c r="H351" s="36">
        <v>58</v>
      </c>
      <c r="I351" s="86">
        <v>61</v>
      </c>
      <c r="J351" s="86">
        <v>65</v>
      </c>
      <c r="K351" s="36">
        <f>J351+I351+H351+G351</f>
        <v>237</v>
      </c>
      <c r="L351" s="86">
        <v>61</v>
      </c>
      <c r="M351" s="86">
        <v>72</v>
      </c>
      <c r="N351" s="86">
        <v>70</v>
      </c>
      <c r="O351" s="36">
        <v>79.75</v>
      </c>
      <c r="P351" s="36">
        <f>O351+N351+M351+L351</f>
        <v>282.75</v>
      </c>
      <c r="Q351" s="36">
        <v>79</v>
      </c>
      <c r="R351" s="36">
        <v>75</v>
      </c>
      <c r="S351" s="36">
        <v>78</v>
      </c>
      <c r="T351" s="36">
        <v>90</v>
      </c>
      <c r="U351" s="36">
        <f>T351+S351+R351+Q351</f>
        <v>322</v>
      </c>
      <c r="V351" s="36">
        <v>90</v>
      </c>
      <c r="W351" s="36">
        <v>94</v>
      </c>
      <c r="X351" s="36">
        <v>91</v>
      </c>
      <c r="Y351" s="36">
        <v>94</v>
      </c>
      <c r="Z351" s="36">
        <f>Y351+X351+W351+V351</f>
        <v>369</v>
      </c>
      <c r="AA351" s="36">
        <v>95</v>
      </c>
      <c r="AB351" s="36">
        <v>98</v>
      </c>
      <c r="AC351" s="36">
        <v>99</v>
      </c>
      <c r="AD351" s="36">
        <v>100</v>
      </c>
      <c r="AE351" s="36">
        <f>AD351+AC351+AB351+AA351</f>
        <v>392</v>
      </c>
      <c r="AF351" s="36">
        <v>103</v>
      </c>
      <c r="AG351" s="36">
        <v>107</v>
      </c>
      <c r="AH351" s="36">
        <v>110</v>
      </c>
      <c r="AI351" s="36">
        <v>116</v>
      </c>
      <c r="AJ351" s="36">
        <f>AI351+AH351+AG351+AF351</f>
        <v>436</v>
      </c>
      <c r="AK351" s="36">
        <v>121</v>
      </c>
      <c r="AL351" s="36">
        <v>130</v>
      </c>
      <c r="AM351" s="36">
        <v>123</v>
      </c>
      <c r="AN351" s="36">
        <v>117</v>
      </c>
      <c r="AO351" s="36">
        <f>AN351+AM351+AL351+AK351</f>
        <v>491</v>
      </c>
      <c r="AP351" s="36">
        <v>107</v>
      </c>
      <c r="AQ351" s="36">
        <v>114</v>
      </c>
      <c r="AR351" s="36">
        <v>116</v>
      </c>
      <c r="AS351" s="36">
        <v>127</v>
      </c>
      <c r="AT351" s="36">
        <f>AS351+AR351+AQ351+AP351</f>
        <v>464</v>
      </c>
      <c r="AU351" s="36">
        <v>109</v>
      </c>
      <c r="AV351" s="36">
        <v>119</v>
      </c>
      <c r="AW351" s="36">
        <v>110</v>
      </c>
      <c r="AX351" s="36">
        <v>126</v>
      </c>
      <c r="AY351" s="36">
        <f>AX351+AW351+AV351+AU351</f>
        <v>464</v>
      </c>
      <c r="AZ351" s="36">
        <v>111</v>
      </c>
      <c r="BA351" s="36">
        <v>117</v>
      </c>
      <c r="BB351" s="36">
        <v>121</v>
      </c>
      <c r="BC351" s="36">
        <v>113</v>
      </c>
      <c r="BD351" s="36">
        <f>BC351+BB351+BA351+AZ351</f>
        <v>462</v>
      </c>
      <c r="BE351" s="36">
        <v>120</v>
      </c>
      <c r="BF351" s="36">
        <v>101</v>
      </c>
      <c r="BG351" s="36">
        <v>99</v>
      </c>
      <c r="BH351" s="36">
        <v>110</v>
      </c>
      <c r="BI351" s="36">
        <f>SUM(BE351:BH351)</f>
        <v>430</v>
      </c>
      <c r="BJ351" s="36">
        <v>102</v>
      </c>
      <c r="BK351" s="36">
        <v>98</v>
      </c>
      <c r="BL351" s="36">
        <v>100</v>
      </c>
      <c r="BM351" s="36">
        <v>100</v>
      </c>
      <c r="BN351" s="36">
        <f>SUM(BJ351:BM351)</f>
        <v>400</v>
      </c>
      <c r="BO351" s="36">
        <v>98</v>
      </c>
      <c r="BP351" s="36">
        <v>99</v>
      </c>
      <c r="BQ351" s="36">
        <v>33</v>
      </c>
      <c r="BR351" s="36">
        <v>21</v>
      </c>
      <c r="BS351" s="36">
        <f>SUM(BO351:BR351)</f>
        <v>251</v>
      </c>
      <c r="BT351" s="36"/>
      <c r="BU351" s="36"/>
      <c r="BV351" s="36"/>
      <c r="BW351" s="36"/>
      <c r="BX351" s="36"/>
      <c r="BY351" s="36"/>
      <c r="BZ351" s="36"/>
      <c r="CA351" s="36"/>
      <c r="CB351" s="36"/>
      <c r="CC351" s="36"/>
      <c r="CD351" s="36"/>
      <c r="CE351" s="36"/>
      <c r="CF351" s="36"/>
      <c r="CG351" s="36"/>
      <c r="CH351" s="36"/>
      <c r="CI351" s="36"/>
      <c r="CJ351" s="36"/>
      <c r="CK351" s="36"/>
      <c r="CL351" s="36"/>
      <c r="CM351" s="36"/>
      <c r="CN351" s="36"/>
      <c r="CO351" s="36"/>
      <c r="CP351" s="36"/>
      <c r="CQ351" s="36"/>
      <c r="CR351" s="36"/>
      <c r="CS351" s="36"/>
      <c r="CT351" s="36"/>
      <c r="CU351" s="36"/>
      <c r="CV351" s="36"/>
      <c r="CW351" s="36"/>
      <c r="CX351" s="36"/>
      <c r="CY351" s="36"/>
      <c r="CZ351" s="36"/>
      <c r="DA351" s="36"/>
      <c r="DB351" s="36"/>
      <c r="DC351" s="36"/>
      <c r="DD351" s="36"/>
      <c r="DE351" s="36"/>
      <c r="DF351" s="36"/>
      <c r="DG351" s="36"/>
      <c r="DH351" s="36"/>
      <c r="DI351" s="36"/>
      <c r="DJ351" s="36"/>
      <c r="DK351" s="36"/>
      <c r="DL351" s="183"/>
      <c r="DM351" s="183"/>
      <c r="DN351" s="183"/>
      <c r="DO351" s="183"/>
      <c r="DP351" s="183"/>
    </row>
    <row r="352" spans="1:120" hidden="1" x14ac:dyDescent="0.2">
      <c r="A352" s="116" t="s">
        <v>235</v>
      </c>
      <c r="B352" s="39">
        <f t="shared" ref="B352:U352" si="290">B351+B350</f>
        <v>97.338099999999997</v>
      </c>
      <c r="C352" s="39">
        <f t="shared" si="290"/>
        <v>97.337789999999998</v>
      </c>
      <c r="D352" s="39">
        <f t="shared" si="290"/>
        <v>94.863</v>
      </c>
      <c r="E352" s="39">
        <f t="shared" si="290"/>
        <v>120.66938416422286</v>
      </c>
      <c r="F352" s="39">
        <f t="shared" si="290"/>
        <v>410.21690767519465</v>
      </c>
      <c r="G352" s="39">
        <f t="shared" si="290"/>
        <v>86</v>
      </c>
      <c r="H352" s="39">
        <f t="shared" si="290"/>
        <v>114</v>
      </c>
      <c r="I352" s="39">
        <f t="shared" si="290"/>
        <v>106</v>
      </c>
      <c r="J352" s="39">
        <f t="shared" si="290"/>
        <v>118</v>
      </c>
      <c r="K352" s="39">
        <f t="shared" si="290"/>
        <v>424</v>
      </c>
      <c r="L352" s="39">
        <f t="shared" si="290"/>
        <v>105</v>
      </c>
      <c r="M352" s="39">
        <f t="shared" si="290"/>
        <v>123</v>
      </c>
      <c r="N352" s="39">
        <f t="shared" si="290"/>
        <v>120.25</v>
      </c>
      <c r="O352" s="39">
        <f t="shared" si="290"/>
        <v>136</v>
      </c>
      <c r="P352" s="39">
        <f t="shared" si="290"/>
        <v>484.25</v>
      </c>
      <c r="Q352" s="39">
        <f t="shared" si="290"/>
        <v>131</v>
      </c>
      <c r="R352" s="39">
        <f t="shared" si="290"/>
        <v>133</v>
      </c>
      <c r="S352" s="39">
        <f t="shared" si="290"/>
        <v>138</v>
      </c>
      <c r="T352" s="39">
        <f t="shared" si="290"/>
        <v>157</v>
      </c>
      <c r="U352" s="39">
        <f t="shared" si="290"/>
        <v>559</v>
      </c>
      <c r="V352" s="39">
        <f>V351+V350+1</f>
        <v>141</v>
      </c>
      <c r="W352" s="39">
        <f>W351+W350+1</f>
        <v>154</v>
      </c>
      <c r="X352" s="39">
        <f>X351+X350+1</f>
        <v>158</v>
      </c>
      <c r="Y352" s="39">
        <f>Y351+Y350+1</f>
        <v>168</v>
      </c>
      <c r="Z352" s="39">
        <f>Z351+Z350</f>
        <v>617</v>
      </c>
      <c r="AA352" s="39">
        <f>AA351+AA350+1</f>
        <v>153</v>
      </c>
      <c r="AB352" s="39">
        <f>AB351+AB350+1</f>
        <v>176</v>
      </c>
      <c r="AC352" s="39">
        <f t="shared" ref="AC352:BD352" si="291">AC351+AC350</f>
        <v>191</v>
      </c>
      <c r="AD352" s="39">
        <f t="shared" si="291"/>
        <v>180</v>
      </c>
      <c r="AE352" s="39">
        <f t="shared" si="291"/>
        <v>698</v>
      </c>
      <c r="AF352" s="39">
        <f t="shared" si="291"/>
        <v>186</v>
      </c>
      <c r="AG352" s="39">
        <f t="shared" si="291"/>
        <v>192</v>
      </c>
      <c r="AH352" s="39">
        <f t="shared" si="291"/>
        <v>196</v>
      </c>
      <c r="AI352" s="39">
        <f t="shared" si="291"/>
        <v>212</v>
      </c>
      <c r="AJ352" s="39">
        <f t="shared" si="291"/>
        <v>786</v>
      </c>
      <c r="AK352" s="39">
        <f t="shared" si="291"/>
        <v>202</v>
      </c>
      <c r="AL352" s="39">
        <f t="shared" si="291"/>
        <v>217</v>
      </c>
      <c r="AM352" s="39">
        <f t="shared" si="291"/>
        <v>209</v>
      </c>
      <c r="AN352" s="39">
        <f t="shared" si="291"/>
        <v>154</v>
      </c>
      <c r="AO352" s="39">
        <f t="shared" si="291"/>
        <v>782</v>
      </c>
      <c r="AP352" s="39">
        <f t="shared" si="291"/>
        <v>121</v>
      </c>
      <c r="AQ352" s="39">
        <f t="shared" si="291"/>
        <v>125</v>
      </c>
      <c r="AR352" s="39">
        <f t="shared" si="291"/>
        <v>123</v>
      </c>
      <c r="AS352" s="39">
        <f t="shared" si="291"/>
        <v>134</v>
      </c>
      <c r="AT352" s="39">
        <f t="shared" si="291"/>
        <v>503</v>
      </c>
      <c r="AU352" s="39">
        <f t="shared" si="291"/>
        <v>114</v>
      </c>
      <c r="AV352" s="39">
        <f t="shared" si="291"/>
        <v>123</v>
      </c>
      <c r="AW352" s="39">
        <f t="shared" si="291"/>
        <v>115</v>
      </c>
      <c r="AX352" s="39">
        <f t="shared" si="291"/>
        <v>131</v>
      </c>
      <c r="AY352" s="39">
        <f t="shared" si="291"/>
        <v>483</v>
      </c>
      <c r="AZ352" s="39">
        <f t="shared" si="291"/>
        <v>115</v>
      </c>
      <c r="BA352" s="39">
        <f t="shared" si="291"/>
        <v>122</v>
      </c>
      <c r="BB352" s="39">
        <f t="shared" si="291"/>
        <v>125</v>
      </c>
      <c r="BC352" s="39">
        <f t="shared" si="291"/>
        <v>117</v>
      </c>
      <c r="BD352" s="39">
        <f t="shared" si="291"/>
        <v>479</v>
      </c>
      <c r="BE352" s="39">
        <f>BE350+BE351</f>
        <v>123</v>
      </c>
      <c r="BF352" s="39">
        <f>BF350+BF351</f>
        <v>105</v>
      </c>
      <c r="BG352" s="39">
        <f>BG350+BG351</f>
        <v>102</v>
      </c>
      <c r="BH352" s="39">
        <f>BH350+BH351</f>
        <v>113</v>
      </c>
      <c r="BI352" s="39">
        <f t="shared" ref="BI352:BS352" si="292">BI351+BI350</f>
        <v>443</v>
      </c>
      <c r="BJ352" s="39">
        <f t="shared" si="292"/>
        <v>106</v>
      </c>
      <c r="BK352" s="39">
        <f t="shared" si="292"/>
        <v>103</v>
      </c>
      <c r="BL352" s="39">
        <f t="shared" si="292"/>
        <v>105</v>
      </c>
      <c r="BM352" s="39">
        <f t="shared" si="292"/>
        <v>103</v>
      </c>
      <c r="BN352" s="39">
        <f t="shared" si="292"/>
        <v>417</v>
      </c>
      <c r="BO352" s="39">
        <f t="shared" si="292"/>
        <v>99</v>
      </c>
      <c r="BP352" s="39">
        <f t="shared" si="292"/>
        <v>100</v>
      </c>
      <c r="BQ352" s="39">
        <f t="shared" si="292"/>
        <v>34</v>
      </c>
      <c r="BR352" s="39">
        <f t="shared" si="292"/>
        <v>25</v>
      </c>
      <c r="BS352" s="39">
        <f t="shared" si="292"/>
        <v>258</v>
      </c>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187"/>
      <c r="DM352" s="187"/>
      <c r="DN352" s="187"/>
      <c r="DO352" s="187"/>
      <c r="DP352" s="187"/>
    </row>
    <row r="353" spans="1:120" hidden="1" x14ac:dyDescent="0.2">
      <c r="A353" s="68" t="s">
        <v>54</v>
      </c>
      <c r="G353" s="76">
        <f t="shared" ref="G353:BR355" si="293">G350/B350-1</f>
        <v>-0.30655369796000709</v>
      </c>
      <c r="H353" s="76">
        <f t="shared" si="293"/>
        <v>0.17676725224846601</v>
      </c>
      <c r="I353" s="76">
        <f t="shared" si="293"/>
        <v>0.13000025111116686</v>
      </c>
      <c r="J353" s="76">
        <f t="shared" si="293"/>
        <v>-5.1199427139276721E-2</v>
      </c>
      <c r="K353" s="76">
        <f t="shared" si="293"/>
        <v>-2.023486901535676E-2</v>
      </c>
      <c r="L353" s="76">
        <f t="shared" si="293"/>
        <v>0.33333333333333326</v>
      </c>
      <c r="M353" s="76">
        <f t="shared" si="293"/>
        <v>-8.9285714285714302E-2</v>
      </c>
      <c r="N353" s="76">
        <f t="shared" si="293"/>
        <v>0.1166666666666667</v>
      </c>
      <c r="O353" s="76">
        <f t="shared" si="293"/>
        <v>6.1320754716981174E-2</v>
      </c>
      <c r="P353" s="76">
        <f t="shared" si="293"/>
        <v>7.7540106951871746E-2</v>
      </c>
      <c r="Q353" s="90">
        <f t="shared" si="293"/>
        <v>0.18181818181818188</v>
      </c>
      <c r="R353" s="90">
        <f t="shared" si="293"/>
        <v>0.13725490196078427</v>
      </c>
      <c r="S353" s="90">
        <f t="shared" si="293"/>
        <v>0.19402985074626855</v>
      </c>
      <c r="T353" s="90">
        <f t="shared" si="293"/>
        <v>0.19111111111111101</v>
      </c>
      <c r="U353" s="76">
        <f t="shared" si="293"/>
        <v>0.17617866004962779</v>
      </c>
      <c r="V353" s="90">
        <f t="shared" si="293"/>
        <v>-3.8461538461538436E-2</v>
      </c>
      <c r="W353" s="90">
        <f t="shared" si="293"/>
        <v>1.7241379310344751E-2</v>
      </c>
      <c r="X353" s="90">
        <f t="shared" si="293"/>
        <v>0.10000000000000009</v>
      </c>
      <c r="Y353" s="90">
        <f t="shared" si="293"/>
        <v>8.9552238805970186E-2</v>
      </c>
      <c r="Z353" s="76">
        <f t="shared" si="293"/>
        <v>4.6413502109704741E-2</v>
      </c>
      <c r="AA353" s="90">
        <f t="shared" si="293"/>
        <v>0.1399999999999999</v>
      </c>
      <c r="AB353" s="90">
        <f t="shared" si="293"/>
        <v>0.30508474576271194</v>
      </c>
      <c r="AC353" s="90">
        <f t="shared" si="293"/>
        <v>0.39393939393939403</v>
      </c>
      <c r="AD353" s="90">
        <f t="shared" si="293"/>
        <v>9.5890410958904049E-2</v>
      </c>
      <c r="AE353" s="76">
        <f t="shared" si="293"/>
        <v>0.2338709677419355</v>
      </c>
      <c r="AF353" s="90">
        <f t="shared" si="293"/>
        <v>0.45614035087719307</v>
      </c>
      <c r="AG353" s="90">
        <f t="shared" si="293"/>
        <v>0.10389610389610393</v>
      </c>
      <c r="AH353" s="90">
        <f t="shared" si="293"/>
        <v>-6.5217391304347783E-2</v>
      </c>
      <c r="AI353" s="90">
        <f t="shared" si="293"/>
        <v>0.19999999999999996</v>
      </c>
      <c r="AJ353" s="76">
        <f t="shared" si="293"/>
        <v>0.14379084967320255</v>
      </c>
      <c r="AK353" s="90">
        <f t="shared" si="293"/>
        <v>-2.4096385542168641E-2</v>
      </c>
      <c r="AL353" s="90">
        <f t="shared" si="293"/>
        <v>2.3529411764705799E-2</v>
      </c>
      <c r="AM353" s="90">
        <f t="shared" si="293"/>
        <v>0</v>
      </c>
      <c r="AN353" s="90">
        <f t="shared" si="293"/>
        <v>-0.61458333333333326</v>
      </c>
      <c r="AO353" s="76">
        <f t="shared" si="293"/>
        <v>-0.16857142857142859</v>
      </c>
      <c r="AP353" s="90">
        <f t="shared" si="293"/>
        <v>-0.8271604938271605</v>
      </c>
      <c r="AQ353" s="90">
        <f t="shared" si="293"/>
        <v>-0.87356321839080464</v>
      </c>
      <c r="AR353" s="90">
        <f t="shared" si="293"/>
        <v>-0.91860465116279066</v>
      </c>
      <c r="AS353" s="90">
        <f t="shared" si="293"/>
        <v>-0.81081081081081074</v>
      </c>
      <c r="AT353" s="76">
        <f t="shared" si="293"/>
        <v>-0.865979381443299</v>
      </c>
      <c r="AU353" s="90">
        <f t="shared" si="293"/>
        <v>-0.64285714285714279</v>
      </c>
      <c r="AV353" s="90">
        <f t="shared" si="293"/>
        <v>-0.63636363636363635</v>
      </c>
      <c r="AW353" s="90">
        <f t="shared" si="293"/>
        <v>-0.2857142857142857</v>
      </c>
      <c r="AX353" s="90">
        <f t="shared" si="293"/>
        <v>-0.2857142857142857</v>
      </c>
      <c r="AY353" s="76">
        <f t="shared" si="293"/>
        <v>-0.51282051282051277</v>
      </c>
      <c r="AZ353" s="90">
        <f t="shared" si="293"/>
        <v>-0.19999999999999996</v>
      </c>
      <c r="BA353" s="90">
        <f t="shared" si="293"/>
        <v>0.25</v>
      </c>
      <c r="BB353" s="90">
        <f t="shared" si="293"/>
        <v>-0.19999999999999996</v>
      </c>
      <c r="BC353" s="90">
        <f t="shared" si="293"/>
        <v>-0.19999999999999996</v>
      </c>
      <c r="BD353" s="76">
        <f t="shared" si="293"/>
        <v>-0.10526315789473684</v>
      </c>
      <c r="BE353" s="76">
        <f t="shared" si="293"/>
        <v>-0.25</v>
      </c>
      <c r="BF353" s="76">
        <f t="shared" si="293"/>
        <v>-0.19999999999999996</v>
      </c>
      <c r="BG353" s="76">
        <f t="shared" si="293"/>
        <v>-0.25</v>
      </c>
      <c r="BH353" s="76">
        <f t="shared" si="293"/>
        <v>-0.25</v>
      </c>
      <c r="BI353" s="90">
        <f t="shared" si="293"/>
        <v>-0.23529411764705888</v>
      </c>
      <c r="BJ353" s="76">
        <f t="shared" si="293"/>
        <v>0.33333333333333326</v>
      </c>
      <c r="BK353" s="76">
        <f t="shared" si="293"/>
        <v>0.25</v>
      </c>
      <c r="BL353" s="76">
        <f t="shared" si="293"/>
        <v>0.66666666666666674</v>
      </c>
      <c r="BM353" s="76">
        <f t="shared" si="293"/>
        <v>0</v>
      </c>
      <c r="BN353" s="90">
        <f>BN350/BI350-1</f>
        <v>0.30769230769230771</v>
      </c>
      <c r="BO353" s="76">
        <f t="shared" si="293"/>
        <v>-0.75</v>
      </c>
      <c r="BP353" s="76">
        <f t="shared" si="293"/>
        <v>-0.8</v>
      </c>
      <c r="BQ353" s="76">
        <f t="shared" si="293"/>
        <v>-0.8</v>
      </c>
      <c r="BR353" s="76">
        <f t="shared" si="293"/>
        <v>0.33333333333333326</v>
      </c>
      <c r="BS353" s="90">
        <f>BS350/BN350-1</f>
        <v>-0.58823529411764708</v>
      </c>
      <c r="BT353" s="76"/>
      <c r="BU353" s="76"/>
      <c r="BV353" s="76"/>
      <c r="BW353" s="76"/>
      <c r="BX353" s="90"/>
      <c r="BY353" s="90"/>
      <c r="BZ353" s="90"/>
      <c r="CA353" s="90"/>
      <c r="CB353" s="90"/>
      <c r="CC353" s="90"/>
      <c r="CD353" s="90"/>
      <c r="CE353" s="90"/>
      <c r="CF353" s="90"/>
      <c r="CG353" s="90"/>
      <c r="CH353" s="90"/>
      <c r="CI353" s="90"/>
      <c r="CJ353" s="90"/>
      <c r="CK353" s="90"/>
      <c r="CL353" s="90"/>
      <c r="CM353" s="90"/>
      <c r="CN353" s="90"/>
      <c r="CO353" s="90"/>
      <c r="CP353" s="90"/>
      <c r="CQ353" s="90"/>
      <c r="CR353" s="90"/>
      <c r="CS353" s="90"/>
      <c r="CT353" s="90"/>
      <c r="CU353" s="90"/>
      <c r="CV353" s="90"/>
      <c r="CW353" s="90"/>
      <c r="CX353" s="90"/>
      <c r="CY353" s="90"/>
      <c r="CZ353" s="90"/>
      <c r="DA353" s="90"/>
      <c r="DB353" s="90"/>
      <c r="DC353" s="90"/>
      <c r="DD353" s="90"/>
      <c r="DE353" s="90"/>
      <c r="DF353" s="90"/>
      <c r="DG353" s="90"/>
      <c r="DH353" s="90"/>
      <c r="DI353" s="90"/>
      <c r="DJ353" s="90"/>
      <c r="DK353" s="90"/>
      <c r="DL353" s="188"/>
      <c r="DM353" s="188"/>
      <c r="DN353" s="188"/>
      <c r="DO353" s="188"/>
      <c r="DP353" s="188"/>
    </row>
    <row r="354" spans="1:120" hidden="1" x14ac:dyDescent="0.2">
      <c r="A354" s="68" t="s">
        <v>55</v>
      </c>
      <c r="G354" s="76">
        <f t="shared" si="293"/>
        <v>6.5333057284767682E-2</v>
      </c>
      <c r="H354" s="76">
        <f t="shared" si="293"/>
        <v>0.16583406683726709</v>
      </c>
      <c r="I354" s="76">
        <f t="shared" si="293"/>
        <v>0.10828488372093026</v>
      </c>
      <c r="J354" s="76">
        <f t="shared" si="293"/>
        <v>2.9411764705884469E-3</v>
      </c>
      <c r="K354" s="76">
        <f t="shared" si="293"/>
        <v>8.0441176470588349E-2</v>
      </c>
      <c r="L354" s="76">
        <f t="shared" si="293"/>
        <v>0.15094339622641506</v>
      </c>
      <c r="M354" s="76">
        <f t="shared" si="293"/>
        <v>0.24137931034482762</v>
      </c>
      <c r="N354" s="76">
        <f t="shared" si="293"/>
        <v>0.14754098360655732</v>
      </c>
      <c r="O354" s="76">
        <f t="shared" si="293"/>
        <v>0.22692307692307701</v>
      </c>
      <c r="P354" s="76">
        <f t="shared" si="293"/>
        <v>0.19303797468354422</v>
      </c>
      <c r="Q354" s="90">
        <f t="shared" si="293"/>
        <v>0.29508196721311486</v>
      </c>
      <c r="R354" s="90">
        <f t="shared" si="293"/>
        <v>4.1666666666666741E-2</v>
      </c>
      <c r="S354" s="90">
        <f t="shared" si="293"/>
        <v>0.11428571428571432</v>
      </c>
      <c r="T354" s="90">
        <f t="shared" si="293"/>
        <v>0.12852664576802497</v>
      </c>
      <c r="U354" s="76">
        <f t="shared" si="293"/>
        <v>0.13881520778072498</v>
      </c>
      <c r="V354" s="90">
        <f t="shared" si="293"/>
        <v>0.139240506329114</v>
      </c>
      <c r="W354" s="90">
        <f t="shared" si="293"/>
        <v>0.25333333333333341</v>
      </c>
      <c r="X354" s="90">
        <f t="shared" si="293"/>
        <v>0.16666666666666674</v>
      </c>
      <c r="Y354" s="90">
        <f t="shared" si="293"/>
        <v>4.4444444444444509E-2</v>
      </c>
      <c r="Z354" s="76">
        <f t="shared" si="293"/>
        <v>0.14596273291925477</v>
      </c>
      <c r="AA354" s="90">
        <f t="shared" si="293"/>
        <v>5.555555555555558E-2</v>
      </c>
      <c r="AB354" s="90">
        <f t="shared" si="293"/>
        <v>4.2553191489361764E-2</v>
      </c>
      <c r="AC354" s="90">
        <f t="shared" si="293"/>
        <v>8.7912087912087822E-2</v>
      </c>
      <c r="AD354" s="90">
        <f t="shared" si="293"/>
        <v>6.3829787234042534E-2</v>
      </c>
      <c r="AE354" s="76">
        <f t="shared" si="293"/>
        <v>6.2330623306233068E-2</v>
      </c>
      <c r="AF354" s="90">
        <f t="shared" si="293"/>
        <v>8.4210526315789513E-2</v>
      </c>
      <c r="AG354" s="90">
        <f t="shared" si="293"/>
        <v>9.1836734693877542E-2</v>
      </c>
      <c r="AH354" s="90">
        <f t="shared" si="293"/>
        <v>0.11111111111111116</v>
      </c>
      <c r="AI354" s="90">
        <f t="shared" si="293"/>
        <v>0.15999999999999992</v>
      </c>
      <c r="AJ354" s="76">
        <f t="shared" si="293"/>
        <v>0.11224489795918369</v>
      </c>
      <c r="AK354" s="90">
        <f t="shared" si="293"/>
        <v>0.17475728155339798</v>
      </c>
      <c r="AL354" s="90">
        <f t="shared" si="293"/>
        <v>0.2149532710280373</v>
      </c>
      <c r="AM354" s="90">
        <f t="shared" si="293"/>
        <v>0.11818181818181817</v>
      </c>
      <c r="AN354" s="90">
        <f t="shared" si="293"/>
        <v>8.6206896551723755E-3</v>
      </c>
      <c r="AO354" s="76">
        <f t="shared" si="293"/>
        <v>0.12614678899082565</v>
      </c>
      <c r="AP354" s="90">
        <f t="shared" si="293"/>
        <v>-0.11570247933884292</v>
      </c>
      <c r="AQ354" s="90">
        <f t="shared" si="293"/>
        <v>-0.12307692307692308</v>
      </c>
      <c r="AR354" s="90">
        <f t="shared" si="293"/>
        <v>-5.6910569105691033E-2</v>
      </c>
      <c r="AS354" s="90">
        <f t="shared" si="293"/>
        <v>8.5470085470085388E-2</v>
      </c>
      <c r="AT354" s="76">
        <f t="shared" si="293"/>
        <v>-5.4989816700610983E-2</v>
      </c>
      <c r="AU354" s="90">
        <f t="shared" si="293"/>
        <v>1.8691588785046731E-2</v>
      </c>
      <c r="AV354" s="90">
        <f t="shared" si="293"/>
        <v>4.3859649122806932E-2</v>
      </c>
      <c r="AW354" s="90">
        <f t="shared" si="293"/>
        <v>-5.1724137931034475E-2</v>
      </c>
      <c r="AX354" s="90">
        <f t="shared" si="293"/>
        <v>-7.8740157480314821E-3</v>
      </c>
      <c r="AY354" s="76">
        <f t="shared" si="293"/>
        <v>0</v>
      </c>
      <c r="AZ354" s="90">
        <f t="shared" si="293"/>
        <v>1.8348623853210899E-2</v>
      </c>
      <c r="BA354" s="90">
        <f t="shared" si="293"/>
        <v>-1.6806722689075682E-2</v>
      </c>
      <c r="BB354" s="90">
        <f t="shared" si="293"/>
        <v>0.10000000000000009</v>
      </c>
      <c r="BC354" s="90">
        <f t="shared" si="293"/>
        <v>-0.10317460317460314</v>
      </c>
      <c r="BD354" s="76">
        <f t="shared" si="293"/>
        <v>-4.3103448275861878E-3</v>
      </c>
      <c r="BE354" s="76">
        <f t="shared" si="293"/>
        <v>8.1081081081081141E-2</v>
      </c>
      <c r="BF354" s="76">
        <f t="shared" si="293"/>
        <v>-0.13675213675213671</v>
      </c>
      <c r="BG354" s="76">
        <f t="shared" si="293"/>
        <v>-0.18181818181818177</v>
      </c>
      <c r="BH354" s="76">
        <f t="shared" si="293"/>
        <v>-2.6548672566371723E-2</v>
      </c>
      <c r="BI354" s="90">
        <f t="shared" si="293"/>
        <v>-6.926406926406925E-2</v>
      </c>
      <c r="BJ354" s="76">
        <f t="shared" si="293"/>
        <v>-0.15000000000000002</v>
      </c>
      <c r="BK354" s="76">
        <f t="shared" si="293"/>
        <v>-2.9702970297029729E-2</v>
      </c>
      <c r="BL354" s="76">
        <f t="shared" si="293"/>
        <v>1.0101010101010166E-2</v>
      </c>
      <c r="BM354" s="76">
        <f t="shared" si="293"/>
        <v>-9.0909090909090939E-2</v>
      </c>
      <c r="BN354" s="90">
        <f>BN351/BI351-1</f>
        <v>-6.9767441860465129E-2</v>
      </c>
      <c r="BO354" s="76">
        <f t="shared" si="293"/>
        <v>-3.9215686274509776E-2</v>
      </c>
      <c r="BP354" s="76">
        <f t="shared" si="293"/>
        <v>1.0204081632652962E-2</v>
      </c>
      <c r="BQ354" s="76">
        <f t="shared" si="293"/>
        <v>-0.66999999999999993</v>
      </c>
      <c r="BR354" s="76">
        <f t="shared" si="293"/>
        <v>-0.79</v>
      </c>
      <c r="BS354" s="90">
        <f>BS351/BN351-1</f>
        <v>-0.37250000000000005</v>
      </c>
      <c r="BT354" s="76"/>
      <c r="BU354" s="76"/>
      <c r="BV354" s="76"/>
      <c r="BW354" s="76"/>
      <c r="BX354" s="90"/>
      <c r="BY354" s="90"/>
      <c r="BZ354" s="90"/>
      <c r="CA354" s="90"/>
      <c r="CB354" s="90"/>
      <c r="CC354" s="90"/>
      <c r="CD354" s="90"/>
      <c r="CE354" s="90"/>
      <c r="CF354" s="90"/>
      <c r="CG354" s="90"/>
      <c r="CH354" s="90"/>
      <c r="CI354" s="90"/>
      <c r="CJ354" s="90"/>
      <c r="CK354" s="90"/>
      <c r="CL354" s="90"/>
      <c r="CM354" s="90"/>
      <c r="CN354" s="90"/>
      <c r="CO354" s="90"/>
      <c r="CP354" s="90"/>
      <c r="CQ354" s="90"/>
      <c r="CR354" s="90"/>
      <c r="CS354" s="90"/>
      <c r="CT354" s="90"/>
      <c r="CU354" s="90"/>
      <c r="CV354" s="90"/>
      <c r="CW354" s="90"/>
      <c r="CX354" s="90"/>
      <c r="CY354" s="90"/>
      <c r="CZ354" s="90"/>
      <c r="DA354" s="90"/>
      <c r="DB354" s="90"/>
      <c r="DC354" s="90"/>
      <c r="DD354" s="90"/>
      <c r="DE354" s="90"/>
      <c r="DF354" s="90"/>
      <c r="DG354" s="90"/>
      <c r="DH354" s="90"/>
      <c r="DI354" s="90"/>
      <c r="DJ354" s="90"/>
      <c r="DK354" s="90"/>
      <c r="DL354" s="188"/>
      <c r="DM354" s="188"/>
      <c r="DN354" s="188"/>
      <c r="DO354" s="188"/>
      <c r="DP354" s="188"/>
    </row>
    <row r="355" spans="1:120" hidden="1" x14ac:dyDescent="0.2">
      <c r="A355" s="78" t="s">
        <v>56</v>
      </c>
      <c r="B355" s="79"/>
      <c r="C355" s="79"/>
      <c r="D355" s="79"/>
      <c r="E355" s="79"/>
      <c r="F355" s="79"/>
      <c r="G355" s="80">
        <f t="shared" si="293"/>
        <v>-0.11648162435880705</v>
      </c>
      <c r="H355" s="80">
        <f t="shared" si="293"/>
        <v>0.17117925114182264</v>
      </c>
      <c r="I355" s="80">
        <f t="shared" si="293"/>
        <v>0.11740088337918886</v>
      </c>
      <c r="J355" s="80">
        <f t="shared" si="293"/>
        <v>-2.2121470020846523E-2</v>
      </c>
      <c r="K355" s="80">
        <f t="shared" si="293"/>
        <v>3.3599522757162159E-2</v>
      </c>
      <c r="L355" s="80">
        <f t="shared" si="293"/>
        <v>0.22093023255813948</v>
      </c>
      <c r="M355" s="80">
        <f t="shared" si="293"/>
        <v>7.8947368421052655E-2</v>
      </c>
      <c r="N355" s="80">
        <f t="shared" si="293"/>
        <v>0.13443396226415105</v>
      </c>
      <c r="O355" s="80">
        <f t="shared" si="293"/>
        <v>0.15254237288135597</v>
      </c>
      <c r="P355" s="80">
        <f t="shared" si="293"/>
        <v>0.14209905660377364</v>
      </c>
      <c r="Q355" s="80">
        <f t="shared" si="293"/>
        <v>0.24761904761904763</v>
      </c>
      <c r="R355" s="80">
        <f t="shared" si="293"/>
        <v>8.1300813008130079E-2</v>
      </c>
      <c r="S355" s="80">
        <f t="shared" si="293"/>
        <v>0.14760914760914767</v>
      </c>
      <c r="T355" s="80">
        <f t="shared" si="293"/>
        <v>0.15441176470588225</v>
      </c>
      <c r="U355" s="80">
        <f t="shared" si="293"/>
        <v>0.15436241610738266</v>
      </c>
      <c r="V355" s="80">
        <f t="shared" si="293"/>
        <v>7.6335877862595325E-2</v>
      </c>
      <c r="W355" s="80">
        <f t="shared" si="293"/>
        <v>0.15789473684210531</v>
      </c>
      <c r="X355" s="80">
        <f t="shared" si="293"/>
        <v>0.14492753623188404</v>
      </c>
      <c r="Y355" s="80">
        <f t="shared" si="293"/>
        <v>7.0063694267515908E-2</v>
      </c>
      <c r="Z355" s="80">
        <f t="shared" si="293"/>
        <v>0.10375670840787121</v>
      </c>
      <c r="AA355" s="80">
        <f t="shared" si="293"/>
        <v>8.5106382978723305E-2</v>
      </c>
      <c r="AB355" s="80">
        <f t="shared" si="293"/>
        <v>0.14285714285714279</v>
      </c>
      <c r="AC355" s="80">
        <f t="shared" si="293"/>
        <v>0.20886075949367089</v>
      </c>
      <c r="AD355" s="80">
        <f t="shared" si="293"/>
        <v>7.1428571428571397E-2</v>
      </c>
      <c r="AE355" s="80">
        <f t="shared" si="293"/>
        <v>0.13128038897893024</v>
      </c>
      <c r="AF355" s="80">
        <f t="shared" si="293"/>
        <v>0.21568627450980382</v>
      </c>
      <c r="AG355" s="80">
        <f t="shared" si="293"/>
        <v>9.0909090909090828E-2</v>
      </c>
      <c r="AH355" s="80">
        <f t="shared" si="293"/>
        <v>2.6178010471204161E-2</v>
      </c>
      <c r="AI355" s="80">
        <f t="shared" si="293"/>
        <v>0.17777777777777781</v>
      </c>
      <c r="AJ355" s="80">
        <f t="shared" si="293"/>
        <v>0.12607449856733521</v>
      </c>
      <c r="AK355" s="80">
        <f t="shared" si="293"/>
        <v>8.602150537634401E-2</v>
      </c>
      <c r="AL355" s="80">
        <f t="shared" si="293"/>
        <v>0.13020833333333326</v>
      </c>
      <c r="AM355" s="80">
        <f t="shared" si="293"/>
        <v>6.6326530612244916E-2</v>
      </c>
      <c r="AN355" s="80">
        <f t="shared" si="293"/>
        <v>-0.27358490566037741</v>
      </c>
      <c r="AO355" s="80">
        <f t="shared" si="293"/>
        <v>-5.0890585241730735E-3</v>
      </c>
      <c r="AP355" s="80">
        <f t="shared" si="293"/>
        <v>-0.40099009900990101</v>
      </c>
      <c r="AQ355" s="80">
        <f t="shared" si="293"/>
        <v>-0.42396313364055305</v>
      </c>
      <c r="AR355" s="80">
        <f t="shared" si="293"/>
        <v>-0.41148325358851678</v>
      </c>
      <c r="AS355" s="80">
        <f t="shared" si="293"/>
        <v>-0.12987012987012991</v>
      </c>
      <c r="AT355" s="80">
        <f t="shared" si="293"/>
        <v>-0.35677749360613809</v>
      </c>
      <c r="AU355" s="80">
        <f t="shared" si="293"/>
        <v>-5.7851239669421517E-2</v>
      </c>
      <c r="AV355" s="80">
        <f t="shared" si="293"/>
        <v>-1.6000000000000014E-2</v>
      </c>
      <c r="AW355" s="80">
        <f t="shared" si="293"/>
        <v>-6.5040650406504086E-2</v>
      </c>
      <c r="AX355" s="80">
        <f t="shared" si="293"/>
        <v>-2.2388059701492491E-2</v>
      </c>
      <c r="AY355" s="80">
        <f t="shared" si="293"/>
        <v>-3.9761431411530768E-2</v>
      </c>
      <c r="AZ355" s="80">
        <f t="shared" si="293"/>
        <v>8.7719298245614308E-3</v>
      </c>
      <c r="BA355" s="80">
        <f t="shared" si="293"/>
        <v>-8.1300813008130524E-3</v>
      </c>
      <c r="BB355" s="80">
        <f t="shared" si="293"/>
        <v>8.6956521739130377E-2</v>
      </c>
      <c r="BC355" s="80">
        <f t="shared" si="293"/>
        <v>-0.10687022900763354</v>
      </c>
      <c r="BD355" s="80">
        <f t="shared" si="293"/>
        <v>-8.281573498964856E-3</v>
      </c>
      <c r="BE355" s="80">
        <f t="shared" si="293"/>
        <v>6.956521739130439E-2</v>
      </c>
      <c r="BF355" s="80">
        <f t="shared" si="293"/>
        <v>-0.13934426229508201</v>
      </c>
      <c r="BG355" s="80">
        <f>BG352/BB352-1</f>
        <v>-0.18400000000000005</v>
      </c>
      <c r="BH355" s="80">
        <f>BH352/BC352-1</f>
        <v>-3.4188034188034178E-2</v>
      </c>
      <c r="BI355" s="80">
        <f t="shared" si="293"/>
        <v>-7.5156576200417491E-2</v>
      </c>
      <c r="BJ355" s="80">
        <f t="shared" si="293"/>
        <v>-0.13821138211382111</v>
      </c>
      <c r="BK355" s="91">
        <f>BK352/BF352-1</f>
        <v>-1.9047619047619091E-2</v>
      </c>
      <c r="BL355" s="91">
        <f>BL352/BG352-1</f>
        <v>2.9411764705882248E-2</v>
      </c>
      <c r="BM355" s="91">
        <f>BM352/BH352-1</f>
        <v>-8.8495575221238965E-2</v>
      </c>
      <c r="BN355" s="80">
        <f>BN352/BI352-1</f>
        <v>-5.8690744920993243E-2</v>
      </c>
      <c r="BO355" s="80">
        <f>BO352/BJ352-1</f>
        <v>-6.6037735849056589E-2</v>
      </c>
      <c r="BP355" s="91">
        <f>BP352/BK352-1</f>
        <v>-2.9126213592232997E-2</v>
      </c>
      <c r="BQ355" s="91">
        <f>BQ352/BL352-1</f>
        <v>-0.67619047619047623</v>
      </c>
      <c r="BR355" s="91">
        <f>BR352/BM352-1</f>
        <v>-0.75728155339805825</v>
      </c>
      <c r="BS355" s="80">
        <f>BS352/BN352-1</f>
        <v>-0.38129496402877694</v>
      </c>
      <c r="BT355" s="80"/>
      <c r="BU355" s="91"/>
      <c r="BV355" s="91"/>
      <c r="BW355" s="91"/>
      <c r="BX355" s="80"/>
      <c r="BY355" s="80"/>
      <c r="BZ355" s="80"/>
      <c r="CA355" s="80"/>
      <c r="CB355" s="80"/>
      <c r="CC355" s="80"/>
      <c r="CD355" s="80"/>
      <c r="CE355" s="80"/>
      <c r="CF355" s="80"/>
      <c r="CG355" s="80"/>
      <c r="CH355" s="80"/>
      <c r="CI355" s="80"/>
      <c r="CJ355" s="80"/>
      <c r="CK355" s="80"/>
      <c r="CL355" s="80"/>
      <c r="CM355" s="80"/>
      <c r="CN355" s="80"/>
      <c r="CO355" s="80"/>
      <c r="CP355" s="80"/>
      <c r="CQ355" s="80"/>
      <c r="CR355" s="80"/>
      <c r="CS355" s="80"/>
      <c r="CT355" s="80"/>
      <c r="CU355" s="80"/>
      <c r="CV355" s="80"/>
      <c r="CW355" s="80"/>
      <c r="CX355" s="80"/>
      <c r="CY355" s="80"/>
      <c r="CZ355" s="80"/>
      <c r="DA355" s="80"/>
      <c r="DB355" s="80"/>
      <c r="DC355" s="80"/>
      <c r="DD355" s="80"/>
      <c r="DE355" s="80"/>
      <c r="DF355" s="80"/>
      <c r="DG355" s="80"/>
      <c r="DH355" s="80"/>
      <c r="DI355" s="80"/>
      <c r="DJ355" s="80"/>
      <c r="DK355" s="80"/>
      <c r="DL355" s="189"/>
      <c r="DM355" s="189"/>
      <c r="DN355" s="189"/>
      <c r="DO355" s="189"/>
      <c r="DP355" s="189"/>
    </row>
    <row r="356" spans="1:120" hidden="1" x14ac:dyDescent="0.2">
      <c r="A356" s="39" t="s">
        <v>236</v>
      </c>
      <c r="G356" s="163"/>
      <c r="H356" s="163"/>
      <c r="I356" s="163"/>
      <c r="J356" s="163"/>
      <c r="K356" s="163"/>
      <c r="L356" s="164">
        <v>31</v>
      </c>
      <c r="M356" s="164">
        <v>36</v>
      </c>
      <c r="N356" s="164">
        <v>37</v>
      </c>
      <c r="O356" s="164">
        <v>41</v>
      </c>
      <c r="P356" s="164">
        <f>O356+N356+M356+L356</f>
        <v>145</v>
      </c>
      <c r="Q356" s="164">
        <v>43.8</v>
      </c>
      <c r="R356" s="39">
        <v>46.8</v>
      </c>
      <c r="S356" s="39">
        <v>44.8</v>
      </c>
      <c r="T356" s="39">
        <v>50</v>
      </c>
      <c r="U356" s="39">
        <f>T356+S356+R356+Q356</f>
        <v>185.39999999999998</v>
      </c>
      <c r="V356" s="39">
        <v>51</v>
      </c>
      <c r="W356" s="39">
        <v>53</v>
      </c>
      <c r="X356" s="39">
        <v>44</v>
      </c>
      <c r="Y356" s="39">
        <v>49</v>
      </c>
      <c r="Z356" s="39">
        <f>Y356+X356+W356+V356</f>
        <v>197</v>
      </c>
      <c r="AA356" s="39">
        <v>48</v>
      </c>
      <c r="AB356" s="39">
        <v>53</v>
      </c>
      <c r="AC356" s="39">
        <v>51</v>
      </c>
      <c r="AD356" s="39">
        <v>51</v>
      </c>
      <c r="AE356" s="39">
        <f>AD356+AC356+AB356+AA356</f>
        <v>203</v>
      </c>
      <c r="AF356" s="39">
        <v>56</v>
      </c>
      <c r="AG356" s="39">
        <v>52</v>
      </c>
      <c r="AH356" s="39">
        <v>55</v>
      </c>
      <c r="AI356" s="39">
        <v>57</v>
      </c>
      <c r="AJ356" s="39">
        <f>AI356+AH356+AG356+AF356</f>
        <v>220</v>
      </c>
      <c r="AK356" s="39">
        <v>54</v>
      </c>
      <c r="AL356" s="39">
        <v>62</v>
      </c>
      <c r="AM356" s="39">
        <v>63</v>
      </c>
      <c r="AN356" s="39">
        <v>52</v>
      </c>
      <c r="AO356" s="39">
        <f>AN356+AM356+AL356+AK356</f>
        <v>231</v>
      </c>
      <c r="AP356" s="39">
        <v>50</v>
      </c>
      <c r="AQ356" s="39">
        <v>52</v>
      </c>
      <c r="AR356" s="39">
        <v>53</v>
      </c>
      <c r="AS356" s="39">
        <v>56</v>
      </c>
      <c r="AT356" s="39">
        <f>AS356+AR356+AQ356+AP356</f>
        <v>211</v>
      </c>
      <c r="AU356" s="39">
        <v>52</v>
      </c>
      <c r="AV356" s="39">
        <v>51</v>
      </c>
      <c r="AW356" s="39">
        <v>7</v>
      </c>
      <c r="AX356" s="39">
        <v>1</v>
      </c>
      <c r="AY356" s="39">
        <f>AX356+AW356+AV356+AU356</f>
        <v>111</v>
      </c>
      <c r="AZ356" s="39">
        <f>AU356*(1+AZ357)</f>
        <v>0</v>
      </c>
      <c r="BA356" s="39">
        <f>AV356*(1+BA357)</f>
        <v>0</v>
      </c>
      <c r="BB356" s="39">
        <f>AW356*(1+BB357)</f>
        <v>0</v>
      </c>
      <c r="BC356" s="39">
        <f>AX356*(1+BC357)</f>
        <v>0</v>
      </c>
      <c r="BD356" s="39">
        <f>BC356+BB356+BA356+AZ356</f>
        <v>0</v>
      </c>
      <c r="BE356" s="39"/>
      <c r="BF356" s="39"/>
      <c r="BG356" s="39"/>
      <c r="BH356" s="39"/>
      <c r="BI356" s="39"/>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187"/>
      <c r="DM356" s="187"/>
      <c r="DN356" s="187"/>
      <c r="DO356" s="187"/>
      <c r="DP356" s="187"/>
    </row>
    <row r="357" spans="1:120" hidden="1" x14ac:dyDescent="0.2">
      <c r="A357" s="78" t="s">
        <v>237</v>
      </c>
      <c r="F357" s="98"/>
      <c r="G357" s="83"/>
      <c r="H357" s="83"/>
      <c r="I357" s="83"/>
      <c r="J357" s="83"/>
      <c r="K357" s="83"/>
      <c r="L357" s="83"/>
      <c r="M357" s="83"/>
      <c r="N357" s="83"/>
      <c r="O357" s="83"/>
      <c r="P357" s="83"/>
      <c r="Q357" s="83">
        <f t="shared" ref="Q357:AY357" si="294">Q356/L356-1</f>
        <v>0.41290322580645156</v>
      </c>
      <c r="R357" s="83">
        <f t="shared" si="294"/>
        <v>0.29999999999999982</v>
      </c>
      <c r="S357" s="83">
        <f t="shared" si="294"/>
        <v>0.21081081081081066</v>
      </c>
      <c r="T357" s="83">
        <f t="shared" si="294"/>
        <v>0.21951219512195119</v>
      </c>
      <c r="U357" s="100">
        <f t="shared" si="294"/>
        <v>0.27862068965517217</v>
      </c>
      <c r="V357" s="83">
        <f t="shared" si="294"/>
        <v>0.16438356164383561</v>
      </c>
      <c r="W357" s="83">
        <f t="shared" si="294"/>
        <v>0.13247863247863245</v>
      </c>
      <c r="X357" s="83">
        <f t="shared" si="294"/>
        <v>-1.7857142857142794E-2</v>
      </c>
      <c r="Y357" s="83">
        <f t="shared" si="294"/>
        <v>-2.0000000000000018E-2</v>
      </c>
      <c r="Z357" s="100">
        <f t="shared" si="294"/>
        <v>6.2567421790722832E-2</v>
      </c>
      <c r="AA357" s="83">
        <f t="shared" si="294"/>
        <v>-5.8823529411764719E-2</v>
      </c>
      <c r="AB357" s="83">
        <f t="shared" si="294"/>
        <v>0</v>
      </c>
      <c r="AC357" s="83">
        <f t="shared" si="294"/>
        <v>0.15909090909090917</v>
      </c>
      <c r="AD357" s="83">
        <f t="shared" si="294"/>
        <v>4.081632653061229E-2</v>
      </c>
      <c r="AE357" s="100">
        <f t="shared" si="294"/>
        <v>3.0456852791878264E-2</v>
      </c>
      <c r="AF357" s="83">
        <f t="shared" si="294"/>
        <v>0.16666666666666674</v>
      </c>
      <c r="AG357" s="83">
        <f t="shared" si="294"/>
        <v>-1.8867924528301883E-2</v>
      </c>
      <c r="AH357" s="83">
        <f t="shared" si="294"/>
        <v>7.8431372549019551E-2</v>
      </c>
      <c r="AI357" s="83">
        <f t="shared" si="294"/>
        <v>0.11764705882352944</v>
      </c>
      <c r="AJ357" s="100">
        <f t="shared" si="294"/>
        <v>8.3743842364532028E-2</v>
      </c>
      <c r="AK357" s="83">
        <f t="shared" si="294"/>
        <v>-3.5714285714285698E-2</v>
      </c>
      <c r="AL357" s="83">
        <f t="shared" si="294"/>
        <v>0.19230769230769229</v>
      </c>
      <c r="AM357" s="83">
        <f t="shared" si="294"/>
        <v>0.1454545454545455</v>
      </c>
      <c r="AN357" s="83">
        <f t="shared" si="294"/>
        <v>-8.7719298245614086E-2</v>
      </c>
      <c r="AO357" s="100">
        <f t="shared" si="294"/>
        <v>5.0000000000000044E-2</v>
      </c>
      <c r="AP357" s="83">
        <f t="shared" si="294"/>
        <v>-7.407407407407407E-2</v>
      </c>
      <c r="AQ357" s="83">
        <f t="shared" si="294"/>
        <v>-0.16129032258064513</v>
      </c>
      <c r="AR357" s="83">
        <f t="shared" si="294"/>
        <v>-0.15873015873015872</v>
      </c>
      <c r="AS357" s="83">
        <f t="shared" si="294"/>
        <v>7.6923076923076872E-2</v>
      </c>
      <c r="AT357" s="100">
        <f t="shared" si="294"/>
        <v>-8.6580086580086535E-2</v>
      </c>
      <c r="AU357" s="83">
        <f t="shared" si="294"/>
        <v>4.0000000000000036E-2</v>
      </c>
      <c r="AV357" s="83">
        <f t="shared" si="294"/>
        <v>-1.9230769230769273E-2</v>
      </c>
      <c r="AW357" s="83">
        <f t="shared" si="294"/>
        <v>-0.86792452830188682</v>
      </c>
      <c r="AX357" s="83">
        <f t="shared" si="294"/>
        <v>-0.9821428571428571</v>
      </c>
      <c r="AY357" s="100">
        <f t="shared" si="294"/>
        <v>-0.47393364928909953</v>
      </c>
      <c r="AZ357" s="100">
        <v>-1</v>
      </c>
      <c r="BA357" s="100">
        <v>-1</v>
      </c>
      <c r="BB357" s="100">
        <v>-1</v>
      </c>
      <c r="BC357" s="100">
        <v>-1</v>
      </c>
      <c r="BD357" s="100">
        <f>BD356/AY356-1</f>
        <v>-1</v>
      </c>
      <c r="BE357" s="100"/>
      <c r="BF357" s="100"/>
      <c r="BG357" s="100"/>
      <c r="BH357" s="100"/>
      <c r="BI357" s="99"/>
      <c r="BJ357" s="99"/>
      <c r="BK357" s="156"/>
      <c r="BL357" s="99"/>
      <c r="BM357" s="99"/>
      <c r="BN357" s="99"/>
      <c r="BO357" s="99"/>
      <c r="BP357" s="156"/>
      <c r="BQ357" s="99"/>
      <c r="BR357" s="99"/>
      <c r="BS357" s="99"/>
      <c r="BT357" s="99"/>
      <c r="BU357" s="156"/>
      <c r="BV357" s="99"/>
      <c r="BW357" s="99"/>
      <c r="BX357" s="99"/>
      <c r="BY357" s="99"/>
      <c r="BZ357" s="99"/>
      <c r="CA357" s="99"/>
      <c r="CB357" s="99"/>
      <c r="CC357" s="99"/>
      <c r="CD357" s="99"/>
      <c r="CE357" s="99"/>
      <c r="CF357" s="99"/>
      <c r="CG357" s="99"/>
      <c r="CH357" s="99"/>
      <c r="CI357" s="99"/>
      <c r="CJ357" s="99"/>
      <c r="CK357" s="99"/>
      <c r="CL357" s="99"/>
      <c r="CM357" s="99"/>
      <c r="CN357" s="99"/>
      <c r="CO357" s="99"/>
      <c r="CP357" s="99"/>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199"/>
      <c r="DM357" s="199"/>
      <c r="DN357" s="199"/>
      <c r="DO357" s="199"/>
      <c r="DP357" s="199"/>
    </row>
    <row r="358" spans="1:120" hidden="1" x14ac:dyDescent="0.2">
      <c r="A358" s="36" t="s">
        <v>238</v>
      </c>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v>2</v>
      </c>
      <c r="AJ358" s="36">
        <f>AI358+AH358+AG358+AF358</f>
        <v>2</v>
      </c>
      <c r="AK358" s="36">
        <v>4</v>
      </c>
      <c r="AL358" s="36">
        <v>2</v>
      </c>
      <c r="AM358" s="36">
        <v>3</v>
      </c>
      <c r="AN358" s="36">
        <v>2</v>
      </c>
      <c r="AO358" s="36">
        <f>AN358+AM358+AL358+AK358</f>
        <v>11</v>
      </c>
      <c r="AP358" s="36">
        <v>2</v>
      </c>
      <c r="AQ358" s="36">
        <v>2</v>
      </c>
      <c r="AR358" s="36">
        <v>2</v>
      </c>
      <c r="AS358" s="36">
        <v>3</v>
      </c>
      <c r="AT358" s="36">
        <f>AS358+AR358+AQ358+AP358</f>
        <v>9</v>
      </c>
      <c r="AU358" s="36">
        <v>1</v>
      </c>
      <c r="AV358" s="36">
        <v>2</v>
      </c>
      <c r="AW358" s="36">
        <v>2</v>
      </c>
      <c r="AX358" s="36">
        <v>1</v>
      </c>
      <c r="AY358" s="36">
        <f>AX358+AW358+AV358+AU358</f>
        <v>6</v>
      </c>
      <c r="AZ358" s="36">
        <v>2</v>
      </c>
      <c r="BA358" s="36">
        <v>1</v>
      </c>
      <c r="BB358" s="36">
        <v>1</v>
      </c>
      <c r="BC358" s="36">
        <v>1</v>
      </c>
      <c r="BD358" s="36">
        <f>BC358+BB358+BA358+AZ358</f>
        <v>5</v>
      </c>
      <c r="BE358" s="36">
        <v>1</v>
      </c>
      <c r="BF358" s="36">
        <v>1</v>
      </c>
      <c r="BG358" s="36">
        <v>1</v>
      </c>
      <c r="BH358" s="36">
        <v>1</v>
      </c>
      <c r="BI358" s="36">
        <f>SUM(BE358:BH358)</f>
        <v>4</v>
      </c>
      <c r="BJ358" s="36">
        <v>1</v>
      </c>
      <c r="BK358" s="36">
        <v>1</v>
      </c>
      <c r="BL358" s="36">
        <v>1</v>
      </c>
      <c r="BM358" s="36">
        <v>3</v>
      </c>
      <c r="BN358" s="36">
        <f>SUM(BJ358:BM358)</f>
        <v>6</v>
      </c>
      <c r="BO358" s="36">
        <v>1</v>
      </c>
      <c r="BP358" s="36">
        <v>1</v>
      </c>
      <c r="BQ358" s="36">
        <v>1</v>
      </c>
      <c r="BR358" s="36">
        <v>1</v>
      </c>
      <c r="BS358" s="36">
        <f>SUM(BO358:BR358)</f>
        <v>4</v>
      </c>
      <c r="BT358" s="36"/>
      <c r="BU358" s="36"/>
      <c r="BV358" s="36"/>
      <c r="BW358" s="36"/>
      <c r="BX358" s="36"/>
      <c r="BY358" s="36"/>
      <c r="BZ358" s="36"/>
      <c r="CA358" s="36"/>
      <c r="CB358" s="36"/>
      <c r="CC358" s="36"/>
      <c r="CD358" s="36"/>
      <c r="CE358" s="36"/>
      <c r="CF358" s="36"/>
      <c r="CG358" s="36"/>
      <c r="CH358" s="36"/>
      <c r="CI358" s="36"/>
      <c r="CJ358" s="36"/>
      <c r="CK358" s="36"/>
      <c r="CL358" s="36"/>
      <c r="CM358" s="36"/>
      <c r="CN358" s="36"/>
      <c r="CO358" s="36"/>
      <c r="CP358" s="36"/>
      <c r="CQ358" s="36"/>
      <c r="CR358" s="36"/>
      <c r="CS358" s="36"/>
      <c r="CT358" s="36"/>
      <c r="CU358" s="36"/>
      <c r="CV358" s="36"/>
      <c r="CW358" s="36"/>
      <c r="CX358" s="36"/>
      <c r="CY358" s="36"/>
      <c r="CZ358" s="36"/>
      <c r="DA358" s="36"/>
      <c r="DB358" s="36"/>
      <c r="DC358" s="36"/>
      <c r="DD358" s="36"/>
      <c r="DE358" s="36"/>
      <c r="DF358" s="36"/>
      <c r="DG358" s="36"/>
      <c r="DH358" s="36"/>
      <c r="DI358" s="36"/>
      <c r="DJ358" s="36"/>
      <c r="DK358" s="36"/>
      <c r="DL358" s="183"/>
      <c r="DM358" s="183"/>
      <c r="DN358" s="183"/>
      <c r="DO358" s="183"/>
      <c r="DP358" s="183"/>
    </row>
    <row r="359" spans="1:120" hidden="1" x14ac:dyDescent="0.2">
      <c r="A359" s="36" t="s">
        <v>239</v>
      </c>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v>31</v>
      </c>
      <c r="AJ359" s="36">
        <f>AI359+AH359+AG359+AF359</f>
        <v>31</v>
      </c>
      <c r="AK359" s="36">
        <v>64</v>
      </c>
      <c r="AL359" s="36">
        <v>59</v>
      </c>
      <c r="AM359" s="36">
        <v>58</v>
      </c>
      <c r="AN359" s="36">
        <v>46</v>
      </c>
      <c r="AO359" s="36">
        <f>AN359+AM359+AL359+AK359</f>
        <v>227</v>
      </c>
      <c r="AP359" s="36">
        <v>48</v>
      </c>
      <c r="AQ359" s="36">
        <v>48</v>
      </c>
      <c r="AR359" s="36">
        <v>72</v>
      </c>
      <c r="AS359" s="36">
        <v>57</v>
      </c>
      <c r="AT359" s="36">
        <f>AS359+AR359+AQ359+AP359</f>
        <v>225</v>
      </c>
      <c r="AU359" s="36">
        <v>49</v>
      </c>
      <c r="AV359" s="36">
        <v>57</v>
      </c>
      <c r="AW359" s="36">
        <v>49</v>
      </c>
      <c r="AX359" s="36">
        <v>61</v>
      </c>
      <c r="AY359" s="36">
        <f>AX359+AW359+AV359+AU359</f>
        <v>216</v>
      </c>
      <c r="AZ359" s="36">
        <v>58</v>
      </c>
      <c r="BA359" s="36">
        <v>55</v>
      </c>
      <c r="BB359" s="36">
        <v>63</v>
      </c>
      <c r="BC359" s="36">
        <v>58</v>
      </c>
      <c r="BD359" s="36">
        <f>BC359+BB359+BA359+AZ359</f>
        <v>234</v>
      </c>
      <c r="BE359" s="36">
        <v>56</v>
      </c>
      <c r="BF359" s="36">
        <v>64</v>
      </c>
      <c r="BG359" s="36">
        <v>51</v>
      </c>
      <c r="BH359" s="36">
        <v>56</v>
      </c>
      <c r="BI359" s="36">
        <f>SUM(BE359:BH359)</f>
        <v>227</v>
      </c>
      <c r="BJ359" s="36">
        <v>51</v>
      </c>
      <c r="BK359" s="36">
        <v>52</v>
      </c>
      <c r="BL359" s="36">
        <v>43</v>
      </c>
      <c r="BM359" s="36">
        <v>54</v>
      </c>
      <c r="BN359" s="36">
        <f>SUM(BJ359:BM359)</f>
        <v>200</v>
      </c>
      <c r="BO359" s="36">
        <v>50</v>
      </c>
      <c r="BP359" s="36">
        <v>39</v>
      </c>
      <c r="BQ359" s="36">
        <v>46</v>
      </c>
      <c r="BR359" s="36">
        <v>55</v>
      </c>
      <c r="BS359" s="36">
        <f>SUM(BO359:BR359)</f>
        <v>190</v>
      </c>
      <c r="BT359" s="36"/>
      <c r="BU359" s="36"/>
      <c r="BV359" s="36"/>
      <c r="BW359" s="36"/>
      <c r="BX359" s="36"/>
      <c r="BY359" s="36"/>
      <c r="BZ359" s="36"/>
      <c r="CA359" s="36"/>
      <c r="CB359" s="36"/>
      <c r="CC359" s="36"/>
      <c r="CD359" s="36"/>
      <c r="CE359" s="36"/>
      <c r="CF359" s="36"/>
      <c r="CG359" s="36"/>
      <c r="CH359" s="36"/>
      <c r="CI359" s="36"/>
      <c r="CJ359" s="36"/>
      <c r="CK359" s="36"/>
      <c r="CL359" s="36"/>
      <c r="CM359" s="36"/>
      <c r="CN359" s="36"/>
      <c r="CO359" s="36"/>
      <c r="CP359" s="36"/>
      <c r="CQ359" s="36"/>
      <c r="CR359" s="36"/>
      <c r="CS359" s="36"/>
      <c r="CT359" s="36"/>
      <c r="CU359" s="36"/>
      <c r="CV359" s="36"/>
      <c r="CW359" s="36"/>
      <c r="CX359" s="36"/>
      <c r="CY359" s="36"/>
      <c r="CZ359" s="36"/>
      <c r="DA359" s="36"/>
      <c r="DB359" s="36"/>
      <c r="DC359" s="36"/>
      <c r="DD359" s="36"/>
      <c r="DE359" s="36"/>
      <c r="DF359" s="36"/>
      <c r="DG359" s="36"/>
      <c r="DH359" s="36"/>
      <c r="DI359" s="36"/>
      <c r="DJ359" s="36"/>
      <c r="DK359" s="36"/>
      <c r="DL359" s="183"/>
      <c r="DM359" s="183"/>
      <c r="DN359" s="183"/>
      <c r="DO359" s="183"/>
      <c r="DP359" s="183"/>
    </row>
    <row r="360" spans="1:120" hidden="1" x14ac:dyDescent="0.2">
      <c r="A360" s="39" t="s">
        <v>240</v>
      </c>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f>AI359+AI358</f>
        <v>33</v>
      </c>
      <c r="AJ360" s="39">
        <f>AI360+AH360+AG360+AF360</f>
        <v>33</v>
      </c>
      <c r="AK360" s="39">
        <f>AK359+AK358</f>
        <v>68</v>
      </c>
      <c r="AL360" s="39">
        <f>AL359+AL358</f>
        <v>61</v>
      </c>
      <c r="AM360" s="39">
        <f>AM359+AM358</f>
        <v>61</v>
      </c>
      <c r="AN360" s="39">
        <f>AN359+AN358</f>
        <v>48</v>
      </c>
      <c r="AO360" s="39">
        <f>AN360+AM360+AL360+AK360</f>
        <v>238</v>
      </c>
      <c r="AP360" s="39">
        <f>AP359+AP358</f>
        <v>50</v>
      </c>
      <c r="AQ360" s="39">
        <f>AQ359+AQ358</f>
        <v>50</v>
      </c>
      <c r="AR360" s="39">
        <f>AR359+AR358</f>
        <v>74</v>
      </c>
      <c r="AS360" s="39">
        <f>AS359+AS358</f>
        <v>60</v>
      </c>
      <c r="AT360" s="39">
        <f>AS360+AR360+AQ360+AP360</f>
        <v>234</v>
      </c>
      <c r="AU360" s="39">
        <f>AU359+AU358</f>
        <v>50</v>
      </c>
      <c r="AV360" s="39">
        <f>AV359+AV358</f>
        <v>59</v>
      </c>
      <c r="AW360" s="39">
        <f>AW359+AW358</f>
        <v>51</v>
      </c>
      <c r="AX360" s="39">
        <f>AX359+AX358</f>
        <v>62</v>
      </c>
      <c r="AY360" s="39">
        <f>AX360+AW360+AV360+AU360</f>
        <v>222</v>
      </c>
      <c r="AZ360" s="39">
        <f>AZ359+AZ358</f>
        <v>60</v>
      </c>
      <c r="BA360" s="39">
        <f>BA359+BA358</f>
        <v>56</v>
      </c>
      <c r="BB360" s="39">
        <f>BB359+BB358</f>
        <v>64</v>
      </c>
      <c r="BC360" s="39">
        <f>BC359+BC358</f>
        <v>59</v>
      </c>
      <c r="BD360" s="39">
        <f>BC360+BB360+BA360+AZ360</f>
        <v>239</v>
      </c>
      <c r="BE360" s="39">
        <f>BE358+BE359</f>
        <v>57</v>
      </c>
      <c r="BF360" s="39">
        <f>BF358+BF359</f>
        <v>65</v>
      </c>
      <c r="BG360" s="39">
        <f>BG358+BG359</f>
        <v>52</v>
      </c>
      <c r="BH360" s="39">
        <f>BH358+BH359</f>
        <v>57</v>
      </c>
      <c r="BI360" s="39">
        <f t="shared" ref="BI360:BS360" si="295">BI359+BI358</f>
        <v>231</v>
      </c>
      <c r="BJ360" s="39">
        <f t="shared" si="295"/>
        <v>52</v>
      </c>
      <c r="BK360" s="39">
        <f t="shared" si="295"/>
        <v>53</v>
      </c>
      <c r="BL360" s="39">
        <f t="shared" si="295"/>
        <v>44</v>
      </c>
      <c r="BM360" s="39">
        <f t="shared" si="295"/>
        <v>57</v>
      </c>
      <c r="BN360" s="39">
        <f t="shared" si="295"/>
        <v>206</v>
      </c>
      <c r="BO360" s="39">
        <f t="shared" si="295"/>
        <v>51</v>
      </c>
      <c r="BP360" s="39">
        <f t="shared" si="295"/>
        <v>40</v>
      </c>
      <c r="BQ360" s="39">
        <f t="shared" si="295"/>
        <v>47</v>
      </c>
      <c r="BR360" s="39">
        <f t="shared" si="295"/>
        <v>56</v>
      </c>
      <c r="BS360" s="39">
        <f t="shared" si="295"/>
        <v>194</v>
      </c>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187"/>
      <c r="DM360" s="187"/>
      <c r="DN360" s="187"/>
      <c r="DO360" s="187"/>
      <c r="DP360" s="187"/>
    </row>
    <row r="361" spans="1:120" hidden="1" x14ac:dyDescent="0.2">
      <c r="A361" s="68" t="s">
        <v>54</v>
      </c>
      <c r="G361" s="39"/>
      <c r="H361" s="39"/>
      <c r="I361" s="39"/>
      <c r="J361" s="39"/>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f t="shared" ref="AT361:BR363" si="296">AT358/AO358-1</f>
        <v>-0.18181818181818177</v>
      </c>
      <c r="AU361" s="75">
        <f t="shared" si="296"/>
        <v>-0.5</v>
      </c>
      <c r="AV361" s="75">
        <f t="shared" si="296"/>
        <v>0</v>
      </c>
      <c r="AW361" s="75">
        <f t="shared" si="296"/>
        <v>0</v>
      </c>
      <c r="AX361" s="75">
        <f t="shared" si="296"/>
        <v>-0.66666666666666674</v>
      </c>
      <c r="AY361" s="75">
        <f t="shared" si="296"/>
        <v>-0.33333333333333337</v>
      </c>
      <c r="AZ361" s="75">
        <f t="shared" si="296"/>
        <v>1</v>
      </c>
      <c r="BA361" s="75">
        <f t="shared" si="296"/>
        <v>-0.5</v>
      </c>
      <c r="BB361" s="75">
        <f t="shared" si="296"/>
        <v>-0.5</v>
      </c>
      <c r="BC361" s="75">
        <f t="shared" si="296"/>
        <v>0</v>
      </c>
      <c r="BD361" s="75">
        <f t="shared" si="296"/>
        <v>-0.16666666666666663</v>
      </c>
      <c r="BE361" s="76">
        <f t="shared" si="296"/>
        <v>-0.5</v>
      </c>
      <c r="BF361" s="76">
        <f t="shared" si="296"/>
        <v>0</v>
      </c>
      <c r="BG361" s="76">
        <f t="shared" si="296"/>
        <v>0</v>
      </c>
      <c r="BH361" s="76">
        <f t="shared" si="296"/>
        <v>0</v>
      </c>
      <c r="BI361" s="90">
        <f t="shared" si="296"/>
        <v>-0.19999999999999996</v>
      </c>
      <c r="BJ361" s="76">
        <f t="shared" si="296"/>
        <v>0</v>
      </c>
      <c r="BK361" s="76">
        <f t="shared" si="296"/>
        <v>0</v>
      </c>
      <c r="BL361" s="76">
        <f t="shared" si="296"/>
        <v>0</v>
      </c>
      <c r="BM361" s="76">
        <f t="shared" si="296"/>
        <v>2</v>
      </c>
      <c r="BN361" s="90">
        <f>BN358/BI358-1</f>
        <v>0.5</v>
      </c>
      <c r="BO361" s="76">
        <f t="shared" si="296"/>
        <v>0</v>
      </c>
      <c r="BP361" s="76">
        <f t="shared" si="296"/>
        <v>0</v>
      </c>
      <c r="BQ361" s="76">
        <f t="shared" si="296"/>
        <v>0</v>
      </c>
      <c r="BR361" s="76">
        <f t="shared" si="296"/>
        <v>-0.66666666666666674</v>
      </c>
      <c r="BS361" s="75">
        <f>BS358/BN358-1</f>
        <v>-0.33333333333333337</v>
      </c>
      <c r="BT361" s="76"/>
      <c r="BU361" s="76"/>
      <c r="BV361" s="76"/>
      <c r="BW361" s="76"/>
      <c r="BX361" s="75"/>
      <c r="BY361" s="75"/>
      <c r="BZ361" s="75"/>
      <c r="CA361" s="75"/>
      <c r="CB361" s="75"/>
      <c r="CC361" s="75"/>
      <c r="CD361" s="75"/>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5"/>
      <c r="DA361" s="75"/>
      <c r="DB361" s="75"/>
      <c r="DC361" s="75"/>
      <c r="DD361" s="75"/>
      <c r="DE361" s="75"/>
      <c r="DF361" s="75"/>
      <c r="DG361" s="75"/>
      <c r="DH361" s="75"/>
      <c r="DI361" s="75"/>
      <c r="DJ361" s="75"/>
      <c r="DK361" s="75"/>
      <c r="DL361" s="192"/>
      <c r="DM361" s="192"/>
      <c r="DN361" s="192"/>
      <c r="DO361" s="192"/>
      <c r="DP361" s="192"/>
    </row>
    <row r="362" spans="1:120" hidden="1" x14ac:dyDescent="0.2">
      <c r="A362" s="68" t="s">
        <v>55</v>
      </c>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f t="shared" si="296"/>
        <v>-8.8105726872246271E-3</v>
      </c>
      <c r="AU362" s="75">
        <f t="shared" si="296"/>
        <v>2.0833333333333259E-2</v>
      </c>
      <c r="AV362" s="75">
        <f t="shared" si="296"/>
        <v>0.1875</v>
      </c>
      <c r="AW362" s="75">
        <f t="shared" si="296"/>
        <v>-0.31944444444444442</v>
      </c>
      <c r="AX362" s="75">
        <f t="shared" si="296"/>
        <v>7.0175438596491224E-2</v>
      </c>
      <c r="AY362" s="75">
        <f t="shared" si="296"/>
        <v>-4.0000000000000036E-2</v>
      </c>
      <c r="AZ362" s="75">
        <f t="shared" si="296"/>
        <v>0.18367346938775508</v>
      </c>
      <c r="BA362" s="75">
        <f t="shared" si="296"/>
        <v>-3.5087719298245612E-2</v>
      </c>
      <c r="BB362" s="75">
        <f t="shared" si="296"/>
        <v>0.28571428571428581</v>
      </c>
      <c r="BC362" s="75">
        <f t="shared" si="296"/>
        <v>-4.9180327868852514E-2</v>
      </c>
      <c r="BD362" s="75">
        <f t="shared" si="296"/>
        <v>8.3333333333333259E-2</v>
      </c>
      <c r="BE362" s="76">
        <f t="shared" si="296"/>
        <v>-3.4482758620689613E-2</v>
      </c>
      <c r="BF362" s="76">
        <f t="shared" si="296"/>
        <v>0.16363636363636358</v>
      </c>
      <c r="BG362" s="76">
        <f t="shared" si="296"/>
        <v>-0.19047619047619047</v>
      </c>
      <c r="BH362" s="76">
        <f t="shared" si="296"/>
        <v>-3.4482758620689613E-2</v>
      </c>
      <c r="BI362" s="90">
        <f t="shared" si="296"/>
        <v>-2.9914529914529919E-2</v>
      </c>
      <c r="BJ362" s="76">
        <f t="shared" si="296"/>
        <v>-8.9285714285714302E-2</v>
      </c>
      <c r="BK362" s="76">
        <f t="shared" si="296"/>
        <v>-0.1875</v>
      </c>
      <c r="BL362" s="76">
        <f t="shared" si="296"/>
        <v>-0.15686274509803921</v>
      </c>
      <c r="BM362" s="76">
        <f t="shared" si="296"/>
        <v>-3.5714285714285698E-2</v>
      </c>
      <c r="BN362" s="90">
        <f>BN359/BI359-1</f>
        <v>-0.11894273127753308</v>
      </c>
      <c r="BO362" s="76">
        <f t="shared" si="296"/>
        <v>-1.9607843137254943E-2</v>
      </c>
      <c r="BP362" s="76">
        <f t="shared" si="296"/>
        <v>-0.25</v>
      </c>
      <c r="BQ362" s="76">
        <f t="shared" si="296"/>
        <v>6.9767441860465018E-2</v>
      </c>
      <c r="BR362" s="76">
        <f t="shared" si="296"/>
        <v>1.8518518518518601E-2</v>
      </c>
      <c r="BS362" s="75">
        <f>BS359/BN359-1</f>
        <v>-5.0000000000000044E-2</v>
      </c>
      <c r="BT362" s="76"/>
      <c r="BU362" s="76"/>
      <c r="BV362" s="76"/>
      <c r="BW362" s="76"/>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5"/>
      <c r="DA362" s="75"/>
      <c r="DB362" s="75"/>
      <c r="DC362" s="75"/>
      <c r="DD362" s="75"/>
      <c r="DE362" s="75"/>
      <c r="DF362" s="75"/>
      <c r="DG362" s="75"/>
      <c r="DH362" s="75"/>
      <c r="DI362" s="75"/>
      <c r="DJ362" s="75"/>
      <c r="DK362" s="75"/>
      <c r="DL362" s="192"/>
      <c r="DM362" s="192"/>
      <c r="DN362" s="192"/>
      <c r="DO362" s="192"/>
      <c r="DP362" s="192"/>
    </row>
    <row r="363" spans="1:120" hidden="1" x14ac:dyDescent="0.2">
      <c r="A363" s="78" t="s">
        <v>56</v>
      </c>
      <c r="F363" s="98"/>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f t="shared" si="296"/>
        <v>-1.6806722689075682E-2</v>
      </c>
      <c r="AU363" s="83">
        <f t="shared" si="296"/>
        <v>0</v>
      </c>
      <c r="AV363" s="83">
        <f t="shared" si="296"/>
        <v>0.17999999999999994</v>
      </c>
      <c r="AW363" s="83">
        <f t="shared" si="296"/>
        <v>-0.31081081081081086</v>
      </c>
      <c r="AX363" s="83">
        <f t="shared" si="296"/>
        <v>3.3333333333333437E-2</v>
      </c>
      <c r="AY363" s="83">
        <f t="shared" si="296"/>
        <v>-5.1282051282051322E-2</v>
      </c>
      <c r="AZ363" s="83">
        <f t="shared" si="296"/>
        <v>0.19999999999999996</v>
      </c>
      <c r="BA363" s="83">
        <f t="shared" si="296"/>
        <v>-5.084745762711862E-2</v>
      </c>
      <c r="BB363" s="83">
        <f t="shared" si="296"/>
        <v>0.25490196078431371</v>
      </c>
      <c r="BC363" s="83">
        <f t="shared" si="296"/>
        <v>-4.8387096774193505E-2</v>
      </c>
      <c r="BD363" s="83">
        <f t="shared" si="296"/>
        <v>7.6576576576576683E-2</v>
      </c>
      <c r="BE363" s="80">
        <f t="shared" si="296"/>
        <v>-5.0000000000000044E-2</v>
      </c>
      <c r="BF363" s="80">
        <f t="shared" si="296"/>
        <v>0.16071428571428581</v>
      </c>
      <c r="BG363" s="80">
        <f>BG360/BB360-1</f>
        <v>-0.1875</v>
      </c>
      <c r="BH363" s="80">
        <f>BH360/BC360-1</f>
        <v>-3.3898305084745783E-2</v>
      </c>
      <c r="BI363" s="80">
        <f t="shared" si="296"/>
        <v>-3.3472803347280311E-2</v>
      </c>
      <c r="BJ363" s="80">
        <f t="shared" si="296"/>
        <v>-8.7719298245614086E-2</v>
      </c>
      <c r="BK363" s="91">
        <f>BK360/BF360-1</f>
        <v>-0.18461538461538463</v>
      </c>
      <c r="BL363" s="91">
        <f>BL360/BG360-1</f>
        <v>-0.15384615384615385</v>
      </c>
      <c r="BM363" s="91">
        <f>BM360/BH360-1</f>
        <v>0</v>
      </c>
      <c r="BN363" s="80">
        <f>BN360/BI360-1</f>
        <v>-0.10822510822510822</v>
      </c>
      <c r="BO363" s="80">
        <f>BO360/BJ360-1</f>
        <v>-1.9230769230769273E-2</v>
      </c>
      <c r="BP363" s="91">
        <f>BP360/BK360-1</f>
        <v>-0.24528301886792447</v>
      </c>
      <c r="BQ363" s="91">
        <f>BQ360/BL360-1</f>
        <v>6.8181818181818121E-2</v>
      </c>
      <c r="BR363" s="91">
        <f>BR360/BM360-1</f>
        <v>-1.7543859649122862E-2</v>
      </c>
      <c r="BS363" s="83">
        <f>BS360/BN360-1</f>
        <v>-5.8252427184465994E-2</v>
      </c>
      <c r="BT363" s="80"/>
      <c r="BU363" s="91"/>
      <c r="BV363" s="91"/>
      <c r="BW363" s="91"/>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c r="DC363" s="83"/>
      <c r="DD363" s="83"/>
      <c r="DE363" s="83"/>
      <c r="DF363" s="83"/>
      <c r="DG363" s="83"/>
      <c r="DH363" s="83"/>
      <c r="DI363" s="83"/>
      <c r="DJ363" s="83"/>
      <c r="DK363" s="83"/>
      <c r="DL363" s="193"/>
      <c r="DM363" s="193"/>
      <c r="DN363" s="193"/>
      <c r="DO363" s="193"/>
      <c r="DP363" s="193"/>
    </row>
    <row r="364" spans="1:120" hidden="1" x14ac:dyDescent="0.2">
      <c r="A364" s="39" t="s">
        <v>241</v>
      </c>
      <c r="G364" s="39"/>
      <c r="H364" s="39"/>
      <c r="I364" s="39"/>
      <c r="J364" s="39"/>
      <c r="K364" s="39"/>
      <c r="L364" s="39">
        <v>22.4</v>
      </c>
      <c r="M364" s="39">
        <v>26</v>
      </c>
      <c r="N364" s="39">
        <v>30.4</v>
      </c>
      <c r="O364" s="39">
        <v>32.4</v>
      </c>
      <c r="P364" s="39">
        <f>O364+N364+M364+L364</f>
        <v>111.19999999999999</v>
      </c>
      <c r="Q364" s="39">
        <v>34.4</v>
      </c>
      <c r="R364" s="39">
        <v>35.4</v>
      </c>
      <c r="S364" s="39">
        <v>39.4</v>
      </c>
      <c r="T364" s="39">
        <v>40.4</v>
      </c>
      <c r="U364" s="39">
        <f>T364+S364+R364+Q364</f>
        <v>149.6</v>
      </c>
      <c r="V364" s="39">
        <v>43</v>
      </c>
      <c r="W364" s="39">
        <v>46</v>
      </c>
      <c r="X364" s="39">
        <v>46</v>
      </c>
      <c r="Y364" s="39">
        <v>46</v>
      </c>
      <c r="Z364" s="39">
        <f>Y364+X364+W364+V364</f>
        <v>181</v>
      </c>
      <c r="AA364" s="39">
        <v>51</v>
      </c>
      <c r="AB364" s="39">
        <v>53</v>
      </c>
      <c r="AC364" s="39">
        <v>52</v>
      </c>
      <c r="AD364" s="39">
        <v>49</v>
      </c>
      <c r="AE364" s="39">
        <f>AD364+AC364+AB364+AA364</f>
        <v>205</v>
      </c>
      <c r="AF364" s="39">
        <v>62</v>
      </c>
      <c r="AG364" s="39">
        <v>65</v>
      </c>
      <c r="AH364" s="39">
        <v>64</v>
      </c>
      <c r="AI364" s="39">
        <v>66</v>
      </c>
      <c r="AJ364" s="39">
        <f>AI364+AH364+AG364+AF364</f>
        <v>257</v>
      </c>
      <c r="AK364" s="39">
        <v>74</v>
      </c>
      <c r="AL364" s="39">
        <v>78</v>
      </c>
      <c r="AM364" s="39">
        <v>80</v>
      </c>
      <c r="AN364" s="39">
        <v>64</v>
      </c>
      <c r="AO364" s="39">
        <f>AN364+AM364+AL364+AK364</f>
        <v>296</v>
      </c>
      <c r="AP364" s="39">
        <v>61</v>
      </c>
      <c r="AQ364" s="39">
        <v>68</v>
      </c>
      <c r="AR364" s="39">
        <v>67</v>
      </c>
      <c r="AS364" s="39">
        <v>70</v>
      </c>
      <c r="AT364" s="39">
        <f>AS364+AR364+AQ364+AP364</f>
        <v>266</v>
      </c>
      <c r="AU364" s="39">
        <v>74</v>
      </c>
      <c r="AV364" s="39">
        <v>66</v>
      </c>
      <c r="AW364" s="39">
        <v>70</v>
      </c>
      <c r="AX364" s="39">
        <v>75</v>
      </c>
      <c r="AY364" s="39">
        <f>AX364+AW364+AV364+AU364</f>
        <v>285</v>
      </c>
      <c r="AZ364" s="39"/>
      <c r="BA364" s="39">
        <v>0</v>
      </c>
      <c r="BB364" s="39">
        <v>0</v>
      </c>
      <c r="BC364" s="39">
        <v>0</v>
      </c>
      <c r="BD364" s="39">
        <f>BC364+BB364+BA364+AZ364</f>
        <v>0</v>
      </c>
      <c r="BE364" s="39"/>
      <c r="BF364" s="39"/>
      <c r="BG364" s="39"/>
      <c r="BH364" s="39"/>
      <c r="BI364" s="39">
        <f>BD364*(1+BI365)</f>
        <v>0</v>
      </c>
      <c r="BJ364" s="39">
        <v>0</v>
      </c>
      <c r="BK364" s="39">
        <v>0</v>
      </c>
      <c r="BL364" s="39">
        <v>0</v>
      </c>
      <c r="BM364" s="39">
        <v>0</v>
      </c>
      <c r="BN364" s="39">
        <f>BI364*(1+BN365)</f>
        <v>0</v>
      </c>
      <c r="BO364" s="39">
        <v>0</v>
      </c>
      <c r="BP364" s="39">
        <v>0</v>
      </c>
      <c r="BQ364" s="39">
        <v>0</v>
      </c>
      <c r="BR364" s="39">
        <v>0</v>
      </c>
      <c r="BS364" s="39">
        <f t="shared" ref="BS364:CR364" si="297">BN364*(1+BS365)</f>
        <v>0</v>
      </c>
      <c r="BT364" s="39">
        <f t="shared" si="297"/>
        <v>0</v>
      </c>
      <c r="BU364" s="39">
        <f t="shared" si="297"/>
        <v>0</v>
      </c>
      <c r="BV364" s="39">
        <f t="shared" si="297"/>
        <v>0</v>
      </c>
      <c r="BW364" s="39">
        <f t="shared" si="297"/>
        <v>0</v>
      </c>
      <c r="BX364" s="39">
        <f t="shared" si="297"/>
        <v>0</v>
      </c>
      <c r="BY364" s="39">
        <f t="shared" si="297"/>
        <v>0</v>
      </c>
      <c r="BZ364" s="39">
        <f t="shared" si="297"/>
        <v>0</v>
      </c>
      <c r="CA364" s="39">
        <f t="shared" si="297"/>
        <v>0</v>
      </c>
      <c r="CB364" s="39">
        <f t="shared" si="297"/>
        <v>0</v>
      </c>
      <c r="CC364" s="39">
        <f t="shared" si="297"/>
        <v>0</v>
      </c>
      <c r="CD364" s="39">
        <f t="shared" si="297"/>
        <v>0</v>
      </c>
      <c r="CE364" s="39">
        <f t="shared" si="297"/>
        <v>0</v>
      </c>
      <c r="CF364" s="39">
        <f t="shared" si="297"/>
        <v>0</v>
      </c>
      <c r="CG364" s="39">
        <f t="shared" si="297"/>
        <v>0</v>
      </c>
      <c r="CH364" s="39">
        <f t="shared" si="297"/>
        <v>0</v>
      </c>
      <c r="CI364" s="39">
        <f t="shared" si="297"/>
        <v>0</v>
      </c>
      <c r="CJ364" s="39">
        <f t="shared" si="297"/>
        <v>0</v>
      </c>
      <c r="CK364" s="39">
        <f t="shared" si="297"/>
        <v>0</v>
      </c>
      <c r="CL364" s="39">
        <f t="shared" si="297"/>
        <v>0</v>
      </c>
      <c r="CM364" s="39">
        <f t="shared" si="297"/>
        <v>0</v>
      </c>
      <c r="CN364" s="39">
        <f t="shared" si="297"/>
        <v>0</v>
      </c>
      <c r="CO364" s="39">
        <f t="shared" si="297"/>
        <v>0</v>
      </c>
      <c r="CP364" s="39">
        <f t="shared" si="297"/>
        <v>0</v>
      </c>
      <c r="CQ364" s="39">
        <f t="shared" si="297"/>
        <v>0</v>
      </c>
      <c r="CR364" s="39">
        <f t="shared" si="297"/>
        <v>0</v>
      </c>
      <c r="CS364" s="39"/>
      <c r="CT364" s="39"/>
      <c r="CU364" s="39"/>
      <c r="CV364" s="39"/>
      <c r="CW364" s="39">
        <f>CR364*(1+CW365)</f>
        <v>0</v>
      </c>
      <c r="CX364" s="39"/>
      <c r="CY364" s="39"/>
      <c r="CZ364" s="39"/>
      <c r="DA364" s="39"/>
      <c r="DB364" s="39">
        <f t="shared" ref="DB364:DL364" si="298">CW364*(1+DB365)</f>
        <v>0</v>
      </c>
      <c r="DC364" s="39">
        <f t="shared" si="298"/>
        <v>0</v>
      </c>
      <c r="DD364" s="39">
        <f t="shared" si="298"/>
        <v>0</v>
      </c>
      <c r="DE364" s="39">
        <f t="shared" si="298"/>
        <v>0</v>
      </c>
      <c r="DF364" s="39">
        <f t="shared" si="298"/>
        <v>0</v>
      </c>
      <c r="DG364" s="39">
        <f t="shared" si="298"/>
        <v>0</v>
      </c>
      <c r="DH364" s="39">
        <f t="shared" si="298"/>
        <v>0</v>
      </c>
      <c r="DI364" s="39">
        <f t="shared" si="298"/>
        <v>0</v>
      </c>
      <c r="DJ364" s="39">
        <f t="shared" si="298"/>
        <v>0</v>
      </c>
      <c r="DK364" s="39">
        <f t="shared" si="298"/>
        <v>0</v>
      </c>
      <c r="DL364" s="187">
        <f t="shared" si="298"/>
        <v>0</v>
      </c>
      <c r="DM364" s="187">
        <f t="shared" ref="DM364:DP364" si="299">DL364*(1+DM365)</f>
        <v>0</v>
      </c>
      <c r="DN364" s="187">
        <f t="shared" si="299"/>
        <v>0</v>
      </c>
      <c r="DO364" s="187">
        <f t="shared" si="299"/>
        <v>0</v>
      </c>
      <c r="DP364" s="187">
        <f t="shared" si="299"/>
        <v>0</v>
      </c>
    </row>
    <row r="365" spans="1:120" hidden="1" x14ac:dyDescent="0.2">
      <c r="A365" s="78" t="s">
        <v>237</v>
      </c>
      <c r="F365" s="98"/>
      <c r="G365" s="83"/>
      <c r="H365" s="83"/>
      <c r="I365" s="83"/>
      <c r="J365" s="83"/>
      <c r="K365" s="83"/>
      <c r="L365" s="83" t="e">
        <f>L364/G364-1</f>
        <v>#DIV/0!</v>
      </c>
      <c r="M365" s="83" t="e">
        <f>M364/H364-1</f>
        <v>#DIV/0!</v>
      </c>
      <c r="N365" s="83" t="e">
        <f>N364/I364-1</f>
        <v>#DIV/0!</v>
      </c>
      <c r="O365" s="83" t="e">
        <f>O364/J364-1</f>
        <v>#DIV/0!</v>
      </c>
      <c r="P365" s="83"/>
      <c r="Q365" s="83">
        <f t="shared" ref="Q365:AY365" si="300">Q364/L364-1</f>
        <v>0.53571428571428581</v>
      </c>
      <c r="R365" s="83">
        <f t="shared" si="300"/>
        <v>0.36153846153846159</v>
      </c>
      <c r="S365" s="83">
        <f t="shared" si="300"/>
        <v>0.29605263157894735</v>
      </c>
      <c r="T365" s="83">
        <f t="shared" si="300"/>
        <v>0.24691358024691357</v>
      </c>
      <c r="U365" s="100">
        <f t="shared" si="300"/>
        <v>0.34532374100719432</v>
      </c>
      <c r="V365" s="83">
        <f t="shared" si="300"/>
        <v>0.25</v>
      </c>
      <c r="W365" s="83">
        <f t="shared" si="300"/>
        <v>0.29943502824858759</v>
      </c>
      <c r="X365" s="83">
        <f t="shared" si="300"/>
        <v>0.1675126903553299</v>
      </c>
      <c r="Y365" s="83">
        <f t="shared" si="300"/>
        <v>0.13861386138613874</v>
      </c>
      <c r="Z365" s="100">
        <f t="shared" si="300"/>
        <v>0.20989304812834231</v>
      </c>
      <c r="AA365" s="83">
        <f t="shared" si="300"/>
        <v>0.18604651162790709</v>
      </c>
      <c r="AB365" s="83">
        <f t="shared" si="300"/>
        <v>0.15217391304347827</v>
      </c>
      <c r="AC365" s="83">
        <f t="shared" si="300"/>
        <v>0.13043478260869557</v>
      </c>
      <c r="AD365" s="83">
        <f t="shared" si="300"/>
        <v>6.5217391304347894E-2</v>
      </c>
      <c r="AE365" s="100">
        <f t="shared" si="300"/>
        <v>0.13259668508287303</v>
      </c>
      <c r="AF365" s="83">
        <f t="shared" si="300"/>
        <v>0.21568627450980382</v>
      </c>
      <c r="AG365" s="83">
        <f t="shared" si="300"/>
        <v>0.22641509433962259</v>
      </c>
      <c r="AH365" s="83">
        <f t="shared" si="300"/>
        <v>0.23076923076923084</v>
      </c>
      <c r="AI365" s="83">
        <f t="shared" si="300"/>
        <v>0.34693877551020402</v>
      </c>
      <c r="AJ365" s="100">
        <f t="shared" si="300"/>
        <v>0.25365853658536586</v>
      </c>
      <c r="AK365" s="83">
        <f t="shared" si="300"/>
        <v>0.19354838709677424</v>
      </c>
      <c r="AL365" s="83">
        <f t="shared" si="300"/>
        <v>0.19999999999999996</v>
      </c>
      <c r="AM365" s="83">
        <f t="shared" si="300"/>
        <v>0.25</v>
      </c>
      <c r="AN365" s="83">
        <f t="shared" si="300"/>
        <v>-3.0303030303030276E-2</v>
      </c>
      <c r="AO365" s="100">
        <f t="shared" si="300"/>
        <v>0.15175097276264582</v>
      </c>
      <c r="AP365" s="83">
        <f t="shared" si="300"/>
        <v>-0.17567567567567566</v>
      </c>
      <c r="AQ365" s="83">
        <f t="shared" si="300"/>
        <v>-0.12820512820512819</v>
      </c>
      <c r="AR365" s="83">
        <f t="shared" si="300"/>
        <v>-0.16249999999999998</v>
      </c>
      <c r="AS365" s="83">
        <f t="shared" si="300"/>
        <v>9.375E-2</v>
      </c>
      <c r="AT365" s="100">
        <f t="shared" si="300"/>
        <v>-0.10135135135135132</v>
      </c>
      <c r="AU365" s="83">
        <f t="shared" si="300"/>
        <v>0.21311475409836067</v>
      </c>
      <c r="AV365" s="83">
        <f t="shared" si="300"/>
        <v>-2.9411764705882359E-2</v>
      </c>
      <c r="AW365" s="83">
        <f t="shared" si="300"/>
        <v>4.4776119402984982E-2</v>
      </c>
      <c r="AX365" s="83">
        <f t="shared" si="300"/>
        <v>7.1428571428571397E-2</v>
      </c>
      <c r="AY365" s="100">
        <f t="shared" si="300"/>
        <v>7.1428571428571397E-2</v>
      </c>
      <c r="AZ365" s="100"/>
      <c r="BA365" s="100">
        <v>-1</v>
      </c>
      <c r="BB365" s="100">
        <v>-1</v>
      </c>
      <c r="BC365" s="100">
        <v>-1</v>
      </c>
      <c r="BD365" s="100">
        <f>BD364/AY364-1</f>
        <v>-1</v>
      </c>
      <c r="BE365" s="100"/>
      <c r="BF365" s="100"/>
      <c r="BG365" s="100"/>
      <c r="BH365" s="100"/>
      <c r="BI365" s="99">
        <v>-1</v>
      </c>
      <c r="BJ365" s="99"/>
      <c r="BK365" s="156"/>
      <c r="BL365" s="99"/>
      <c r="BM365" s="99"/>
      <c r="BN365" s="99">
        <v>-1</v>
      </c>
      <c r="BO365" s="99"/>
      <c r="BP365" s="156"/>
      <c r="BQ365" s="99"/>
      <c r="BR365" s="99"/>
      <c r="BS365" s="99"/>
      <c r="BT365" s="99"/>
      <c r="BU365" s="156"/>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199"/>
      <c r="DM365" s="199"/>
      <c r="DN365" s="199"/>
      <c r="DO365" s="199"/>
      <c r="DP365" s="199"/>
    </row>
    <row r="366" spans="1:120" hidden="1" x14ac:dyDescent="0.2">
      <c r="A366" s="21" t="s">
        <v>242</v>
      </c>
      <c r="G366" s="143"/>
      <c r="H366" s="143"/>
      <c r="I366" s="143"/>
      <c r="J366" s="143"/>
      <c r="K366" s="144"/>
      <c r="L366" s="40">
        <v>15</v>
      </c>
      <c r="M366" s="40">
        <v>54</v>
      </c>
      <c r="N366" s="40">
        <v>38</v>
      </c>
      <c r="O366" s="40">
        <v>37</v>
      </c>
      <c r="P366" s="144">
        <f>O366+N366+M366+L366</f>
        <v>144</v>
      </c>
      <c r="Q366" s="40">
        <v>18</v>
      </c>
      <c r="R366" s="36">
        <v>33</v>
      </c>
      <c r="S366" s="36">
        <v>30</v>
      </c>
      <c r="T366" s="36">
        <v>29</v>
      </c>
      <c r="U366" s="36">
        <f>T366+S366+R366+Q366</f>
        <v>110</v>
      </c>
      <c r="V366" s="36">
        <v>32</v>
      </c>
      <c r="W366" s="36">
        <v>36</v>
      </c>
      <c r="X366" s="36">
        <v>36</v>
      </c>
      <c r="Y366" s="36">
        <v>32</v>
      </c>
      <c r="Z366" s="36">
        <f>Y366+X366+W366+V366</f>
        <v>136</v>
      </c>
      <c r="AA366" s="36">
        <v>30</v>
      </c>
      <c r="AB366" s="36">
        <v>33</v>
      </c>
      <c r="AC366" s="36">
        <v>28</v>
      </c>
      <c r="AD366" s="36">
        <v>29</v>
      </c>
      <c r="AE366" s="36">
        <f>AD366+AC366+AB366+AA366</f>
        <v>120</v>
      </c>
      <c r="AF366" s="36">
        <v>31</v>
      </c>
      <c r="AG366" s="36">
        <v>28</v>
      </c>
      <c r="AH366" s="36">
        <v>29</v>
      </c>
      <c r="AI366" s="36">
        <v>28</v>
      </c>
      <c r="AJ366" s="36">
        <f>AI366+AH366+AG366+AF366</f>
        <v>116</v>
      </c>
      <c r="AK366" s="36">
        <v>27</v>
      </c>
      <c r="AL366" s="36">
        <v>29</v>
      </c>
      <c r="AM366" s="36">
        <v>30</v>
      </c>
      <c r="AN366" s="36">
        <v>32</v>
      </c>
      <c r="AO366" s="36">
        <f>AN366+AM366+AL366+AK366</f>
        <v>118</v>
      </c>
      <c r="AP366" s="36">
        <v>27</v>
      </c>
      <c r="AQ366" s="36">
        <v>35</v>
      </c>
      <c r="AR366" s="36">
        <v>31</v>
      </c>
      <c r="AS366" s="36">
        <v>29</v>
      </c>
      <c r="AT366" s="36">
        <f>AS366+AR366+AQ366+AP366</f>
        <v>122</v>
      </c>
      <c r="AU366" s="36">
        <v>30</v>
      </c>
      <c r="AV366" s="36">
        <v>29</v>
      </c>
      <c r="AW366" s="36">
        <v>26</v>
      </c>
      <c r="AX366" s="36">
        <v>28</v>
      </c>
      <c r="AY366" s="36">
        <f>AX366+AW366+AV366+AU366</f>
        <v>113</v>
      </c>
      <c r="AZ366" s="36">
        <v>26</v>
      </c>
      <c r="BA366" s="36">
        <v>24</v>
      </c>
      <c r="BB366" s="36">
        <v>23</v>
      </c>
      <c r="BC366" s="36">
        <v>25</v>
      </c>
      <c r="BD366" s="36">
        <f>BC366+BB366+BA366+AZ366</f>
        <v>98</v>
      </c>
      <c r="BE366" s="36"/>
      <c r="BF366" s="36"/>
      <c r="BG366" s="36"/>
      <c r="BH366" s="36"/>
      <c r="BI366" s="36"/>
      <c r="BJ366" s="36"/>
      <c r="BK366" s="36"/>
      <c r="BL366" s="36"/>
      <c r="BM366" s="36"/>
      <c r="BN366" s="36"/>
      <c r="BO366" s="36"/>
      <c r="BP366" s="36"/>
      <c r="BQ366" s="36"/>
      <c r="BR366" s="36"/>
      <c r="BS366" s="36"/>
      <c r="BT366" s="36"/>
      <c r="BU366" s="36"/>
      <c r="BV366" s="36"/>
      <c r="BW366" s="36"/>
      <c r="BX366" s="36"/>
      <c r="BY366" s="36"/>
      <c r="BZ366" s="36"/>
      <c r="CA366" s="36"/>
      <c r="CB366" s="36"/>
      <c r="CC366" s="36"/>
      <c r="CD366" s="36"/>
      <c r="CE366" s="36"/>
      <c r="CF366" s="36"/>
      <c r="CG366" s="36"/>
      <c r="CH366" s="36"/>
      <c r="CI366" s="36"/>
      <c r="CJ366" s="36"/>
      <c r="CK366" s="36"/>
      <c r="CL366" s="36"/>
      <c r="CM366" s="36"/>
      <c r="CN366" s="36"/>
      <c r="CO366" s="36"/>
      <c r="CP366" s="36"/>
      <c r="CQ366" s="36"/>
      <c r="CR366" s="36"/>
      <c r="CS366" s="36"/>
      <c r="CT366" s="36"/>
      <c r="CU366" s="36"/>
      <c r="CV366" s="36"/>
      <c r="CW366" s="36"/>
      <c r="CX366" s="36"/>
      <c r="CY366" s="36"/>
      <c r="CZ366" s="36"/>
      <c r="DA366" s="36"/>
      <c r="DB366" s="36"/>
      <c r="DC366" s="36"/>
      <c r="DD366" s="36"/>
      <c r="DE366" s="36"/>
      <c r="DF366" s="36"/>
      <c r="DG366" s="36"/>
      <c r="DH366" s="36"/>
      <c r="DI366" s="36"/>
      <c r="DJ366" s="36"/>
      <c r="DK366" s="36"/>
      <c r="DL366" s="183"/>
      <c r="DM366" s="183"/>
      <c r="DN366" s="183"/>
      <c r="DO366" s="183"/>
      <c r="DP366" s="183"/>
    </row>
    <row r="367" spans="1:120" hidden="1" x14ac:dyDescent="0.2">
      <c r="A367" s="21" t="s">
        <v>243</v>
      </c>
      <c r="G367" s="143"/>
      <c r="H367" s="143"/>
      <c r="I367" s="143"/>
      <c r="J367" s="143"/>
      <c r="K367" s="144"/>
      <c r="L367" s="40">
        <v>59</v>
      </c>
      <c r="M367" s="40">
        <v>71</v>
      </c>
      <c r="N367" s="40">
        <v>65</v>
      </c>
      <c r="O367" s="40">
        <v>70</v>
      </c>
      <c r="P367" s="144">
        <f>O367+N367+M367+L367</f>
        <v>265</v>
      </c>
      <c r="Q367" s="40">
        <v>51</v>
      </c>
      <c r="R367" s="36">
        <v>56</v>
      </c>
      <c r="S367" s="36">
        <v>51</v>
      </c>
      <c r="T367" s="36">
        <v>50</v>
      </c>
      <c r="U367" s="36">
        <f>T367+S367+R367+Q367</f>
        <v>208</v>
      </c>
      <c r="V367" s="36">
        <v>41</v>
      </c>
      <c r="W367" s="36">
        <v>39</v>
      </c>
      <c r="X367" s="36">
        <v>36</v>
      </c>
      <c r="Y367" s="36">
        <v>34</v>
      </c>
      <c r="Z367" s="36">
        <f>Y367+X367+W367+V367</f>
        <v>150</v>
      </c>
      <c r="AA367" s="36">
        <v>30</v>
      </c>
      <c r="AB367" s="36">
        <v>31</v>
      </c>
      <c r="AC367" s="36">
        <v>29</v>
      </c>
      <c r="AD367" s="36">
        <v>28</v>
      </c>
      <c r="AE367" s="36">
        <f>AD367+AC367+AB367+AA367</f>
        <v>118</v>
      </c>
      <c r="AF367" s="36">
        <v>29</v>
      </c>
      <c r="AG367" s="36">
        <v>27</v>
      </c>
      <c r="AH367" s="36">
        <v>32</v>
      </c>
      <c r="AI367" s="36">
        <v>29</v>
      </c>
      <c r="AJ367" s="36">
        <f>AI367+AH367+AG367+AF367</f>
        <v>117</v>
      </c>
      <c r="AK367" s="36">
        <v>28</v>
      </c>
      <c r="AL367" s="36">
        <v>32</v>
      </c>
      <c r="AM367" s="36">
        <v>31</v>
      </c>
      <c r="AN367" s="36">
        <v>25</v>
      </c>
      <c r="AO367" s="36">
        <f>AN367+AM367+AL367+AK367</f>
        <v>116</v>
      </c>
      <c r="AP367" s="36">
        <v>27</v>
      </c>
      <c r="AQ367" s="36">
        <v>32</v>
      </c>
      <c r="AR367" s="36">
        <v>25</v>
      </c>
      <c r="AS367" s="36">
        <v>25</v>
      </c>
      <c r="AT367" s="36">
        <f>AS367+AR367+AQ367+AP367</f>
        <v>109</v>
      </c>
      <c r="AU367" s="36">
        <v>24</v>
      </c>
      <c r="AV367" s="36">
        <v>22</v>
      </c>
      <c r="AW367" s="36">
        <v>24</v>
      </c>
      <c r="AX367" s="36">
        <v>26</v>
      </c>
      <c r="AY367" s="36">
        <f>AX367+AW367+AV367+AU367</f>
        <v>96</v>
      </c>
      <c r="AZ367" s="36">
        <v>23</v>
      </c>
      <c r="BA367" s="36">
        <v>24</v>
      </c>
      <c r="BB367" s="36">
        <v>24</v>
      </c>
      <c r="BC367" s="36">
        <v>26</v>
      </c>
      <c r="BD367" s="36">
        <f>BC367+BB367+BA367+AZ367</f>
        <v>97</v>
      </c>
      <c r="BE367" s="36"/>
      <c r="BF367" s="36"/>
      <c r="BG367" s="36"/>
      <c r="BH367" s="36"/>
      <c r="BI367" s="36"/>
      <c r="BJ367" s="36"/>
      <c r="BK367" s="36"/>
      <c r="BL367" s="36"/>
      <c r="BM367" s="36"/>
      <c r="BN367" s="36"/>
      <c r="BO367" s="36"/>
      <c r="BP367" s="36"/>
      <c r="BQ367" s="36"/>
      <c r="BR367" s="36"/>
      <c r="BS367" s="36"/>
      <c r="BT367" s="36"/>
      <c r="BU367" s="36"/>
      <c r="BV367" s="36"/>
      <c r="BW367" s="36"/>
      <c r="BX367" s="36"/>
      <c r="BY367" s="36"/>
      <c r="BZ367" s="36"/>
      <c r="CA367" s="36"/>
      <c r="CB367" s="36"/>
      <c r="CC367" s="36"/>
      <c r="CD367" s="36"/>
      <c r="CE367" s="36"/>
      <c r="CF367" s="36"/>
      <c r="CG367" s="36"/>
      <c r="CH367" s="36"/>
      <c r="CI367" s="36"/>
      <c r="CJ367" s="36"/>
      <c r="CK367" s="36"/>
      <c r="CL367" s="36"/>
      <c r="CM367" s="36"/>
      <c r="CN367" s="36"/>
      <c r="CO367" s="36"/>
      <c r="CP367" s="36"/>
      <c r="CQ367" s="36"/>
      <c r="CR367" s="36"/>
      <c r="CS367" s="36"/>
      <c r="CT367" s="36"/>
      <c r="CU367" s="36"/>
      <c r="CV367" s="36"/>
      <c r="CW367" s="36"/>
      <c r="CX367" s="36"/>
      <c r="CY367" s="36"/>
      <c r="CZ367" s="36"/>
      <c r="DA367" s="36"/>
      <c r="DB367" s="36"/>
      <c r="DC367" s="36"/>
      <c r="DD367" s="36"/>
      <c r="DE367" s="36"/>
      <c r="DF367" s="36"/>
      <c r="DG367" s="36"/>
      <c r="DH367" s="36"/>
      <c r="DI367" s="36"/>
      <c r="DJ367" s="36"/>
      <c r="DK367" s="36"/>
      <c r="DL367" s="183"/>
      <c r="DM367" s="183"/>
      <c r="DN367" s="183"/>
      <c r="DO367" s="183"/>
      <c r="DP367" s="183"/>
    </row>
    <row r="368" spans="1:120" hidden="1" x14ac:dyDescent="0.2">
      <c r="A368" s="31" t="s">
        <v>244</v>
      </c>
      <c r="G368" s="143"/>
      <c r="H368" s="143"/>
      <c r="I368" s="143"/>
      <c r="J368" s="143"/>
      <c r="K368" s="145"/>
      <c r="L368" s="146">
        <f t="shared" ref="L368:T368" si="301">L367+L366</f>
        <v>74</v>
      </c>
      <c r="M368" s="146">
        <f t="shared" si="301"/>
        <v>125</v>
      </c>
      <c r="N368" s="146">
        <f t="shared" si="301"/>
        <v>103</v>
      </c>
      <c r="O368" s="146">
        <f t="shared" si="301"/>
        <v>107</v>
      </c>
      <c r="P368" s="145">
        <f t="shared" si="301"/>
        <v>409</v>
      </c>
      <c r="Q368" s="146">
        <f t="shared" si="301"/>
        <v>69</v>
      </c>
      <c r="R368" s="39">
        <f t="shared" si="301"/>
        <v>89</v>
      </c>
      <c r="S368" s="39">
        <f t="shared" si="301"/>
        <v>81</v>
      </c>
      <c r="T368" s="39">
        <f t="shared" si="301"/>
        <v>79</v>
      </c>
      <c r="U368" s="39">
        <f>T368+S368+R368+Q368</f>
        <v>318</v>
      </c>
      <c r="V368" s="146">
        <f>V367+V366</f>
        <v>73</v>
      </c>
      <c r="W368" s="146">
        <f>W367+W366</f>
        <v>75</v>
      </c>
      <c r="X368" s="146">
        <f>X367+X366</f>
        <v>72</v>
      </c>
      <c r="Y368" s="146">
        <f>Y367+Y366</f>
        <v>66</v>
      </c>
      <c r="Z368" s="39">
        <f>Y368+X368+W368+V368</f>
        <v>286</v>
      </c>
      <c r="AA368" s="146">
        <f>AA367+AA366</f>
        <v>60</v>
      </c>
      <c r="AB368" s="146">
        <f>AB367+AB366</f>
        <v>64</v>
      </c>
      <c r="AC368" s="39">
        <f>AC367+AC366</f>
        <v>57</v>
      </c>
      <c r="AD368" s="39">
        <f>AD367+AD366</f>
        <v>57</v>
      </c>
      <c r="AE368" s="39">
        <f>AD368+AC368+AB368+AA368</f>
        <v>238</v>
      </c>
      <c r="AF368" s="39">
        <f>AF367+AF366</f>
        <v>60</v>
      </c>
      <c r="AG368" s="39">
        <f>AG367+AG366</f>
        <v>55</v>
      </c>
      <c r="AH368" s="39">
        <f>AH367+AH366</f>
        <v>61</v>
      </c>
      <c r="AI368" s="39">
        <f>AI367+AI366</f>
        <v>57</v>
      </c>
      <c r="AJ368" s="39">
        <f>AI368+AH368+AG368+AF368</f>
        <v>233</v>
      </c>
      <c r="AK368" s="39">
        <f>AK367+AK366</f>
        <v>55</v>
      </c>
      <c r="AL368" s="39">
        <f>AL367+AL366</f>
        <v>61</v>
      </c>
      <c r="AM368" s="39">
        <f>AM367+AM366</f>
        <v>61</v>
      </c>
      <c r="AN368" s="39">
        <f>AN367+AN366</f>
        <v>57</v>
      </c>
      <c r="AO368" s="39">
        <f>AN368+AM368+AL368+AK368</f>
        <v>234</v>
      </c>
      <c r="AP368" s="39">
        <f>AP367+AP366</f>
        <v>54</v>
      </c>
      <c r="AQ368" s="39">
        <f>AQ367+AQ366</f>
        <v>67</v>
      </c>
      <c r="AR368" s="39">
        <f>AR367+AR366</f>
        <v>56</v>
      </c>
      <c r="AS368" s="39">
        <f>AS367+AS366</f>
        <v>54</v>
      </c>
      <c r="AT368" s="39">
        <f>AS368+AR368+AQ368+AP368</f>
        <v>231</v>
      </c>
      <c r="AU368" s="39">
        <f>AU367+AU366</f>
        <v>54</v>
      </c>
      <c r="AV368" s="39">
        <f>AV367+AV366</f>
        <v>51</v>
      </c>
      <c r="AW368" s="39">
        <f>AW367+AW366</f>
        <v>50</v>
      </c>
      <c r="AX368" s="39">
        <f>AX367+AX366</f>
        <v>54</v>
      </c>
      <c r="AY368" s="39">
        <f>AX368+AW368+AV368+AU368</f>
        <v>209</v>
      </c>
      <c r="AZ368" s="39">
        <f>AZ367+AZ366</f>
        <v>49</v>
      </c>
      <c r="BA368" s="39">
        <f>BA367+BA366</f>
        <v>48</v>
      </c>
      <c r="BB368" s="39">
        <f>BB367+BB366</f>
        <v>47</v>
      </c>
      <c r="BC368" s="39">
        <f>BC367+BC366</f>
        <v>51</v>
      </c>
      <c r="BD368" s="39">
        <f>BC368+BB368+BA368+AZ368</f>
        <v>195</v>
      </c>
      <c r="BE368" s="39"/>
      <c r="BF368" s="39"/>
      <c r="BG368" s="39"/>
      <c r="BH368" s="39"/>
      <c r="BI368" s="39"/>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187"/>
      <c r="DM368" s="187"/>
      <c r="DN368" s="187"/>
      <c r="DO368" s="187"/>
      <c r="DP368" s="187"/>
    </row>
    <row r="369" spans="1:120" hidden="1" x14ac:dyDescent="0.2">
      <c r="A369" s="68" t="s">
        <v>54</v>
      </c>
      <c r="G369" s="143"/>
      <c r="H369" s="143"/>
      <c r="I369" s="143"/>
      <c r="J369" s="143"/>
      <c r="K369" s="147"/>
      <c r="L369" s="143"/>
      <c r="M369" s="143"/>
      <c r="N369" s="143"/>
      <c r="O369" s="143"/>
      <c r="P369" s="147"/>
      <c r="Q369" s="75">
        <f t="shared" ref="Q369:BD371" si="302">Q366/L366-1</f>
        <v>0.19999999999999996</v>
      </c>
      <c r="R369" s="75">
        <f t="shared" si="302"/>
        <v>-0.38888888888888884</v>
      </c>
      <c r="S369" s="75">
        <f t="shared" si="302"/>
        <v>-0.21052631578947367</v>
      </c>
      <c r="T369" s="75">
        <f t="shared" si="302"/>
        <v>-0.21621621621621623</v>
      </c>
      <c r="U369" s="75">
        <f t="shared" si="302"/>
        <v>-0.23611111111111116</v>
      </c>
      <c r="V369" s="75">
        <f t="shared" si="302"/>
        <v>0.77777777777777768</v>
      </c>
      <c r="W369" s="75">
        <f t="shared" si="302"/>
        <v>9.0909090909090828E-2</v>
      </c>
      <c r="X369" s="75">
        <f t="shared" si="302"/>
        <v>0.19999999999999996</v>
      </c>
      <c r="Y369" s="75">
        <f t="shared" si="302"/>
        <v>0.10344827586206895</v>
      </c>
      <c r="Z369" s="75">
        <f t="shared" si="302"/>
        <v>0.23636363636363633</v>
      </c>
      <c r="AA369" s="75">
        <f t="shared" si="302"/>
        <v>-6.25E-2</v>
      </c>
      <c r="AB369" s="75">
        <f t="shared" si="302"/>
        <v>-8.333333333333337E-2</v>
      </c>
      <c r="AC369" s="75">
        <f t="shared" si="302"/>
        <v>-0.22222222222222221</v>
      </c>
      <c r="AD369" s="75">
        <f t="shared" si="302"/>
        <v>-9.375E-2</v>
      </c>
      <c r="AE369" s="75">
        <f t="shared" si="302"/>
        <v>-0.11764705882352944</v>
      </c>
      <c r="AF369" s="75">
        <f t="shared" si="302"/>
        <v>3.3333333333333437E-2</v>
      </c>
      <c r="AG369" s="75">
        <f t="shared" si="302"/>
        <v>-0.15151515151515149</v>
      </c>
      <c r="AH369" s="75">
        <f t="shared" si="302"/>
        <v>3.5714285714285809E-2</v>
      </c>
      <c r="AI369" s="75">
        <f t="shared" si="302"/>
        <v>-3.4482758620689613E-2</v>
      </c>
      <c r="AJ369" s="75">
        <f t="shared" si="302"/>
        <v>-3.3333333333333326E-2</v>
      </c>
      <c r="AK369" s="75">
        <f t="shared" si="302"/>
        <v>-0.12903225806451613</v>
      </c>
      <c r="AL369" s="75">
        <f t="shared" si="302"/>
        <v>3.5714285714285809E-2</v>
      </c>
      <c r="AM369" s="75">
        <f t="shared" si="302"/>
        <v>3.4482758620689724E-2</v>
      </c>
      <c r="AN369" s="75">
        <f t="shared" si="302"/>
        <v>0.14285714285714279</v>
      </c>
      <c r="AO369" s="75">
        <f t="shared" si="302"/>
        <v>1.7241379310344751E-2</v>
      </c>
      <c r="AP369" s="75">
        <f t="shared" si="302"/>
        <v>0</v>
      </c>
      <c r="AQ369" s="75">
        <f t="shared" si="302"/>
        <v>0.2068965517241379</v>
      </c>
      <c r="AR369" s="75">
        <f t="shared" si="302"/>
        <v>3.3333333333333437E-2</v>
      </c>
      <c r="AS369" s="75">
        <f t="shared" si="302"/>
        <v>-9.375E-2</v>
      </c>
      <c r="AT369" s="75">
        <f t="shared" si="302"/>
        <v>3.3898305084745672E-2</v>
      </c>
      <c r="AU369" s="75">
        <f t="shared" si="302"/>
        <v>0.11111111111111116</v>
      </c>
      <c r="AV369" s="75">
        <f t="shared" si="302"/>
        <v>-0.17142857142857137</v>
      </c>
      <c r="AW369" s="75">
        <f t="shared" si="302"/>
        <v>-0.16129032258064513</v>
      </c>
      <c r="AX369" s="75">
        <f t="shared" si="302"/>
        <v>-3.4482758620689613E-2</v>
      </c>
      <c r="AY369" s="75">
        <f t="shared" si="302"/>
        <v>-7.3770491803278659E-2</v>
      </c>
      <c r="AZ369" s="75">
        <f t="shared" si="302"/>
        <v>-0.1333333333333333</v>
      </c>
      <c r="BA369" s="75">
        <f t="shared" si="302"/>
        <v>-0.17241379310344829</v>
      </c>
      <c r="BB369" s="75">
        <f t="shared" si="302"/>
        <v>-0.11538461538461542</v>
      </c>
      <c r="BC369" s="75">
        <f t="shared" si="302"/>
        <v>-0.1071428571428571</v>
      </c>
      <c r="BD369" s="75">
        <f t="shared" si="302"/>
        <v>-0.13274336283185839</v>
      </c>
      <c r="BE369" s="76"/>
      <c r="BF369" s="76"/>
      <c r="BG369" s="76"/>
      <c r="BH369" s="76"/>
      <c r="BI369" s="90"/>
      <c r="BJ369" s="90"/>
      <c r="BK369" s="139"/>
      <c r="BL369" s="90"/>
      <c r="BM369" s="90"/>
      <c r="BN369" s="90"/>
      <c r="BO369" s="90"/>
      <c r="BP369" s="139"/>
      <c r="BQ369" s="90"/>
      <c r="BR369" s="90"/>
      <c r="BS369" s="90"/>
      <c r="BT369" s="90"/>
      <c r="BU369" s="139"/>
      <c r="BV369" s="90"/>
      <c r="BW369" s="90"/>
      <c r="BX369" s="90"/>
      <c r="BY369" s="90"/>
      <c r="BZ369" s="90"/>
      <c r="CA369" s="90"/>
      <c r="CB369" s="90"/>
      <c r="CC369" s="90"/>
      <c r="CD369" s="90"/>
      <c r="CE369" s="90"/>
      <c r="CF369" s="90"/>
      <c r="CG369" s="90"/>
      <c r="CH369" s="90"/>
      <c r="CI369" s="90"/>
      <c r="CJ369" s="90"/>
      <c r="CK369" s="90"/>
      <c r="CL369" s="90"/>
      <c r="CM369" s="90"/>
      <c r="CN369" s="90"/>
      <c r="CO369" s="90"/>
      <c r="CP369" s="90"/>
      <c r="CQ369" s="90"/>
      <c r="CR369" s="90"/>
      <c r="CS369" s="90"/>
      <c r="CT369" s="90"/>
      <c r="CU369" s="90"/>
      <c r="CV369" s="90"/>
      <c r="CW369" s="90"/>
      <c r="CX369" s="90"/>
      <c r="CY369" s="90"/>
      <c r="CZ369" s="90"/>
      <c r="DA369" s="90"/>
      <c r="DB369" s="90"/>
      <c r="DC369" s="90"/>
      <c r="DD369" s="90"/>
      <c r="DE369" s="90"/>
      <c r="DF369" s="90"/>
      <c r="DG369" s="90"/>
      <c r="DH369" s="90"/>
      <c r="DI369" s="90"/>
      <c r="DJ369" s="90"/>
      <c r="DK369" s="90"/>
      <c r="DL369" s="188"/>
      <c r="DM369" s="188"/>
      <c r="DN369" s="188"/>
      <c r="DO369" s="188"/>
      <c r="DP369" s="188"/>
    </row>
    <row r="370" spans="1:120" hidden="1" x14ac:dyDescent="0.2">
      <c r="A370" s="68" t="s">
        <v>55</v>
      </c>
      <c r="G370" s="143"/>
      <c r="H370" s="143"/>
      <c r="I370" s="143"/>
      <c r="J370" s="143"/>
      <c r="K370" s="147"/>
      <c r="L370" s="143"/>
      <c r="M370" s="143"/>
      <c r="N370" s="143"/>
      <c r="O370" s="143"/>
      <c r="P370" s="147"/>
      <c r="Q370" s="75">
        <f t="shared" si="302"/>
        <v>-0.13559322033898302</v>
      </c>
      <c r="R370" s="75">
        <f t="shared" si="302"/>
        <v>-0.21126760563380287</v>
      </c>
      <c r="S370" s="75">
        <f t="shared" si="302"/>
        <v>-0.2153846153846154</v>
      </c>
      <c r="T370" s="75">
        <f t="shared" si="302"/>
        <v>-0.2857142857142857</v>
      </c>
      <c r="U370" s="75">
        <f t="shared" si="302"/>
        <v>-0.21509433962264146</v>
      </c>
      <c r="V370" s="75">
        <f t="shared" si="302"/>
        <v>-0.19607843137254899</v>
      </c>
      <c r="W370" s="75">
        <f t="shared" si="302"/>
        <v>-0.3035714285714286</v>
      </c>
      <c r="X370" s="75">
        <f t="shared" si="302"/>
        <v>-0.29411764705882348</v>
      </c>
      <c r="Y370" s="75">
        <f t="shared" si="302"/>
        <v>-0.31999999999999995</v>
      </c>
      <c r="Z370" s="75">
        <f t="shared" si="302"/>
        <v>-0.27884615384615385</v>
      </c>
      <c r="AA370" s="75">
        <f t="shared" si="302"/>
        <v>-0.26829268292682928</v>
      </c>
      <c r="AB370" s="75">
        <f t="shared" si="302"/>
        <v>-0.20512820512820518</v>
      </c>
      <c r="AC370" s="75">
        <f t="shared" si="302"/>
        <v>-0.19444444444444442</v>
      </c>
      <c r="AD370" s="75">
        <f t="shared" si="302"/>
        <v>-0.17647058823529416</v>
      </c>
      <c r="AE370" s="75">
        <f t="shared" si="302"/>
        <v>-0.21333333333333337</v>
      </c>
      <c r="AF370" s="75">
        <f t="shared" si="302"/>
        <v>-3.3333333333333326E-2</v>
      </c>
      <c r="AG370" s="75">
        <f t="shared" si="302"/>
        <v>-0.12903225806451613</v>
      </c>
      <c r="AH370" s="75">
        <f t="shared" si="302"/>
        <v>0.10344827586206895</v>
      </c>
      <c r="AI370" s="75">
        <f t="shared" si="302"/>
        <v>3.5714285714285809E-2</v>
      </c>
      <c r="AJ370" s="75">
        <f t="shared" si="302"/>
        <v>-8.4745762711864181E-3</v>
      </c>
      <c r="AK370" s="75">
        <f t="shared" si="302"/>
        <v>-3.4482758620689613E-2</v>
      </c>
      <c r="AL370" s="75">
        <f t="shared" si="302"/>
        <v>0.18518518518518512</v>
      </c>
      <c r="AM370" s="75">
        <f t="shared" si="302"/>
        <v>-3.125E-2</v>
      </c>
      <c r="AN370" s="75">
        <f t="shared" si="302"/>
        <v>-0.13793103448275867</v>
      </c>
      <c r="AO370" s="75">
        <f t="shared" si="302"/>
        <v>-8.5470085470085166E-3</v>
      </c>
      <c r="AP370" s="75">
        <f t="shared" si="302"/>
        <v>-3.5714285714285698E-2</v>
      </c>
      <c r="AQ370" s="75">
        <f t="shared" si="302"/>
        <v>0</v>
      </c>
      <c r="AR370" s="75">
        <f t="shared" si="302"/>
        <v>-0.19354838709677424</v>
      </c>
      <c r="AS370" s="75">
        <f t="shared" si="302"/>
        <v>0</v>
      </c>
      <c r="AT370" s="75">
        <f t="shared" si="302"/>
        <v>-6.0344827586206851E-2</v>
      </c>
      <c r="AU370" s="75">
        <f t="shared" si="302"/>
        <v>-0.11111111111111116</v>
      </c>
      <c r="AV370" s="75">
        <f t="shared" si="302"/>
        <v>-0.3125</v>
      </c>
      <c r="AW370" s="75">
        <f t="shared" si="302"/>
        <v>-4.0000000000000036E-2</v>
      </c>
      <c r="AX370" s="75">
        <f t="shared" si="302"/>
        <v>4.0000000000000036E-2</v>
      </c>
      <c r="AY370" s="75">
        <f t="shared" si="302"/>
        <v>-0.11926605504587151</v>
      </c>
      <c r="AZ370" s="75">
        <f t="shared" si="302"/>
        <v>-4.166666666666663E-2</v>
      </c>
      <c r="BA370" s="75">
        <f t="shared" si="302"/>
        <v>9.0909090909090828E-2</v>
      </c>
      <c r="BB370" s="75">
        <f t="shared" si="302"/>
        <v>0</v>
      </c>
      <c r="BC370" s="75">
        <f t="shared" si="302"/>
        <v>0</v>
      </c>
      <c r="BD370" s="75">
        <f t="shared" si="302"/>
        <v>1.0416666666666741E-2</v>
      </c>
      <c r="BE370" s="76"/>
      <c r="BF370" s="76"/>
      <c r="BG370" s="76"/>
      <c r="BH370" s="76"/>
      <c r="BI370" s="90"/>
      <c r="BJ370" s="90"/>
      <c r="BK370" s="139"/>
      <c r="BL370" s="90"/>
      <c r="BM370" s="90"/>
      <c r="BN370" s="90"/>
      <c r="BO370" s="90"/>
      <c r="BP370" s="139"/>
      <c r="BQ370" s="90"/>
      <c r="BR370" s="90"/>
      <c r="BS370" s="90"/>
      <c r="BT370" s="90"/>
      <c r="BU370" s="139"/>
      <c r="BV370" s="90"/>
      <c r="BW370" s="90"/>
      <c r="BX370" s="90"/>
      <c r="BY370" s="90"/>
      <c r="BZ370" s="90"/>
      <c r="CA370" s="90"/>
      <c r="CB370" s="90"/>
      <c r="CC370" s="90"/>
      <c r="CD370" s="90"/>
      <c r="CE370" s="90"/>
      <c r="CF370" s="90"/>
      <c r="CG370" s="90"/>
      <c r="CH370" s="90"/>
      <c r="CI370" s="90"/>
      <c r="CJ370" s="90"/>
      <c r="CK370" s="90"/>
      <c r="CL370" s="90"/>
      <c r="CM370" s="90"/>
      <c r="CN370" s="90"/>
      <c r="CO370" s="90"/>
      <c r="CP370" s="90"/>
      <c r="CQ370" s="90"/>
      <c r="CR370" s="90"/>
      <c r="CS370" s="90"/>
      <c r="CT370" s="90"/>
      <c r="CU370" s="90"/>
      <c r="CV370" s="90"/>
      <c r="CW370" s="90"/>
      <c r="CX370" s="90"/>
      <c r="CY370" s="90"/>
      <c r="CZ370" s="90"/>
      <c r="DA370" s="90"/>
      <c r="DB370" s="90"/>
      <c r="DC370" s="90"/>
      <c r="DD370" s="90"/>
      <c r="DE370" s="90"/>
      <c r="DF370" s="90"/>
      <c r="DG370" s="90"/>
      <c r="DH370" s="90"/>
      <c r="DI370" s="90"/>
      <c r="DJ370" s="90"/>
      <c r="DK370" s="90"/>
      <c r="DL370" s="188"/>
      <c r="DM370" s="188"/>
      <c r="DN370" s="188"/>
      <c r="DO370" s="188"/>
      <c r="DP370" s="188"/>
    </row>
    <row r="371" spans="1:120" hidden="1" x14ac:dyDescent="0.2">
      <c r="A371" s="78" t="s">
        <v>56</v>
      </c>
      <c r="F371" s="98"/>
      <c r="G371" s="149"/>
      <c r="H371" s="149"/>
      <c r="I371" s="149"/>
      <c r="J371" s="149"/>
      <c r="K371" s="150"/>
      <c r="L371" s="149"/>
      <c r="M371" s="149"/>
      <c r="N371" s="149"/>
      <c r="O371" s="149"/>
      <c r="P371" s="150"/>
      <c r="Q371" s="83">
        <f t="shared" si="302"/>
        <v>-6.7567567567567544E-2</v>
      </c>
      <c r="R371" s="83">
        <f t="shared" si="302"/>
        <v>-0.28800000000000003</v>
      </c>
      <c r="S371" s="83">
        <f t="shared" si="302"/>
        <v>-0.21359223300970875</v>
      </c>
      <c r="T371" s="83">
        <f t="shared" si="302"/>
        <v>-0.26168224299065423</v>
      </c>
      <c r="U371" s="83">
        <f t="shared" si="302"/>
        <v>-0.22249388753056232</v>
      </c>
      <c r="V371" s="83">
        <f t="shared" si="302"/>
        <v>5.7971014492753659E-2</v>
      </c>
      <c r="W371" s="83">
        <f t="shared" si="302"/>
        <v>-0.15730337078651691</v>
      </c>
      <c r="X371" s="83">
        <f t="shared" si="302"/>
        <v>-0.11111111111111116</v>
      </c>
      <c r="Y371" s="83">
        <f t="shared" si="302"/>
        <v>-0.16455696202531644</v>
      </c>
      <c r="Z371" s="83">
        <f t="shared" si="302"/>
        <v>-0.10062893081761004</v>
      </c>
      <c r="AA371" s="83">
        <f t="shared" si="302"/>
        <v>-0.17808219178082196</v>
      </c>
      <c r="AB371" s="83">
        <f t="shared" si="302"/>
        <v>-0.14666666666666661</v>
      </c>
      <c r="AC371" s="83">
        <f t="shared" si="302"/>
        <v>-0.20833333333333337</v>
      </c>
      <c r="AD371" s="83">
        <f t="shared" si="302"/>
        <v>-0.13636363636363635</v>
      </c>
      <c r="AE371" s="83">
        <f t="shared" si="302"/>
        <v>-0.16783216783216781</v>
      </c>
      <c r="AF371" s="83">
        <f t="shared" si="302"/>
        <v>0</v>
      </c>
      <c r="AG371" s="83">
        <f t="shared" si="302"/>
        <v>-0.140625</v>
      </c>
      <c r="AH371" s="83">
        <f t="shared" si="302"/>
        <v>7.0175438596491224E-2</v>
      </c>
      <c r="AI371" s="83">
        <f t="shared" si="302"/>
        <v>0</v>
      </c>
      <c r="AJ371" s="83">
        <f t="shared" si="302"/>
        <v>-2.1008403361344574E-2</v>
      </c>
      <c r="AK371" s="83">
        <f t="shared" si="302"/>
        <v>-8.333333333333337E-2</v>
      </c>
      <c r="AL371" s="83">
        <f t="shared" si="302"/>
        <v>0.10909090909090913</v>
      </c>
      <c r="AM371" s="83">
        <f t="shared" si="302"/>
        <v>0</v>
      </c>
      <c r="AN371" s="83">
        <f t="shared" si="302"/>
        <v>0</v>
      </c>
      <c r="AO371" s="83">
        <f t="shared" si="302"/>
        <v>4.2918454935623185E-3</v>
      </c>
      <c r="AP371" s="83">
        <f t="shared" si="302"/>
        <v>-1.8181818181818188E-2</v>
      </c>
      <c r="AQ371" s="83">
        <f t="shared" si="302"/>
        <v>9.8360655737705027E-2</v>
      </c>
      <c r="AR371" s="83">
        <f t="shared" si="302"/>
        <v>-8.1967213114754078E-2</v>
      </c>
      <c r="AS371" s="83">
        <f t="shared" si="302"/>
        <v>-5.2631578947368474E-2</v>
      </c>
      <c r="AT371" s="83">
        <f t="shared" si="302"/>
        <v>-1.2820512820512775E-2</v>
      </c>
      <c r="AU371" s="83">
        <f t="shared" si="302"/>
        <v>0</v>
      </c>
      <c r="AV371" s="83">
        <f t="shared" si="302"/>
        <v>-0.23880597014925375</v>
      </c>
      <c r="AW371" s="83">
        <f t="shared" si="302"/>
        <v>-0.1071428571428571</v>
      </c>
      <c r="AX371" s="83">
        <f t="shared" si="302"/>
        <v>0</v>
      </c>
      <c r="AY371" s="83">
        <f t="shared" si="302"/>
        <v>-9.5238095238095233E-2</v>
      </c>
      <c r="AZ371" s="83">
        <f t="shared" si="302"/>
        <v>-9.259259259259256E-2</v>
      </c>
      <c r="BA371" s="83">
        <f t="shared" si="302"/>
        <v>-5.8823529411764719E-2</v>
      </c>
      <c r="BB371" s="83">
        <f t="shared" si="302"/>
        <v>-6.0000000000000053E-2</v>
      </c>
      <c r="BC371" s="83">
        <f t="shared" si="302"/>
        <v>-5.555555555555558E-2</v>
      </c>
      <c r="BD371" s="83">
        <f t="shared" si="302"/>
        <v>-6.6985645933014371E-2</v>
      </c>
      <c r="BE371" s="80"/>
      <c r="BF371" s="80"/>
      <c r="BG371" s="80"/>
      <c r="BH371" s="80"/>
      <c r="BI371" s="80"/>
      <c r="BJ371" s="80"/>
      <c r="BK371" s="91"/>
      <c r="BL371" s="80"/>
      <c r="BM371" s="80"/>
      <c r="BN371" s="80"/>
      <c r="BO371" s="80"/>
      <c r="BP371" s="91"/>
      <c r="BQ371" s="80"/>
      <c r="BR371" s="80"/>
      <c r="BS371" s="99"/>
      <c r="BT371" s="80"/>
      <c r="BU371" s="91"/>
      <c r="BV371" s="80"/>
      <c r="BW371" s="80"/>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199"/>
      <c r="DM371" s="199"/>
      <c r="DN371" s="199"/>
      <c r="DO371" s="199"/>
      <c r="DP371" s="199"/>
    </row>
    <row r="372" spans="1:120" hidden="1" x14ac:dyDescent="0.2">
      <c r="A372" s="66"/>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c r="AR372" s="67"/>
      <c r="AS372" s="67"/>
      <c r="AT372" s="67"/>
      <c r="AU372" s="67"/>
      <c r="AV372" s="67"/>
      <c r="AW372" s="67"/>
      <c r="AX372" s="67"/>
      <c r="AY372" s="67"/>
      <c r="AZ372" s="67"/>
      <c r="BA372" s="67"/>
      <c r="BB372" s="67"/>
      <c r="BC372" s="67"/>
      <c r="BD372" s="67"/>
      <c r="BE372" s="67"/>
      <c r="BF372" s="67"/>
      <c r="BG372" s="67"/>
      <c r="BH372" s="67"/>
      <c r="BI372" s="67"/>
      <c r="BJ372" s="67"/>
      <c r="BK372" s="67"/>
      <c r="BL372" s="67"/>
      <c r="BM372" s="67"/>
      <c r="BN372" s="67"/>
      <c r="BO372" s="67"/>
      <c r="BP372" s="67"/>
      <c r="BQ372" s="67"/>
      <c r="BR372" s="67"/>
      <c r="BS372" s="67"/>
      <c r="BT372" s="67"/>
      <c r="BU372" s="67"/>
      <c r="BV372" s="67"/>
      <c r="BW372" s="67"/>
      <c r="BX372" s="67"/>
      <c r="BY372" s="67"/>
      <c r="BZ372" s="67"/>
      <c r="CA372" s="67"/>
      <c r="CB372" s="67"/>
      <c r="CC372" s="67"/>
      <c r="CD372" s="67"/>
      <c r="CE372" s="67"/>
      <c r="CF372" s="67"/>
      <c r="CG372" s="67"/>
      <c r="CH372" s="67"/>
      <c r="CI372" s="67"/>
      <c r="CJ372" s="67"/>
      <c r="CK372" s="67"/>
      <c r="CL372" s="67"/>
      <c r="CM372" s="67"/>
      <c r="CN372" s="67"/>
      <c r="CO372" s="67"/>
      <c r="CP372" s="67"/>
      <c r="CQ372" s="67"/>
      <c r="CR372" s="67"/>
      <c r="CS372" s="67"/>
      <c r="CT372" s="67"/>
      <c r="CU372" s="67"/>
      <c r="CV372" s="67"/>
      <c r="CW372" s="67"/>
      <c r="CX372" s="67"/>
      <c r="CY372" s="67"/>
      <c r="CZ372" s="67"/>
      <c r="DA372" s="67"/>
      <c r="DB372" s="67"/>
      <c r="DC372" s="67"/>
      <c r="DD372" s="67"/>
      <c r="DE372" s="67"/>
      <c r="DF372" s="67"/>
      <c r="DG372" s="67"/>
      <c r="DH372" s="67"/>
      <c r="DI372" s="67"/>
      <c r="DJ372" s="67"/>
      <c r="DK372" s="67"/>
      <c r="DL372" s="194"/>
      <c r="DM372" s="194"/>
      <c r="DN372" s="194"/>
      <c r="DO372" s="194"/>
      <c r="DP372" s="194"/>
    </row>
    <row r="373" spans="1:120" hidden="1" x14ac:dyDescent="0.2">
      <c r="A373" s="104"/>
      <c r="B373" s="31"/>
      <c r="C373" s="31"/>
      <c r="D373" s="31"/>
      <c r="E373" s="31"/>
      <c r="F373" s="31"/>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114"/>
      <c r="BL373" s="69"/>
      <c r="BM373" s="69"/>
      <c r="BN373" s="69"/>
      <c r="BO373" s="69"/>
      <c r="BP373" s="114"/>
      <c r="BQ373" s="69"/>
      <c r="BR373" s="69"/>
      <c r="BS373" s="69"/>
      <c r="BT373" s="69"/>
      <c r="BU373" s="114"/>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204"/>
      <c r="DM373" s="204"/>
      <c r="DN373" s="204"/>
      <c r="DO373" s="204"/>
      <c r="DP373" s="204"/>
    </row>
    <row r="374" spans="1:120" hidden="1" x14ac:dyDescent="0.2">
      <c r="A374" s="36" t="s">
        <v>245</v>
      </c>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v>0</v>
      </c>
      <c r="AJ374" s="36">
        <f>AI374+AH374+AG374+AF374</f>
        <v>0</v>
      </c>
      <c r="AK374" s="36">
        <v>0</v>
      </c>
      <c r="AL374" s="36">
        <v>0</v>
      </c>
      <c r="AM374" s="36">
        <v>0</v>
      </c>
      <c r="AN374" s="36">
        <v>0</v>
      </c>
      <c r="AO374" s="36">
        <f>AN374+AM374+AL374+AK374</f>
        <v>0</v>
      </c>
      <c r="AP374" s="36">
        <v>0</v>
      </c>
      <c r="AQ374" s="36">
        <v>0</v>
      </c>
      <c r="AR374" s="36">
        <v>0</v>
      </c>
      <c r="AS374" s="36"/>
      <c r="AT374" s="36">
        <f>AS374+AR374+AQ374+AP374</f>
        <v>0</v>
      </c>
      <c r="AU374" s="36">
        <v>0</v>
      </c>
      <c r="AV374" s="36">
        <v>0</v>
      </c>
      <c r="AW374" s="36">
        <v>0</v>
      </c>
      <c r="AX374" s="36">
        <v>0</v>
      </c>
      <c r="AY374" s="36">
        <f>AX374+AW374+AV374+AU374</f>
        <v>0</v>
      </c>
      <c r="AZ374" s="36">
        <v>0</v>
      </c>
      <c r="BA374" s="36">
        <v>0</v>
      </c>
      <c r="BB374" s="36">
        <v>0</v>
      </c>
      <c r="BC374" s="36">
        <v>0</v>
      </c>
      <c r="BD374" s="36">
        <f>BC374+BB374+BA374+AZ374</f>
        <v>0</v>
      </c>
      <c r="BE374" s="36">
        <v>0</v>
      </c>
      <c r="BF374" s="36">
        <v>0</v>
      </c>
      <c r="BG374" s="36">
        <v>0</v>
      </c>
      <c r="BH374" s="36">
        <v>0</v>
      </c>
      <c r="BI374" s="36">
        <f>SUM(BE374:BH374)</f>
        <v>0</v>
      </c>
      <c r="BJ374" s="36">
        <v>0</v>
      </c>
      <c r="BK374" s="36">
        <v>0</v>
      </c>
      <c r="BL374" s="36">
        <v>0</v>
      </c>
      <c r="BM374" s="36">
        <v>0</v>
      </c>
      <c r="BN374" s="36">
        <f>SUM(BJ374:BM374)</f>
        <v>0</v>
      </c>
      <c r="BO374" s="36">
        <v>0</v>
      </c>
      <c r="BP374" s="36"/>
      <c r="BQ374" s="36"/>
      <c r="BR374" s="36"/>
      <c r="BS374" s="36"/>
      <c r="BT374" s="36"/>
      <c r="BU374" s="36"/>
      <c r="BV374" s="36"/>
      <c r="BW374" s="36"/>
      <c r="BX374" s="36"/>
      <c r="BY374" s="36"/>
      <c r="BZ374" s="36"/>
      <c r="CA374" s="36"/>
      <c r="CB374" s="36"/>
      <c r="CC374" s="36"/>
      <c r="CD374" s="36"/>
      <c r="CE374" s="36"/>
      <c r="CF374" s="36"/>
      <c r="CG374" s="36"/>
      <c r="CH374" s="36"/>
      <c r="CI374" s="36"/>
      <c r="CJ374" s="36"/>
      <c r="CK374" s="36"/>
      <c r="CL374" s="36"/>
      <c r="CM374" s="36"/>
      <c r="CN374" s="36"/>
      <c r="CO374" s="36"/>
      <c r="CP374" s="36"/>
      <c r="CQ374" s="36"/>
      <c r="CR374" s="36"/>
      <c r="CS374" s="36"/>
      <c r="CT374" s="36"/>
      <c r="CU374" s="36"/>
      <c r="CV374" s="36"/>
      <c r="CW374" s="36"/>
      <c r="CX374" s="36"/>
      <c r="CY374" s="36"/>
      <c r="CZ374" s="36"/>
      <c r="DA374" s="36"/>
      <c r="DB374" s="36"/>
      <c r="DC374" s="36"/>
      <c r="DD374" s="36"/>
      <c r="DE374" s="36"/>
      <c r="DF374" s="36"/>
      <c r="DG374" s="36"/>
      <c r="DH374" s="36"/>
      <c r="DI374" s="36"/>
      <c r="DJ374" s="36"/>
      <c r="DK374" s="36"/>
      <c r="DL374" s="183"/>
      <c r="DM374" s="183"/>
      <c r="DN374" s="183"/>
      <c r="DO374" s="183"/>
      <c r="DP374" s="183"/>
    </row>
    <row r="375" spans="1:120" hidden="1" x14ac:dyDescent="0.2">
      <c r="A375" s="36" t="s">
        <v>246</v>
      </c>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v>20</v>
      </c>
      <c r="AJ375" s="36">
        <f>AI375+AH375+AG375+AF375</f>
        <v>20</v>
      </c>
      <c r="AK375" s="36">
        <v>44</v>
      </c>
      <c r="AL375" s="36">
        <v>49</v>
      </c>
      <c r="AM375" s="36">
        <v>49</v>
      </c>
      <c r="AN375" s="36">
        <v>44</v>
      </c>
      <c r="AO375" s="36">
        <f>AN375+AM375+AL375+AK375</f>
        <v>186</v>
      </c>
      <c r="AP375" s="36">
        <v>39</v>
      </c>
      <c r="AQ375" s="36">
        <v>56</v>
      </c>
      <c r="AR375" s="36">
        <v>49</v>
      </c>
      <c r="AS375" s="36"/>
      <c r="AT375" s="36">
        <f>AS375+AR375+AQ375+AP375</f>
        <v>144</v>
      </c>
      <c r="AU375" s="36">
        <v>55</v>
      </c>
      <c r="AV375" s="36">
        <v>49</v>
      </c>
      <c r="AW375" s="36">
        <v>56</v>
      </c>
      <c r="AX375" s="36">
        <v>49</v>
      </c>
      <c r="AY375" s="36">
        <f>AX375+AW375+AV375+AU375</f>
        <v>209</v>
      </c>
      <c r="AZ375" s="36">
        <v>59</v>
      </c>
      <c r="BA375" s="36">
        <v>66</v>
      </c>
      <c r="BB375" s="36">
        <v>74</v>
      </c>
      <c r="BC375" s="36">
        <v>69</v>
      </c>
      <c r="BD375" s="36">
        <f>BC375+BB375+BA375+AZ375</f>
        <v>268</v>
      </c>
      <c r="BE375" s="36">
        <v>67</v>
      </c>
      <c r="BF375" s="36">
        <v>72</v>
      </c>
      <c r="BG375" s="36">
        <v>64</v>
      </c>
      <c r="BH375" s="36">
        <v>68</v>
      </c>
      <c r="BI375" s="36">
        <f>SUM(BE375:BH375)</f>
        <v>271</v>
      </c>
      <c r="BJ375" s="36">
        <v>61</v>
      </c>
      <c r="BK375" s="36">
        <v>48</v>
      </c>
      <c r="BL375" s="36">
        <v>51</v>
      </c>
      <c r="BM375" s="36">
        <v>50</v>
      </c>
      <c r="BN375" s="36">
        <f>SUM(BJ375:BM375)</f>
        <v>210</v>
      </c>
      <c r="BO375" s="36">
        <v>0</v>
      </c>
      <c r="BP375" s="36"/>
      <c r="BQ375" s="36"/>
      <c r="BR375" s="36"/>
      <c r="BS375" s="36"/>
      <c r="BT375" s="36"/>
      <c r="BU375" s="36"/>
      <c r="BV375" s="36"/>
      <c r="BW375" s="36"/>
      <c r="BX375" s="36"/>
      <c r="BY375" s="36"/>
      <c r="BZ375" s="36"/>
      <c r="CA375" s="36"/>
      <c r="CB375" s="36"/>
      <c r="CC375" s="36"/>
      <c r="CD375" s="36"/>
      <c r="CE375" s="36"/>
      <c r="CF375" s="36"/>
      <c r="CG375" s="36"/>
      <c r="CH375" s="36"/>
      <c r="CI375" s="36"/>
      <c r="CJ375" s="36"/>
      <c r="CK375" s="36"/>
      <c r="CL375" s="36"/>
      <c r="CM375" s="36"/>
      <c r="CN375" s="36"/>
      <c r="CO375" s="36"/>
      <c r="CP375" s="36"/>
      <c r="CQ375" s="36"/>
      <c r="CR375" s="36"/>
      <c r="CS375" s="36"/>
      <c r="CT375" s="36"/>
      <c r="CU375" s="36"/>
      <c r="CV375" s="36"/>
      <c r="CW375" s="36"/>
      <c r="CX375" s="36"/>
      <c r="CY375" s="36"/>
      <c r="CZ375" s="36"/>
      <c r="DA375" s="36"/>
      <c r="DB375" s="36"/>
      <c r="DC375" s="36"/>
      <c r="DD375" s="36"/>
      <c r="DE375" s="36"/>
      <c r="DF375" s="36"/>
      <c r="DG375" s="36"/>
      <c r="DH375" s="36"/>
      <c r="DI375" s="36"/>
      <c r="DJ375" s="36"/>
      <c r="DK375" s="36"/>
      <c r="DL375" s="183"/>
      <c r="DM375" s="183"/>
      <c r="DN375" s="183"/>
      <c r="DO375" s="183"/>
      <c r="DP375" s="183"/>
    </row>
    <row r="376" spans="1:120" hidden="1" x14ac:dyDescent="0.2">
      <c r="A376" s="39" t="s">
        <v>247</v>
      </c>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f>AI375+AI374</f>
        <v>20</v>
      </c>
      <c r="AJ376" s="39">
        <f>AI376+AH376+AG376+AF376</f>
        <v>20</v>
      </c>
      <c r="AK376" s="39">
        <f>AK375+AK374</f>
        <v>44</v>
      </c>
      <c r="AL376" s="39">
        <f>AL375+AL374</f>
        <v>49</v>
      </c>
      <c r="AM376" s="39">
        <f>AM375+AM374</f>
        <v>49</v>
      </c>
      <c r="AN376" s="39">
        <f>AN375+AN374</f>
        <v>44</v>
      </c>
      <c r="AO376" s="39">
        <f>AN376+AM376+AL376+AK376</f>
        <v>186</v>
      </c>
      <c r="AP376" s="39">
        <f>AP375+AP374</f>
        <v>39</v>
      </c>
      <c r="AQ376" s="39">
        <f>AQ375+AQ374</f>
        <v>56</v>
      </c>
      <c r="AR376" s="39">
        <f>AR375+AR374</f>
        <v>49</v>
      </c>
      <c r="AS376" s="39"/>
      <c r="AT376" s="39">
        <f>AS376+AR376+AQ376+AP376</f>
        <v>144</v>
      </c>
      <c r="AU376" s="39">
        <f t="shared" ref="AU376:BD376" si="303">AU375+AU374</f>
        <v>55</v>
      </c>
      <c r="AV376" s="39">
        <f t="shared" si="303"/>
        <v>49</v>
      </c>
      <c r="AW376" s="39">
        <f t="shared" si="303"/>
        <v>56</v>
      </c>
      <c r="AX376" s="39">
        <f t="shared" si="303"/>
        <v>49</v>
      </c>
      <c r="AY376" s="39">
        <f t="shared" si="303"/>
        <v>209</v>
      </c>
      <c r="AZ376" s="39">
        <f t="shared" si="303"/>
        <v>59</v>
      </c>
      <c r="BA376" s="39">
        <f t="shared" si="303"/>
        <v>66</v>
      </c>
      <c r="BB376" s="39">
        <f t="shared" si="303"/>
        <v>74</v>
      </c>
      <c r="BC376" s="39">
        <f t="shared" si="303"/>
        <v>69</v>
      </c>
      <c r="BD376" s="39">
        <f t="shared" si="303"/>
        <v>268</v>
      </c>
      <c r="BE376" s="39">
        <f>BE374+BE375</f>
        <v>67</v>
      </c>
      <c r="BF376" s="39">
        <f>BF374+BF375</f>
        <v>72</v>
      </c>
      <c r="BG376" s="39">
        <f>BG374+BG375</f>
        <v>64</v>
      </c>
      <c r="BH376" s="39">
        <f>BH374+BH375</f>
        <v>68</v>
      </c>
      <c r="BI376" s="39">
        <f t="shared" ref="BI376:BO376" si="304">BI375+BI374</f>
        <v>271</v>
      </c>
      <c r="BJ376" s="39">
        <f t="shared" si="304"/>
        <v>61</v>
      </c>
      <c r="BK376" s="39">
        <f t="shared" si="304"/>
        <v>48</v>
      </c>
      <c r="BL376" s="39">
        <f t="shared" si="304"/>
        <v>51</v>
      </c>
      <c r="BM376" s="39">
        <f t="shared" si="304"/>
        <v>50</v>
      </c>
      <c r="BN376" s="39">
        <f t="shared" si="304"/>
        <v>210</v>
      </c>
      <c r="BO376" s="39">
        <f t="shared" si="304"/>
        <v>0</v>
      </c>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187"/>
      <c r="DM376" s="187"/>
      <c r="DN376" s="187"/>
      <c r="DO376" s="187"/>
      <c r="DP376" s="187"/>
    </row>
    <row r="377" spans="1:120" hidden="1" x14ac:dyDescent="0.2">
      <c r="A377" s="68" t="s">
        <v>54</v>
      </c>
      <c r="G377" s="39"/>
      <c r="H377" s="39"/>
      <c r="I377" s="39"/>
      <c r="J377" s="39"/>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6"/>
      <c r="BF377" s="76"/>
      <c r="BG377" s="76"/>
      <c r="BH377" s="76"/>
      <c r="BI377" s="90">
        <v>0</v>
      </c>
      <c r="BJ377" s="76"/>
      <c r="BK377" s="139"/>
      <c r="BL377" s="90">
        <v>0</v>
      </c>
      <c r="BM377" s="90">
        <v>0</v>
      </c>
      <c r="BN377" s="90">
        <v>0</v>
      </c>
      <c r="BO377" s="76"/>
      <c r="BP377" s="139"/>
      <c r="BQ377" s="90"/>
      <c r="BR377" s="90"/>
      <c r="BS377" s="75"/>
      <c r="BT377" s="76"/>
      <c r="BU377" s="139"/>
      <c r="BV377" s="90"/>
      <c r="BW377" s="90"/>
      <c r="BX377" s="75"/>
      <c r="BY377" s="75"/>
      <c r="BZ377" s="75"/>
      <c r="CA377" s="75"/>
      <c r="CB377" s="75"/>
      <c r="CC377" s="75"/>
      <c r="CD377" s="75"/>
      <c r="CE377" s="75"/>
      <c r="CF377" s="75"/>
      <c r="CG377" s="75"/>
      <c r="CH377" s="75"/>
      <c r="CI377" s="75"/>
      <c r="CJ377" s="75"/>
      <c r="CK377" s="75"/>
      <c r="CL377" s="75"/>
      <c r="CM377" s="75"/>
      <c r="CN377" s="75"/>
      <c r="CO377" s="75"/>
      <c r="CP377" s="75"/>
      <c r="CQ377" s="75"/>
      <c r="CR377" s="75"/>
      <c r="CS377" s="75"/>
      <c r="CT377" s="75"/>
      <c r="CU377" s="75"/>
      <c r="CV377" s="75"/>
      <c r="CW377" s="75"/>
      <c r="CX377" s="75"/>
      <c r="CY377" s="75"/>
      <c r="CZ377" s="75"/>
      <c r="DA377" s="75"/>
      <c r="DB377" s="75"/>
      <c r="DC377" s="75"/>
      <c r="DD377" s="75"/>
      <c r="DE377" s="75"/>
      <c r="DF377" s="75"/>
      <c r="DG377" s="75"/>
      <c r="DH377" s="75"/>
      <c r="DI377" s="75"/>
      <c r="DJ377" s="75"/>
      <c r="DK377" s="75"/>
      <c r="DL377" s="192"/>
      <c r="DM377" s="192"/>
      <c r="DN377" s="192"/>
      <c r="DO377" s="192"/>
      <c r="DP377" s="192"/>
    </row>
    <row r="378" spans="1:120" hidden="1" x14ac:dyDescent="0.2">
      <c r="A378" s="68" t="s">
        <v>55</v>
      </c>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6">
        <f t="shared" ref="BE378:BM379" si="305">BE375/AZ375-1</f>
        <v>0.13559322033898313</v>
      </c>
      <c r="BF378" s="76">
        <f t="shared" si="305"/>
        <v>9.0909090909090828E-2</v>
      </c>
      <c r="BG378" s="76">
        <f t="shared" si="305"/>
        <v>-0.13513513513513509</v>
      </c>
      <c r="BH378" s="76">
        <f t="shared" si="305"/>
        <v>-1.4492753623188359E-2</v>
      </c>
      <c r="BI378" s="90">
        <f t="shared" si="305"/>
        <v>1.1194029850746245E-2</v>
      </c>
      <c r="BJ378" s="76">
        <f t="shared" si="305"/>
        <v>-8.9552238805970186E-2</v>
      </c>
      <c r="BK378" s="76">
        <f t="shared" si="305"/>
        <v>-0.33333333333333337</v>
      </c>
      <c r="BL378" s="76">
        <f t="shared" si="305"/>
        <v>-0.203125</v>
      </c>
      <c r="BM378" s="76">
        <f t="shared" si="305"/>
        <v>-0.26470588235294112</v>
      </c>
      <c r="BN378" s="90">
        <f>BN375/BI375-1</f>
        <v>-0.22509225092250917</v>
      </c>
      <c r="BO378" s="76"/>
      <c r="BP378" s="76"/>
      <c r="BQ378" s="76"/>
      <c r="BR378" s="76"/>
      <c r="BS378" s="75"/>
      <c r="BT378" s="76"/>
      <c r="BU378" s="76"/>
      <c r="BV378" s="76"/>
      <c r="BW378" s="76"/>
      <c r="BX378" s="75"/>
      <c r="BY378" s="75"/>
      <c r="BZ378" s="75"/>
      <c r="CA378" s="75"/>
      <c r="CB378" s="75"/>
      <c r="CC378" s="75"/>
      <c r="CD378" s="75"/>
      <c r="CE378" s="75"/>
      <c r="CF378" s="75"/>
      <c r="CG378" s="75"/>
      <c r="CH378" s="75"/>
      <c r="CI378" s="75"/>
      <c r="CJ378" s="75"/>
      <c r="CK378" s="75"/>
      <c r="CL378" s="75"/>
      <c r="CM378" s="75"/>
      <c r="CN378" s="75"/>
      <c r="CO378" s="75"/>
      <c r="CP378" s="75"/>
      <c r="CQ378" s="75"/>
      <c r="CR378" s="75"/>
      <c r="CS378" s="75"/>
      <c r="CT378" s="75"/>
      <c r="CU378" s="75"/>
      <c r="CV378" s="75"/>
      <c r="CW378" s="75"/>
      <c r="CX378" s="75"/>
      <c r="CY378" s="75"/>
      <c r="CZ378" s="75"/>
      <c r="DA378" s="75"/>
      <c r="DB378" s="75"/>
      <c r="DC378" s="75"/>
      <c r="DD378" s="75"/>
      <c r="DE378" s="75"/>
      <c r="DF378" s="75"/>
      <c r="DG378" s="75"/>
      <c r="DH378" s="75"/>
      <c r="DI378" s="75"/>
      <c r="DJ378" s="75"/>
      <c r="DK378" s="75"/>
      <c r="DL378" s="192"/>
      <c r="DM378" s="192"/>
      <c r="DN378" s="192"/>
      <c r="DO378" s="192"/>
      <c r="DP378" s="192"/>
    </row>
    <row r="379" spans="1:120" hidden="1" x14ac:dyDescent="0.2">
      <c r="A379" s="78" t="s">
        <v>56</v>
      </c>
      <c r="F379" s="98"/>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c r="AK379" s="83"/>
      <c r="AL379" s="83"/>
      <c r="AM379" s="83"/>
      <c r="AN379" s="83"/>
      <c r="AO379" s="83"/>
      <c r="AP379" s="83"/>
      <c r="AQ379" s="83"/>
      <c r="AR379" s="83"/>
      <c r="AS379" s="83"/>
      <c r="AT379" s="83"/>
      <c r="AU379" s="83"/>
      <c r="AV379" s="83"/>
      <c r="AW379" s="83"/>
      <c r="AX379" s="83"/>
      <c r="AY379" s="83"/>
      <c r="AZ379" s="83"/>
      <c r="BA379" s="83"/>
      <c r="BB379" s="83"/>
      <c r="BC379" s="83"/>
      <c r="BD379" s="83"/>
      <c r="BE379" s="80">
        <f t="shared" si="305"/>
        <v>0.13559322033898313</v>
      </c>
      <c r="BF379" s="80">
        <f t="shared" si="305"/>
        <v>9.0909090909090828E-2</v>
      </c>
      <c r="BG379" s="80">
        <f t="shared" si="305"/>
        <v>-0.13513513513513509</v>
      </c>
      <c r="BH379" s="80">
        <f>BH376/BC376-1</f>
        <v>-1.4492753623188359E-2</v>
      </c>
      <c r="BI379" s="80">
        <f t="shared" si="305"/>
        <v>1.1194029850746245E-2</v>
      </c>
      <c r="BJ379" s="80">
        <f t="shared" si="305"/>
        <v>-8.9552238805970186E-2</v>
      </c>
      <c r="BK379" s="91">
        <f t="shared" si="305"/>
        <v>-0.33333333333333337</v>
      </c>
      <c r="BL379" s="91">
        <f t="shared" si="305"/>
        <v>-0.203125</v>
      </c>
      <c r="BM379" s="91">
        <f t="shared" si="305"/>
        <v>-0.26470588235294112</v>
      </c>
      <c r="BN379" s="80">
        <f>BN376/BI376-1</f>
        <v>-0.22509225092250917</v>
      </c>
      <c r="BO379" s="80">
        <f>BO376/BJ376-1</f>
        <v>-1</v>
      </c>
      <c r="BP379" s="91"/>
      <c r="BQ379" s="91"/>
      <c r="BR379" s="91"/>
      <c r="BS379" s="83"/>
      <c r="BT379" s="80"/>
      <c r="BU379" s="91"/>
      <c r="BV379" s="91"/>
      <c r="BW379" s="91"/>
      <c r="BX379" s="83"/>
      <c r="BY379" s="83"/>
      <c r="BZ379" s="83"/>
      <c r="CA379" s="83"/>
      <c r="CB379" s="83"/>
      <c r="CC379" s="83"/>
      <c r="CD379" s="83"/>
      <c r="CE379" s="83"/>
      <c r="CF379" s="83"/>
      <c r="CG379" s="83"/>
      <c r="CH379" s="83"/>
      <c r="CI379" s="83"/>
      <c r="CJ379" s="83"/>
      <c r="CK379" s="83"/>
      <c r="CL379" s="83"/>
      <c r="CM379" s="83"/>
      <c r="CN379" s="83"/>
      <c r="CO379" s="83"/>
      <c r="CP379" s="83"/>
      <c r="CQ379" s="83"/>
      <c r="CR379" s="83"/>
      <c r="CS379" s="83"/>
      <c r="CT379" s="83"/>
      <c r="CU379" s="83"/>
      <c r="CV379" s="83"/>
      <c r="CW379" s="83"/>
      <c r="CX379" s="83"/>
      <c r="CY379" s="83"/>
      <c r="CZ379" s="83"/>
      <c r="DA379" s="83"/>
      <c r="DB379" s="83"/>
      <c r="DC379" s="83"/>
      <c r="DD379" s="83"/>
      <c r="DE379" s="83"/>
      <c r="DF379" s="83"/>
      <c r="DG379" s="83"/>
      <c r="DH379" s="83"/>
      <c r="DI379" s="83"/>
      <c r="DJ379" s="83"/>
      <c r="DK379" s="83"/>
      <c r="DL379" s="193"/>
      <c r="DM379" s="193"/>
      <c r="DN379" s="193"/>
      <c r="DO379" s="193"/>
      <c r="DP379" s="193"/>
    </row>
    <row r="380" spans="1:120" hidden="1" x14ac:dyDescent="0.2">
      <c r="A380" s="36" t="s">
        <v>248</v>
      </c>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c r="AY380" s="36"/>
      <c r="AZ380" s="36"/>
      <c r="BA380" s="36"/>
      <c r="BB380" s="36">
        <v>21</v>
      </c>
      <c r="BC380" s="36">
        <v>58</v>
      </c>
      <c r="BD380" s="36">
        <f>BC380+BB380+BA380+AZ380</f>
        <v>79</v>
      </c>
      <c r="BE380" s="36">
        <v>67</v>
      </c>
      <c r="BF380" s="36">
        <v>68</v>
      </c>
      <c r="BG380" s="36">
        <v>79</v>
      </c>
      <c r="BH380" s="36">
        <v>52</v>
      </c>
      <c r="BI380" s="36">
        <f>SUM(BE380:BH380)</f>
        <v>266</v>
      </c>
      <c r="BJ380" s="36">
        <v>37</v>
      </c>
      <c r="BK380" s="36">
        <v>52</v>
      </c>
      <c r="BL380" s="36">
        <v>45</v>
      </c>
      <c r="BM380" s="36">
        <v>25</v>
      </c>
      <c r="BN380" s="36">
        <f>SUM(BJ380:BM380)</f>
        <v>159</v>
      </c>
      <c r="BO380" s="36">
        <v>5</v>
      </c>
      <c r="BP380" s="36">
        <v>1</v>
      </c>
      <c r="BQ380" s="36">
        <v>0</v>
      </c>
      <c r="BR380" s="36">
        <v>0</v>
      </c>
      <c r="BS380" s="36">
        <f>SUM(BO380:BR380)</f>
        <v>6</v>
      </c>
      <c r="BT380" s="36"/>
      <c r="BU380" s="36"/>
      <c r="BV380" s="36"/>
      <c r="BW380" s="36"/>
      <c r="BX380" s="36"/>
      <c r="BY380" s="36"/>
      <c r="BZ380" s="36"/>
      <c r="CA380" s="36"/>
      <c r="CB380" s="36"/>
      <c r="CC380" s="36"/>
      <c r="CD380" s="36"/>
      <c r="CE380" s="36"/>
      <c r="CF380" s="36"/>
      <c r="CG380" s="36"/>
      <c r="CH380" s="36"/>
      <c r="CI380" s="36"/>
      <c r="CJ380" s="36"/>
      <c r="CK380" s="36"/>
      <c r="CL380" s="36"/>
      <c r="CM380" s="36"/>
      <c r="CN380" s="36"/>
      <c r="CO380" s="36"/>
      <c r="CP380" s="36"/>
      <c r="CQ380" s="36"/>
      <c r="CR380" s="36"/>
      <c r="CS380" s="36"/>
      <c r="CT380" s="36"/>
      <c r="CU380" s="36"/>
      <c r="CV380" s="36"/>
      <c r="CW380" s="36"/>
      <c r="CX380" s="36"/>
      <c r="CY380" s="36"/>
      <c r="CZ380" s="36"/>
      <c r="DA380" s="36"/>
      <c r="DB380" s="36"/>
      <c r="DC380" s="36"/>
      <c r="DD380" s="36"/>
      <c r="DE380" s="36"/>
      <c r="DF380" s="36"/>
      <c r="DG380" s="36"/>
      <c r="DH380" s="36"/>
      <c r="DI380" s="36"/>
      <c r="DJ380" s="36"/>
      <c r="DK380" s="36"/>
      <c r="DL380" s="183"/>
      <c r="DM380" s="183"/>
      <c r="DN380" s="183"/>
      <c r="DO380" s="183"/>
      <c r="DP380" s="183"/>
    </row>
    <row r="381" spans="1:120" hidden="1" x14ac:dyDescent="0.2">
      <c r="A381" s="36" t="s">
        <v>249</v>
      </c>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c r="AY381" s="36"/>
      <c r="AZ381" s="36"/>
      <c r="BA381" s="36"/>
      <c r="BB381" s="36">
        <v>10</v>
      </c>
      <c r="BC381" s="36">
        <v>29</v>
      </c>
      <c r="BD381" s="36">
        <f>BC381+BB381+BA381+AZ381</f>
        <v>39</v>
      </c>
      <c r="BE381" s="36">
        <v>44</v>
      </c>
      <c r="BF381" s="36">
        <v>58</v>
      </c>
      <c r="BG381" s="36">
        <v>70</v>
      </c>
      <c r="BH381" s="36">
        <v>63</v>
      </c>
      <c r="BI381" s="36">
        <f>SUM(BE381:BH381)</f>
        <v>235</v>
      </c>
      <c r="BJ381" s="36">
        <v>73</v>
      </c>
      <c r="BK381" s="36">
        <v>64</v>
      </c>
      <c r="BL381" s="36">
        <v>75</v>
      </c>
      <c r="BM381" s="36">
        <v>57</v>
      </c>
      <c r="BN381" s="36">
        <f>SUM(BJ381:BM381)</f>
        <v>269</v>
      </c>
      <c r="BO381" s="36">
        <v>54</v>
      </c>
      <c r="BP381" s="36">
        <v>46</v>
      </c>
      <c r="BQ381" s="36">
        <v>27</v>
      </c>
      <c r="BR381" s="36">
        <v>21</v>
      </c>
      <c r="BS381" s="36">
        <f>SUM(BO381:BR381)</f>
        <v>148</v>
      </c>
      <c r="BT381" s="36"/>
      <c r="BU381" s="36"/>
      <c r="BV381" s="36"/>
      <c r="BW381" s="36"/>
      <c r="BX381" s="36"/>
      <c r="BY381" s="36"/>
      <c r="BZ381" s="36"/>
      <c r="CA381" s="36"/>
      <c r="CB381" s="36"/>
      <c r="CC381" s="36"/>
      <c r="CD381" s="36"/>
      <c r="CE381" s="36"/>
      <c r="CF381" s="36"/>
      <c r="CG381" s="36"/>
      <c r="CH381" s="36"/>
      <c r="CI381" s="36"/>
      <c r="CJ381" s="36"/>
      <c r="CK381" s="36"/>
      <c r="CL381" s="36"/>
      <c r="CM381" s="36"/>
      <c r="CN381" s="36"/>
      <c r="CO381" s="36"/>
      <c r="CP381" s="36"/>
      <c r="CQ381" s="36"/>
      <c r="CR381" s="36"/>
      <c r="CS381" s="36"/>
      <c r="CT381" s="36"/>
      <c r="CU381" s="36"/>
      <c r="CV381" s="36"/>
      <c r="CW381" s="36"/>
      <c r="CX381" s="36"/>
      <c r="CY381" s="36"/>
      <c r="CZ381" s="36"/>
      <c r="DA381" s="36"/>
      <c r="DB381" s="36"/>
      <c r="DC381" s="36"/>
      <c r="DD381" s="36"/>
      <c r="DE381" s="36"/>
      <c r="DF381" s="36"/>
      <c r="DG381" s="36"/>
      <c r="DH381" s="36"/>
      <c r="DI381" s="36"/>
      <c r="DJ381" s="36"/>
      <c r="DK381" s="36"/>
      <c r="DL381" s="183"/>
      <c r="DM381" s="183"/>
      <c r="DN381" s="183"/>
      <c r="DO381" s="183"/>
      <c r="DP381" s="183"/>
    </row>
    <row r="382" spans="1:120" hidden="1" x14ac:dyDescent="0.2">
      <c r="A382" s="39" t="s">
        <v>250</v>
      </c>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v>21</v>
      </c>
      <c r="BB382" s="39">
        <f>BB381+BB380</f>
        <v>31</v>
      </c>
      <c r="BC382" s="39">
        <f>BC381+BC380</f>
        <v>87</v>
      </c>
      <c r="BD382" s="39">
        <f>BD381+BD380</f>
        <v>118</v>
      </c>
      <c r="BE382" s="39">
        <f>BE380+BE381</f>
        <v>111</v>
      </c>
      <c r="BF382" s="39">
        <f>BF380+BF381</f>
        <v>126</v>
      </c>
      <c r="BG382" s="39">
        <f>BG380+BG381</f>
        <v>149</v>
      </c>
      <c r="BH382" s="39">
        <f>BH380+BH381</f>
        <v>115</v>
      </c>
      <c r="BI382" s="39">
        <f t="shared" ref="BI382:BS382" si="306">BI381+BI380</f>
        <v>501</v>
      </c>
      <c r="BJ382" s="39">
        <f t="shared" si="306"/>
        <v>110</v>
      </c>
      <c r="BK382" s="39">
        <f t="shared" si="306"/>
        <v>116</v>
      </c>
      <c r="BL382" s="39">
        <f t="shared" si="306"/>
        <v>120</v>
      </c>
      <c r="BM382" s="39">
        <f t="shared" si="306"/>
        <v>82</v>
      </c>
      <c r="BN382" s="39">
        <f t="shared" si="306"/>
        <v>428</v>
      </c>
      <c r="BO382" s="39">
        <f t="shared" si="306"/>
        <v>59</v>
      </c>
      <c r="BP382" s="39">
        <f t="shared" si="306"/>
        <v>47</v>
      </c>
      <c r="BQ382" s="39">
        <f t="shared" si="306"/>
        <v>27</v>
      </c>
      <c r="BR382" s="39">
        <f t="shared" si="306"/>
        <v>21</v>
      </c>
      <c r="BS382" s="39">
        <f t="shared" si="306"/>
        <v>154</v>
      </c>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187"/>
      <c r="DM382" s="187"/>
      <c r="DN382" s="187"/>
      <c r="DO382" s="187"/>
      <c r="DP382" s="187"/>
    </row>
    <row r="383" spans="1:120" hidden="1" x14ac:dyDescent="0.2">
      <c r="A383" s="68" t="s">
        <v>54</v>
      </c>
      <c r="G383" s="39"/>
      <c r="H383" s="39"/>
      <c r="I383" s="39"/>
      <c r="J383" s="39"/>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t="e">
        <f>AT380/AO380-1</f>
        <v>#DIV/0!</v>
      </c>
      <c r="AU383" s="75"/>
      <c r="AV383" s="75"/>
      <c r="AW383" s="75"/>
      <c r="AX383" s="75"/>
      <c r="AY383" s="75"/>
      <c r="AZ383" s="75"/>
      <c r="BA383" s="75"/>
      <c r="BB383" s="75"/>
      <c r="BC383" s="75"/>
      <c r="BD383" s="75"/>
      <c r="BE383" s="76" t="e">
        <f t="shared" ref="BE383:BR385" si="307">BE380/AZ380-1</f>
        <v>#DIV/0!</v>
      </c>
      <c r="BF383" s="76" t="e">
        <f t="shared" si="307"/>
        <v>#DIV/0!</v>
      </c>
      <c r="BG383" s="76">
        <f t="shared" si="307"/>
        <v>2.7619047619047619</v>
      </c>
      <c r="BH383" s="76">
        <f t="shared" si="307"/>
        <v>-0.10344827586206895</v>
      </c>
      <c r="BI383" s="90">
        <f t="shared" si="307"/>
        <v>2.3670886075949369</v>
      </c>
      <c r="BJ383" s="76">
        <f t="shared" si="307"/>
        <v>-0.44776119402985071</v>
      </c>
      <c r="BK383" s="76">
        <f t="shared" si="307"/>
        <v>-0.23529411764705888</v>
      </c>
      <c r="BL383" s="76">
        <f t="shared" si="307"/>
        <v>-0.430379746835443</v>
      </c>
      <c r="BM383" s="76">
        <f t="shared" si="307"/>
        <v>-0.51923076923076916</v>
      </c>
      <c r="BN383" s="90">
        <f t="shared" si="307"/>
        <v>-0.40225563909774431</v>
      </c>
      <c r="BO383" s="76">
        <f t="shared" si="307"/>
        <v>-0.86486486486486491</v>
      </c>
      <c r="BP383" s="76">
        <f t="shared" si="307"/>
        <v>-0.98076923076923073</v>
      </c>
      <c r="BQ383" s="76">
        <f t="shared" si="307"/>
        <v>-1</v>
      </c>
      <c r="BR383" s="76">
        <f t="shared" si="307"/>
        <v>-1</v>
      </c>
      <c r="BS383" s="75">
        <f>BS380/BN380-1</f>
        <v>-0.96226415094339623</v>
      </c>
      <c r="BT383" s="76"/>
      <c r="BU383" s="76"/>
      <c r="BV383" s="76"/>
      <c r="BW383" s="76"/>
      <c r="BX383" s="75"/>
      <c r="BY383" s="75"/>
      <c r="BZ383" s="75"/>
      <c r="CA383" s="75"/>
      <c r="CB383" s="75"/>
      <c r="CC383" s="75"/>
      <c r="CD383" s="75"/>
      <c r="CE383" s="75"/>
      <c r="CF383" s="75"/>
      <c r="CG383" s="75"/>
      <c r="CH383" s="75"/>
      <c r="CI383" s="75"/>
      <c r="CJ383" s="75"/>
      <c r="CK383" s="75"/>
      <c r="CL383" s="75"/>
      <c r="CM383" s="75"/>
      <c r="CN383" s="75"/>
      <c r="CO383" s="75"/>
      <c r="CP383" s="75"/>
      <c r="CQ383" s="75"/>
      <c r="CR383" s="75"/>
      <c r="CS383" s="75"/>
      <c r="CT383" s="75"/>
      <c r="CU383" s="75"/>
      <c r="CV383" s="75"/>
      <c r="CW383" s="75"/>
      <c r="CX383" s="75"/>
      <c r="CY383" s="75"/>
      <c r="CZ383" s="75"/>
      <c r="DA383" s="75"/>
      <c r="DB383" s="75"/>
      <c r="DC383" s="75"/>
      <c r="DD383" s="75"/>
      <c r="DE383" s="75"/>
      <c r="DF383" s="75"/>
      <c r="DG383" s="75"/>
      <c r="DH383" s="75"/>
      <c r="DI383" s="75"/>
      <c r="DJ383" s="75"/>
      <c r="DK383" s="75"/>
      <c r="DL383" s="192"/>
      <c r="DM383" s="192"/>
      <c r="DN383" s="192"/>
      <c r="DO383" s="192"/>
      <c r="DP383" s="192"/>
    </row>
    <row r="384" spans="1:120" hidden="1" x14ac:dyDescent="0.2">
      <c r="A384" s="68" t="s">
        <v>55</v>
      </c>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t="e">
        <f>AT381/AO381-1</f>
        <v>#DIV/0!</v>
      </c>
      <c r="AU384" s="75"/>
      <c r="AV384" s="75"/>
      <c r="AW384" s="75"/>
      <c r="AX384" s="75"/>
      <c r="AY384" s="75"/>
      <c r="AZ384" s="75"/>
      <c r="BA384" s="75"/>
      <c r="BB384" s="75"/>
      <c r="BC384" s="75"/>
      <c r="BD384" s="75"/>
      <c r="BE384" s="76" t="e">
        <f t="shared" si="307"/>
        <v>#DIV/0!</v>
      </c>
      <c r="BF384" s="76" t="e">
        <f t="shared" si="307"/>
        <v>#DIV/0!</v>
      </c>
      <c r="BG384" s="76">
        <f t="shared" si="307"/>
        <v>6</v>
      </c>
      <c r="BH384" s="76">
        <f t="shared" si="307"/>
        <v>1.1724137931034484</v>
      </c>
      <c r="BI384" s="90">
        <f t="shared" si="307"/>
        <v>5.0256410256410255</v>
      </c>
      <c r="BJ384" s="76">
        <f t="shared" si="307"/>
        <v>0.65909090909090917</v>
      </c>
      <c r="BK384" s="76">
        <f t="shared" si="307"/>
        <v>0.10344827586206895</v>
      </c>
      <c r="BL384" s="76">
        <f t="shared" si="307"/>
        <v>7.1428571428571397E-2</v>
      </c>
      <c r="BM384" s="76">
        <f t="shared" si="307"/>
        <v>-9.5238095238095233E-2</v>
      </c>
      <c r="BN384" s="90">
        <f t="shared" si="307"/>
        <v>0.14468085106382977</v>
      </c>
      <c r="BO384" s="76">
        <f t="shared" si="307"/>
        <v>-0.26027397260273977</v>
      </c>
      <c r="BP384" s="76">
        <f t="shared" si="307"/>
        <v>-0.28125</v>
      </c>
      <c r="BQ384" s="76">
        <f t="shared" si="307"/>
        <v>-0.64</v>
      </c>
      <c r="BR384" s="76">
        <f t="shared" si="307"/>
        <v>-0.63157894736842102</v>
      </c>
      <c r="BS384" s="75">
        <f>BS381/BN381-1</f>
        <v>-0.44981412639405205</v>
      </c>
      <c r="BT384" s="76"/>
      <c r="BU384" s="76"/>
      <c r="BV384" s="76"/>
      <c r="BW384" s="76"/>
      <c r="BX384" s="75"/>
      <c r="BY384" s="75"/>
      <c r="BZ384" s="75"/>
      <c r="CA384" s="75"/>
      <c r="CB384" s="75"/>
      <c r="CC384" s="75"/>
      <c r="CD384" s="75"/>
      <c r="CE384" s="75"/>
      <c r="CF384" s="75"/>
      <c r="CG384" s="75"/>
      <c r="CH384" s="75"/>
      <c r="CI384" s="75"/>
      <c r="CJ384" s="75"/>
      <c r="CK384" s="75"/>
      <c r="CL384" s="75"/>
      <c r="CM384" s="75"/>
      <c r="CN384" s="75"/>
      <c r="CO384" s="75"/>
      <c r="CP384" s="75"/>
      <c r="CQ384" s="75"/>
      <c r="CR384" s="75"/>
      <c r="CS384" s="75"/>
      <c r="CT384" s="75"/>
      <c r="CU384" s="75"/>
      <c r="CV384" s="75"/>
      <c r="CW384" s="75"/>
      <c r="CX384" s="75"/>
      <c r="CY384" s="75"/>
      <c r="CZ384" s="75"/>
      <c r="DA384" s="75"/>
      <c r="DB384" s="75"/>
      <c r="DC384" s="75"/>
      <c r="DD384" s="75"/>
      <c r="DE384" s="75"/>
      <c r="DF384" s="75"/>
      <c r="DG384" s="75"/>
      <c r="DH384" s="75"/>
      <c r="DI384" s="75"/>
      <c r="DJ384" s="75"/>
      <c r="DK384" s="75"/>
      <c r="DL384" s="192"/>
      <c r="DM384" s="192"/>
      <c r="DN384" s="192"/>
      <c r="DO384" s="192"/>
      <c r="DP384" s="192"/>
    </row>
    <row r="385" spans="1:120" hidden="1" x14ac:dyDescent="0.2">
      <c r="A385" s="78" t="s">
        <v>56</v>
      </c>
      <c r="F385" s="98"/>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c r="AE385" s="83"/>
      <c r="AF385" s="83"/>
      <c r="AG385" s="83"/>
      <c r="AH385" s="83"/>
      <c r="AI385" s="83"/>
      <c r="AJ385" s="83"/>
      <c r="AK385" s="83"/>
      <c r="AL385" s="83"/>
      <c r="AM385" s="83"/>
      <c r="AN385" s="83"/>
      <c r="AO385" s="83"/>
      <c r="AP385" s="83"/>
      <c r="AQ385" s="83"/>
      <c r="AR385" s="83"/>
      <c r="AS385" s="83"/>
      <c r="AT385" s="83" t="e">
        <f>AT382/AO382-1</f>
        <v>#DIV/0!</v>
      </c>
      <c r="AU385" s="83"/>
      <c r="AV385" s="83"/>
      <c r="AW385" s="83"/>
      <c r="AX385" s="83"/>
      <c r="AY385" s="83"/>
      <c r="AZ385" s="83"/>
      <c r="BA385" s="83"/>
      <c r="BB385" s="83"/>
      <c r="BC385" s="83"/>
      <c r="BD385" s="83"/>
      <c r="BE385" s="80" t="e">
        <f t="shared" si="307"/>
        <v>#DIV/0!</v>
      </c>
      <c r="BF385" s="80">
        <f t="shared" si="307"/>
        <v>5</v>
      </c>
      <c r="BG385" s="80">
        <f t="shared" si="307"/>
        <v>3.806451612903226</v>
      </c>
      <c r="BH385" s="80">
        <f t="shared" si="307"/>
        <v>0.32183908045977017</v>
      </c>
      <c r="BI385" s="80">
        <f t="shared" si="307"/>
        <v>3.2457627118644066</v>
      </c>
      <c r="BJ385" s="80">
        <f t="shared" si="307"/>
        <v>-9.009009009009028E-3</v>
      </c>
      <c r="BK385" s="91">
        <f t="shared" si="307"/>
        <v>-7.9365079365079416E-2</v>
      </c>
      <c r="BL385" s="91">
        <f t="shared" si="307"/>
        <v>-0.19463087248322153</v>
      </c>
      <c r="BM385" s="91">
        <f t="shared" si="307"/>
        <v>-0.28695652173913044</v>
      </c>
      <c r="BN385" s="80">
        <f t="shared" si="307"/>
        <v>-0.1457085828343313</v>
      </c>
      <c r="BO385" s="80">
        <f>BO382/BJ382-1</f>
        <v>-0.46363636363636362</v>
      </c>
      <c r="BP385" s="91">
        <f>BP382/BK382-1</f>
        <v>-0.59482758620689657</v>
      </c>
      <c r="BQ385" s="91">
        <f>BQ382/BL382-1</f>
        <v>-0.77500000000000002</v>
      </c>
      <c r="BR385" s="91">
        <f>BR382/BM382-1</f>
        <v>-0.74390243902439024</v>
      </c>
      <c r="BS385" s="83">
        <f>BS382/BN382-1</f>
        <v>-0.64018691588785048</v>
      </c>
      <c r="BT385" s="80"/>
      <c r="BU385" s="91"/>
      <c r="BV385" s="91"/>
      <c r="BW385" s="91"/>
      <c r="BX385" s="83"/>
      <c r="BY385" s="83"/>
      <c r="BZ385" s="83"/>
      <c r="CA385" s="83"/>
      <c r="CB385" s="83"/>
      <c r="CC385" s="83"/>
      <c r="CD385" s="83"/>
      <c r="CE385" s="83"/>
      <c r="CF385" s="83"/>
      <c r="CG385" s="83"/>
      <c r="CH385" s="83"/>
      <c r="CI385" s="83"/>
      <c r="CJ385" s="83"/>
      <c r="CK385" s="83"/>
      <c r="CL385" s="83"/>
      <c r="CM385" s="83"/>
      <c r="CN385" s="83"/>
      <c r="CO385" s="83"/>
      <c r="CP385" s="83"/>
      <c r="CQ385" s="83"/>
      <c r="CR385" s="83"/>
      <c r="CS385" s="83"/>
      <c r="CT385" s="83"/>
      <c r="CU385" s="83"/>
      <c r="CV385" s="83"/>
      <c r="CW385" s="83"/>
      <c r="CX385" s="83"/>
      <c r="CY385" s="83"/>
      <c r="CZ385" s="83"/>
      <c r="DA385" s="83"/>
      <c r="DB385" s="83"/>
      <c r="DC385" s="83"/>
      <c r="DD385" s="83"/>
      <c r="DE385" s="83"/>
      <c r="DF385" s="83"/>
      <c r="DG385" s="83"/>
      <c r="DH385" s="83"/>
      <c r="DI385" s="83"/>
      <c r="DJ385" s="83"/>
      <c r="DK385" s="83"/>
      <c r="DL385" s="193"/>
      <c r="DM385" s="193"/>
      <c r="DN385" s="193"/>
      <c r="DO385" s="193"/>
      <c r="DP385" s="193"/>
    </row>
    <row r="386" spans="1:120" x14ac:dyDescent="0.2">
      <c r="A386" s="36" t="s">
        <v>251</v>
      </c>
      <c r="B386" s="31"/>
      <c r="C386" s="31"/>
      <c r="D386" s="31"/>
      <c r="E386" s="31"/>
      <c r="F386" s="31"/>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72">
        <v>214</v>
      </c>
      <c r="AV386" s="72">
        <v>158</v>
      </c>
      <c r="AW386" s="72">
        <v>271</v>
      </c>
      <c r="AX386" s="72">
        <v>263</v>
      </c>
      <c r="AY386" s="107">
        <f>AX386+AW386+AV386+AU386</f>
        <v>906</v>
      </c>
      <c r="AZ386" s="36">
        <f>109+16</f>
        <v>125</v>
      </c>
      <c r="BA386" s="36">
        <f>174+12</f>
        <v>186</v>
      </c>
      <c r="BB386" s="36">
        <f>17+155</f>
        <v>172</v>
      </c>
      <c r="BC386" s="36">
        <f>169+16</f>
        <v>185</v>
      </c>
      <c r="BD386" s="107">
        <f>BC386+BB386+BA386+AZ386</f>
        <v>668</v>
      </c>
      <c r="BE386" s="36">
        <f>207+15</f>
        <v>222</v>
      </c>
      <c r="BF386" s="36">
        <f>BF395-BF217-BF133-BF253-BF235-BF247-BF260-BF266-BF229-BF272-BF172-BF178-BF278-BF197-BF159-BF286-BF96-BF108-BF292-BF114-BF223-BF312-BF318-BF324-BF330-BF336-BF344-BF350-BF358-BF34-BF13-BF47-BF41-BF71-BF53-BF59-BF204-BF241-BF374-BF210-BF380-BF78</f>
        <v>246</v>
      </c>
      <c r="BG386" s="36">
        <f>BG395-BG217-BG133-BG253-BG235-BG247-BG260-BG266-BG229-BG272-BG172-BG178-BG278-BG197-BG159-BG286-BG96-BG108-BG292-BG114-BG223-BG312-BG318-BG324-BG330-BG336-BG344-BG350-BG358-BG34-BG13-BG47-BG41-BG71-BG53-BG59-BG204-BG241-BG374-BG210-BG380-BG78</f>
        <v>279</v>
      </c>
      <c r="BH386" s="36">
        <f>209+20</f>
        <v>229</v>
      </c>
      <c r="BI386" s="36">
        <f>SUM(BE386:BH386)</f>
        <v>976</v>
      </c>
      <c r="BJ386" s="36">
        <f>208+18</f>
        <v>226</v>
      </c>
      <c r="BK386" s="36">
        <f>BK395-BK217-BK133-BK253-BK235-BK247-BK260-BK266-BK229-BK272-BK172-BK178-BK278-BK197-BK159-BK286-BK96-BK108-BK292-BK114-BK223-BK312-BK318-BK324-BK330-BK336-BK344-BK350-BK358-BK34-BK13-BK47-BK41-BK71-BK53-BK59-BK204-BK241-BK374-BK210-BK380-BK78</f>
        <v>326</v>
      </c>
      <c r="BL386" s="36">
        <f>BL395-BL217-BL133-BL253-BL235-BL247-BL260-BL266-BL229-BL272-BL172-BL178-BL278-BL197-BL159-BL286-BL96-BL108-BL292-BL114-BL223-BL312-BL318-BL324-BL330-BL336-BL344-BL350-BL358-BL34-BL13-BL47-BL41-BL71-BL53-BL59-BL204-BL241-BL374-BL210-BL380-BL78</f>
        <v>327</v>
      </c>
      <c r="BM386" s="36">
        <f>BM395-BM217-BM133-BM253-BM235-BM247-BM260-BM266-BM229-BM272-BM172-BM178-BM278-BM197-BM159-BM286-BM96-BM108-BM292-BM114-BM223-BM312-BM318-BM324-BM330-BM336-BM344-BM350-BM358-BM34-BM13-BM47-BM41-BM71-BM53-BM59-BM204-BM241-BM374-BM210-BM380-BM78</f>
        <v>329</v>
      </c>
      <c r="BN386" s="36">
        <f>SUM(BJ386:BM386)</f>
        <v>1208</v>
      </c>
      <c r="BO386" s="36">
        <f>BO395-BO217-BO133-BO253-BO235-BO247-BO260-BO266-BO229-BO272-BO172-BO178-BO278-BO197-BO159-BO286-BO96-BO108-BO292-BO114-BO223-BO312-BO318-BO324-BO330-BO336-BO344-BO350-BO358-BO34-BO13-BO47-BO41-BO71-BO53-BO59-BO204-BO241-BO374-BO210-BO380-BO78</f>
        <v>348</v>
      </c>
      <c r="BP386" s="36">
        <f>BP395-BP217-BP133-BP253-BP235-BP247-BP260-BP266-BP229-BP272-BP172-BP178-BP278-BP197-BP159-BP286-BP96-BP108-BP292-BP114-BP223-BP312-BP318-BP324-BP330-BP336-BP344-BP350-BP358-BP34-BP13-BP47-BP41-BP71-BP53-BP59-BP204-BP241-BP374-BP210-BP380-BP78</f>
        <v>348</v>
      </c>
      <c r="BQ386" s="36">
        <f>BQ395-BQ217-BQ133-BQ253-BQ235-BQ247-BQ260-BQ266-BQ229-BQ272-BQ172-BQ178-BQ278-BQ197-BQ159-BQ286-BQ96-BQ108-BQ292-BQ114-BQ223-BQ312-BQ318-BQ324-BQ330-BQ336-BQ344-BQ350-BQ358-BQ34-BQ13-BQ47-BQ41-BQ71-BQ53-BQ59-BQ204-BQ241-BQ374-BQ210-BQ380-BQ78</f>
        <v>366</v>
      </c>
      <c r="BR386" s="36">
        <f>BR395-BR217-BR133-BR253-BR235-BR247-BR260-BR266-BR229-BR272-BR172-BR178-BR278-BR197-BR159-BR286-BR96-BR108-BR292-BR114-BR223-BR312-BR318-BR324-BR330-BR336-BR344-BR350-BR358-BR7-BR34-BR13-BR47-BR41-BR71-BR53-BR59-BR204-BR241-BR374-BR210-BR380-BR78</f>
        <v>356</v>
      </c>
      <c r="BS386" s="36">
        <f>SUM(BO386:BR386)</f>
        <v>1418</v>
      </c>
      <c r="BT386" s="36">
        <f ca="1">BT395-BT217-BT133-BT253-BT235-BT247-BT260-BT266-BT229-BT272-BT172-BT178-BT278-BT197-BT159-BT286-BT96-BT108-BT292-BT114-BT223-BT312-BT318-BT324-BT330-BT336-BT344-BT350-BT358-BT7-BT34-BT13-BT47-BT41-BT71-BT53-BT59-BT204-BT241-BT374-BT210-BT380-BT78-BT126</f>
        <v>377.83333333333348</v>
      </c>
      <c r="BU386" s="36">
        <f>346+50</f>
        <v>396</v>
      </c>
      <c r="BV386" s="36">
        <f>368+61</f>
        <v>429</v>
      </c>
      <c r="BW386" s="36">
        <f>370+56</f>
        <v>426</v>
      </c>
      <c r="BX386" s="36">
        <f ca="1">SUM(BT386:BW386)</f>
        <v>1628.8333333333335</v>
      </c>
      <c r="BY386" s="36">
        <f>71+330</f>
        <v>401</v>
      </c>
      <c r="BZ386" s="36">
        <f>341+67</f>
        <v>408</v>
      </c>
      <c r="CA386" s="36">
        <f>319+65+49</f>
        <v>433</v>
      </c>
      <c r="CB386" s="36">
        <f>339+81</f>
        <v>420</v>
      </c>
      <c r="CC386" s="36">
        <f>SUM(BY386:CB386)</f>
        <v>1662</v>
      </c>
      <c r="CD386" s="36">
        <f>329+65</f>
        <v>394</v>
      </c>
      <c r="CE386" s="36">
        <f>329+77</f>
        <v>406</v>
      </c>
      <c r="CF386" s="36">
        <f>293+78</f>
        <v>371</v>
      </c>
      <c r="CG386" s="36">
        <f>299+89</f>
        <v>388</v>
      </c>
      <c r="CH386" s="36">
        <f>SUM(CD386:CG386)</f>
        <v>1559</v>
      </c>
      <c r="CI386" s="36">
        <f>273+24</f>
        <v>297</v>
      </c>
      <c r="CJ386" s="36">
        <f>288.5+31</f>
        <v>319.5</v>
      </c>
      <c r="CK386" s="36">
        <f>317+33+30</f>
        <v>380</v>
      </c>
      <c r="CL386" s="36">
        <f>357+46+39</f>
        <v>442</v>
      </c>
      <c r="CM386" s="36">
        <f>SUM(CI386:CL386)</f>
        <v>1438.5</v>
      </c>
      <c r="CN386" s="36">
        <f>358+29</f>
        <v>387</v>
      </c>
      <c r="CO386" s="36">
        <v>401</v>
      </c>
      <c r="CP386" s="36">
        <v>385</v>
      </c>
      <c r="CQ386" s="36">
        <v>419</v>
      </c>
      <c r="CR386" s="36">
        <f>SUM(CN386:CQ386)</f>
        <v>1592</v>
      </c>
      <c r="CS386" s="36">
        <f>46+409+26</f>
        <v>481</v>
      </c>
      <c r="CT386" s="36">
        <f>385-2</f>
        <v>383</v>
      </c>
      <c r="CU386" s="36">
        <v>352</v>
      </c>
      <c r="CV386" s="36">
        <v>410</v>
      </c>
      <c r="CW386" s="72">
        <f>SUM(CS386:CV386)</f>
        <v>1626</v>
      </c>
      <c r="CX386" s="36">
        <v>384</v>
      </c>
      <c r="CY386" s="36">
        <v>245</v>
      </c>
      <c r="CZ386" s="36">
        <v>262</v>
      </c>
      <c r="DA386" s="36">
        <v>263</v>
      </c>
      <c r="DB386" s="72">
        <f>SUM(CX386:DA386)</f>
        <v>1154</v>
      </c>
      <c r="DC386" s="72">
        <f>181+49</f>
        <v>230</v>
      </c>
      <c r="DD386" s="72">
        <f>191+63</f>
        <v>254</v>
      </c>
      <c r="DE386" s="72">
        <v>244</v>
      </c>
      <c r="DF386" s="72">
        <f>5871-5520</f>
        <v>351</v>
      </c>
      <c r="DG386" s="36">
        <f>SUM(DC386:DF386)</f>
        <v>1079</v>
      </c>
      <c r="DH386" s="36">
        <f t="shared" ref="DH386:DK387" si="308">DC386*(1+DH389)</f>
        <v>225.4</v>
      </c>
      <c r="DI386" s="36">
        <f t="shared" si="308"/>
        <v>248.92</v>
      </c>
      <c r="DJ386" s="36">
        <f t="shared" si="308"/>
        <v>239.12</v>
      </c>
      <c r="DK386" s="36">
        <f t="shared" si="308"/>
        <v>343.98</v>
      </c>
      <c r="DL386" s="183">
        <f>SUM(DH386:DK386)</f>
        <v>1057.42</v>
      </c>
      <c r="DM386" s="183">
        <f t="shared" ref="DM386:DP387" si="309">DL386*(1+DM389)</f>
        <v>1036.2716</v>
      </c>
      <c r="DN386" s="183">
        <f t="shared" si="309"/>
        <v>1015.546168</v>
      </c>
      <c r="DO386" s="183">
        <f t="shared" si="309"/>
        <v>995.23524463999991</v>
      </c>
      <c r="DP386" s="183">
        <f t="shared" si="309"/>
        <v>975.33053974719985</v>
      </c>
    </row>
    <row r="387" spans="1:120" x14ac:dyDescent="0.2">
      <c r="A387" s="36" t="s">
        <v>252</v>
      </c>
      <c r="B387" s="31"/>
      <c r="C387" s="31"/>
      <c r="D387" s="31"/>
      <c r="E387" s="31"/>
      <c r="F387" s="31"/>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72">
        <v>761</v>
      </c>
      <c r="AV387" s="72">
        <v>827</v>
      </c>
      <c r="AW387" s="72">
        <v>778</v>
      </c>
      <c r="AX387" s="72">
        <v>898</v>
      </c>
      <c r="AY387" s="107">
        <f>AX387+AW387+AV387+AU387</f>
        <v>3264</v>
      </c>
      <c r="AZ387" s="36">
        <f>637+39</f>
        <v>676</v>
      </c>
      <c r="BA387" s="36">
        <f>776+44</f>
        <v>820</v>
      </c>
      <c r="BB387" s="36">
        <f>44+734</f>
        <v>778</v>
      </c>
      <c r="BC387" s="36">
        <f>784+42</f>
        <v>826</v>
      </c>
      <c r="BD387" s="107">
        <f>BC387+BB387+BA387+AZ387</f>
        <v>3100</v>
      </c>
      <c r="BE387" s="36">
        <f>806+44</f>
        <v>850</v>
      </c>
      <c r="BF387" s="36">
        <f>BF396-BF218-BF141-BF134-BF254-BF236-BF248-BF261-BF267-BF230-BF273-BF173-BF179-BF279-BF198-BF160-BF287-BF97-BF109-BF293-BF115-BF224-BF313-BF319-BF325-BF331-BF345-BF351-BF359-BF35-BF14-BF364-BF48-BF42-BF72-BF54-BF60-BF205-BF242-BF375-BF211-BF381-BF79</f>
        <v>806</v>
      </c>
      <c r="BG387" s="36">
        <f>BG396-BG218-BG141-BG134-BG254-BG236-BG248-BG261-BG267-BG230-BG273-BG173-BG179-BG279-BG198-BG160-BG287-BG97-BG109-BG293-BG115-BG224-BG313-BG319-BG325-BG331-BG345-BG351-BG359-BG35-BG14-BG364-BG48-BG42-BG72-BG54-BG60-BG205-BG242-BG375-BG211-BG381-BG79</f>
        <v>813</v>
      </c>
      <c r="BH387" s="36">
        <f>904+47-20</f>
        <v>931</v>
      </c>
      <c r="BI387" s="36">
        <f>SUM(BE387:BH387)</f>
        <v>3400</v>
      </c>
      <c r="BJ387" s="36">
        <f>811+47</f>
        <v>858</v>
      </c>
      <c r="BK387" s="36">
        <f>BK396-BK218-BK141-BK134-BK254-BK236-BK248-BK261-BK267-BK230-BK273-BK173-BK179-BK279-BK198-BK160-BK287-BK97-BK109-BK293-BK115-BK224-BK313-BK319-BK325-BK331-BK345-BK351-BK359-BK35-BK14-BK364-BK48-BK42-BK72-BK54-BK60-BK205-BK242-BK375-BK211-BK381-BK79</f>
        <v>762</v>
      </c>
      <c r="BL387" s="36">
        <f>BL396-BL218-BL141-BL134-BL254-BL236-BL248-BL261-BL267-BL230-BL273-BL173-BL179-BL279-BL198-BL160-BL287-BL97-BL109-BL293-BL115-BL224-BL313-BL319-BL325-BL331-BL345-BL351-BL359-BL35-BL14-BL364-BL48-BL42-BL72-BL54-BL60-BL205-BL242-BL375-BL211-BL381-BL79</f>
        <v>806</v>
      </c>
      <c r="BM387" s="36">
        <f>BM396-BM218-BM141-BM134-BM254-BM236-BM248-BM261-BM267-BM230-BM273-BM173-BM179-BM279-BM198-BM160-BM287-BM97-BM109-BM293-BM115-BM224-BM313-BM319-BM325-BM331-BM345-BM351-BM359-BM35-BM14-BM364-BM48-BM42-BM72-BM54-BM60-BM205-BM242-BM375-BM211-BM381-BM79</f>
        <v>890</v>
      </c>
      <c r="BN387" s="36">
        <f>SUM(BJ387:BM387)</f>
        <v>3316</v>
      </c>
      <c r="BO387" s="36">
        <f>BO396-BO218-BO141-BO134-BO254-BO236-BO248-BO261-BO267-BO230-BO273-BO173-BO179-BO279-BO198-BO160-BO287-BO97-BO109-BO293-BO115-BO224-BO313-BO319-BO325-BO331-BO345-BO351-BO359-BO35-BO14-BO364-BO48-BO42-BO72-BO54-BO60-BO205-BO242-BO375-BO211-BO381-BO79</f>
        <v>900</v>
      </c>
      <c r="BP387" s="36">
        <f>BP396-BP218-BP141-BP134-BP254-BP236-BP248-BP261-BP267-BP230-BP273-BP173-BP179-BP279-BP198-BP160-BP287-BP97-BP109-BP293-BP115-BP224-BP313-BP319-BP325-BP331-BP345-BP351-BP359-BP35-BP14-BP364-BP48-BP42-BP72-BP54-BP60-BP205-BP242-BP375-BP211-BP381-BP79</f>
        <v>958</v>
      </c>
      <c r="BQ387" s="36">
        <f>BQ396-BQ218-BQ141-BQ134-BQ254-BQ236-BQ248-BQ261-BQ267-BQ230-BQ273-BQ173-BQ179-BQ279-BQ198-BQ160-BQ287-BQ97-BQ109-BQ293-BQ115-BQ224-BQ313-BQ319-BQ325-BQ331-BQ345-BQ351-BQ359-BQ35-BQ14-BQ364-BQ48-BQ42-BQ72-BQ54-BQ60-BQ205-BQ242-BQ375-BQ211-BQ381-BQ79</f>
        <v>969</v>
      </c>
      <c r="BR387" s="36">
        <f>BR396-BR218-BR141-BR134-BR254-BR236-BR248-BR261-BR267-BR230-BR273-BR173-BR179-BR279-BR198-BR160-BR287-BR97-BR109-BR293-BR115-BR224-BR313-BR319-BR325-BR331-BR345-BR351-BR359-BR8-BR35-BR14-BR364-BR48-BR42-BR72-BR54-BR60-BR205-BR242-BR375-BR211-BR381-BR79</f>
        <v>935</v>
      </c>
      <c r="BS387" s="36">
        <f>SUM(BO387:BR387)</f>
        <v>3762</v>
      </c>
      <c r="BT387" s="36">
        <f>BT396-BT218-BT141-BT134-BT254-BT236-BT248-BT261-BT267-BT230-BT273-BT173-BT179-BT279-BT198-BT160-BT287-BT97-BT109-BT293-BT115-BT224-BT313-BT319-BT325-BT331-BT345-BT351-BT359-BT8-BT35-BT14-BT364-BT48-BT42-BT72-BT54-BT60-BT205-BT242-BT375-BT211-BT381-BT79-BT127</f>
        <v>810</v>
      </c>
      <c r="BU387" s="36">
        <f>782+67</f>
        <v>849</v>
      </c>
      <c r="BV387" s="36">
        <f>810+64</f>
        <v>874</v>
      </c>
      <c r="BW387" s="36">
        <f>804+72</f>
        <v>876</v>
      </c>
      <c r="BX387" s="36">
        <f>SUM(BT387:BW387)</f>
        <v>3409</v>
      </c>
      <c r="BY387" s="36">
        <f>74+759</f>
        <v>833</v>
      </c>
      <c r="BZ387" s="36">
        <f>811+76</f>
        <v>887</v>
      </c>
      <c r="CA387" s="36">
        <f>900+82+52</f>
        <v>1034</v>
      </c>
      <c r="CB387" s="36">
        <f>896+80</f>
        <v>976</v>
      </c>
      <c r="CC387" s="36">
        <f>SUM(BY387:CB387)</f>
        <v>3730</v>
      </c>
      <c r="CD387" s="36">
        <f>709+84+49+76</f>
        <v>918</v>
      </c>
      <c r="CE387" s="36">
        <f>789+63+67+78</f>
        <v>997</v>
      </c>
      <c r="CF387" s="36">
        <f>723+70+83+59</f>
        <v>935</v>
      </c>
      <c r="CG387" s="36">
        <f>54+79+90+826</f>
        <v>1049</v>
      </c>
      <c r="CH387" s="36">
        <f>SUM(CD387:CG387)</f>
        <v>3899</v>
      </c>
      <c r="CI387" s="36">
        <f>717+9</f>
        <v>726</v>
      </c>
      <c r="CJ387" s="36">
        <f>764.5+13+35</f>
        <v>812.5</v>
      </c>
      <c r="CK387" s="36">
        <f>666+15+13</f>
        <v>694</v>
      </c>
      <c r="CL387" s="36">
        <f>708+25+24</f>
        <v>757</v>
      </c>
      <c r="CM387" s="36">
        <f>SUM(CI387:CL387)</f>
        <v>2989.5</v>
      </c>
      <c r="CN387" s="36">
        <f>782+18</f>
        <v>800</v>
      </c>
      <c r="CO387" s="36">
        <f>869-2</f>
        <v>867</v>
      </c>
      <c r="CP387" s="36">
        <v>842</v>
      </c>
      <c r="CQ387" s="36">
        <v>848</v>
      </c>
      <c r="CR387" s="36">
        <f>SUM(CN387:CQ387)</f>
        <v>3357</v>
      </c>
      <c r="CS387" s="36">
        <f>780+5+16+33+33</f>
        <v>867</v>
      </c>
      <c r="CT387" s="36">
        <v>720</v>
      </c>
      <c r="CU387" s="36">
        <v>834</v>
      </c>
      <c r="CV387" s="36">
        <v>818</v>
      </c>
      <c r="CW387" s="72">
        <f>SUM(CS387:CV387)</f>
        <v>3239</v>
      </c>
      <c r="CX387" s="36">
        <v>814</v>
      </c>
      <c r="CY387" s="36">
        <v>301</v>
      </c>
      <c r="CZ387" s="36">
        <v>308</v>
      </c>
      <c r="DA387" s="36">
        <v>347</v>
      </c>
      <c r="DB387" s="72">
        <f>SUM(CX387:DA387)</f>
        <v>1770</v>
      </c>
      <c r="DC387" s="72">
        <f>339+3</f>
        <v>342</v>
      </c>
      <c r="DD387" s="72">
        <f>288+3</f>
        <v>291</v>
      </c>
      <c r="DE387" s="72">
        <v>321</v>
      </c>
      <c r="DF387" s="72">
        <f>6309-5973</f>
        <v>336</v>
      </c>
      <c r="DG387" s="36">
        <f>SUM(DC387:DF387)</f>
        <v>1290</v>
      </c>
      <c r="DH387" s="36">
        <f t="shared" si="308"/>
        <v>335.15999999999997</v>
      </c>
      <c r="DI387" s="36">
        <f t="shared" si="308"/>
        <v>285.18</v>
      </c>
      <c r="DJ387" s="36">
        <f t="shared" si="308"/>
        <v>314.58</v>
      </c>
      <c r="DK387" s="36">
        <f t="shared" si="308"/>
        <v>329.28</v>
      </c>
      <c r="DL387" s="183">
        <f>SUM(DH387:DK387)</f>
        <v>1264.1999999999998</v>
      </c>
      <c r="DM387" s="183">
        <f t="shared" si="309"/>
        <v>1238.9159999999997</v>
      </c>
      <c r="DN387" s="183">
        <f t="shared" si="309"/>
        <v>1214.1376799999996</v>
      </c>
      <c r="DO387" s="183">
        <f t="shared" si="309"/>
        <v>1189.8549263999996</v>
      </c>
      <c r="DP387" s="183">
        <f t="shared" si="309"/>
        <v>1166.0578278719995</v>
      </c>
    </row>
    <row r="388" spans="1:120" x14ac:dyDescent="0.2">
      <c r="A388" s="39" t="s">
        <v>253</v>
      </c>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c r="AR388" s="67"/>
      <c r="AS388" s="67"/>
      <c r="AT388" s="67"/>
      <c r="AU388" s="165">
        <f t="shared" ref="AU388:BD388" si="310">AU387+AU386</f>
        <v>975</v>
      </c>
      <c r="AV388" s="165">
        <f t="shared" si="310"/>
        <v>985</v>
      </c>
      <c r="AW388" s="165">
        <f t="shared" si="310"/>
        <v>1049</v>
      </c>
      <c r="AX388" s="165">
        <f t="shared" si="310"/>
        <v>1161</v>
      </c>
      <c r="AY388" s="165">
        <f t="shared" si="310"/>
        <v>4170</v>
      </c>
      <c r="AZ388" s="165">
        <f t="shared" si="310"/>
        <v>801</v>
      </c>
      <c r="BA388" s="165">
        <f t="shared" si="310"/>
        <v>1006</v>
      </c>
      <c r="BB388" s="165">
        <f t="shared" si="310"/>
        <v>950</v>
      </c>
      <c r="BC388" s="165">
        <f t="shared" si="310"/>
        <v>1011</v>
      </c>
      <c r="BD388" s="165">
        <f t="shared" si="310"/>
        <v>3768</v>
      </c>
      <c r="BE388" s="39">
        <f>BE386+BE387</f>
        <v>1072</v>
      </c>
      <c r="BF388" s="39">
        <f>BF386+BF387</f>
        <v>1052</v>
      </c>
      <c r="BG388" s="39">
        <f>BG386+BG387</f>
        <v>1092</v>
      </c>
      <c r="BH388" s="39">
        <f>BH386+BH387</f>
        <v>1160</v>
      </c>
      <c r="BI388" s="39">
        <f t="shared" ref="BI388:CP388" si="311">BI387+BI386</f>
        <v>4376</v>
      </c>
      <c r="BJ388" s="39">
        <f t="shared" si="311"/>
        <v>1084</v>
      </c>
      <c r="BK388" s="39">
        <f t="shared" si="311"/>
        <v>1088</v>
      </c>
      <c r="BL388" s="39">
        <f t="shared" si="311"/>
        <v>1133</v>
      </c>
      <c r="BM388" s="39">
        <f t="shared" si="311"/>
        <v>1219</v>
      </c>
      <c r="BN388" s="39">
        <f t="shared" si="311"/>
        <v>4524</v>
      </c>
      <c r="BO388" s="39">
        <f t="shared" si="311"/>
        <v>1248</v>
      </c>
      <c r="BP388" s="39">
        <f t="shared" si="311"/>
        <v>1306</v>
      </c>
      <c r="BQ388" s="39">
        <f t="shared" si="311"/>
        <v>1335</v>
      </c>
      <c r="BR388" s="39">
        <f t="shared" si="311"/>
        <v>1291</v>
      </c>
      <c r="BS388" s="39">
        <f t="shared" si="311"/>
        <v>5180</v>
      </c>
      <c r="BT388" s="39">
        <f ca="1">BT387+BT386</f>
        <v>1187.8333333333335</v>
      </c>
      <c r="BU388" s="39">
        <f t="shared" si="311"/>
        <v>1245</v>
      </c>
      <c r="BV388" s="39">
        <f t="shared" si="311"/>
        <v>1303</v>
      </c>
      <c r="BW388" s="39">
        <f t="shared" si="311"/>
        <v>1302</v>
      </c>
      <c r="BX388" s="39">
        <f ca="1">BX387+BX386</f>
        <v>5037.8333333333339</v>
      </c>
      <c r="BY388" s="39">
        <f t="shared" si="311"/>
        <v>1234</v>
      </c>
      <c r="BZ388" s="39">
        <f t="shared" si="311"/>
        <v>1295</v>
      </c>
      <c r="CA388" s="39">
        <f t="shared" si="311"/>
        <v>1467</v>
      </c>
      <c r="CB388" s="39">
        <f t="shared" si="311"/>
        <v>1396</v>
      </c>
      <c r="CC388" s="39">
        <f t="shared" si="311"/>
        <v>5392</v>
      </c>
      <c r="CD388" s="39">
        <f t="shared" si="311"/>
        <v>1312</v>
      </c>
      <c r="CE388" s="39">
        <f t="shared" si="311"/>
        <v>1403</v>
      </c>
      <c r="CF388" s="39">
        <f t="shared" si="311"/>
        <v>1306</v>
      </c>
      <c r="CG388" s="39">
        <f t="shared" si="311"/>
        <v>1437</v>
      </c>
      <c r="CH388" s="39">
        <f t="shared" si="311"/>
        <v>5458</v>
      </c>
      <c r="CI388" s="39">
        <f t="shared" si="311"/>
        <v>1023</v>
      </c>
      <c r="CJ388" s="39">
        <f t="shared" si="311"/>
        <v>1132</v>
      </c>
      <c r="CK388" s="39">
        <f t="shared" si="311"/>
        <v>1074</v>
      </c>
      <c r="CL388" s="39">
        <f t="shared" si="311"/>
        <v>1199</v>
      </c>
      <c r="CM388" s="39">
        <f t="shared" si="311"/>
        <v>4428</v>
      </c>
      <c r="CN388" s="39">
        <f t="shared" si="311"/>
        <v>1187</v>
      </c>
      <c r="CO388" s="39">
        <f t="shared" si="311"/>
        <v>1268</v>
      </c>
      <c r="CP388" s="39">
        <f t="shared" si="311"/>
        <v>1227</v>
      </c>
      <c r="CQ388" s="39">
        <f>CQ387+CQ386-2</f>
        <v>1265</v>
      </c>
      <c r="CR388" s="39">
        <f>CR387+CR386</f>
        <v>4949</v>
      </c>
      <c r="CS388" s="39">
        <f>CS387+CS386</f>
        <v>1348</v>
      </c>
      <c r="CT388" s="39">
        <f>CT387+CT386</f>
        <v>1103</v>
      </c>
      <c r="CU388" s="39">
        <f>CU387+CU386</f>
        <v>1186</v>
      </c>
      <c r="CV388" s="39">
        <f>CV387+CV386</f>
        <v>1228</v>
      </c>
      <c r="CW388" s="74">
        <f>SUM(CS388:CV388)</f>
        <v>4865</v>
      </c>
      <c r="CX388" s="39">
        <f>SUM(CX386:CX387)</f>
        <v>1198</v>
      </c>
      <c r="CY388" s="39">
        <f>SUM(CY386:CY387)</f>
        <v>546</v>
      </c>
      <c r="CZ388" s="39">
        <f>SUM(CZ386:CZ387)</f>
        <v>570</v>
      </c>
      <c r="DA388" s="39">
        <f>SUM(DA386:DA387)</f>
        <v>610</v>
      </c>
      <c r="DB388" s="74">
        <f>SUM(CX388:DA388)</f>
        <v>2924</v>
      </c>
      <c r="DC388" s="74">
        <f>DC387+DC386</f>
        <v>572</v>
      </c>
      <c r="DD388" s="74">
        <f>DD387+DD386</f>
        <v>545</v>
      </c>
      <c r="DE388" s="74">
        <f>DE387+DE386</f>
        <v>565</v>
      </c>
      <c r="DF388" s="74">
        <f>DF387+DF386</f>
        <v>687</v>
      </c>
      <c r="DG388" s="39">
        <f>SUM(DC388:DF388)</f>
        <v>2369</v>
      </c>
      <c r="DH388" s="39">
        <f>DH387+DH386</f>
        <v>560.55999999999995</v>
      </c>
      <c r="DI388" s="39">
        <f>DI387+DI386</f>
        <v>534.1</v>
      </c>
      <c r="DJ388" s="39">
        <f>DJ387+DJ386</f>
        <v>553.70000000000005</v>
      </c>
      <c r="DK388" s="39">
        <f>DK387+DK386</f>
        <v>673.26</v>
      </c>
      <c r="DL388" s="187">
        <f>SUM(DH388:DK388)</f>
        <v>2321.62</v>
      </c>
      <c r="DM388" s="187">
        <f t="shared" ref="DM388:DP388" si="312">DM387+DM386</f>
        <v>2275.1875999999997</v>
      </c>
      <c r="DN388" s="187">
        <f t="shared" si="312"/>
        <v>2229.6838479999997</v>
      </c>
      <c r="DO388" s="187">
        <f t="shared" si="312"/>
        <v>2185.0901710399994</v>
      </c>
      <c r="DP388" s="187">
        <f t="shared" si="312"/>
        <v>2141.3883676191995</v>
      </c>
    </row>
    <row r="389" spans="1:120" x14ac:dyDescent="0.2">
      <c r="A389" s="68" t="s">
        <v>54</v>
      </c>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c r="AR389" s="67"/>
      <c r="AS389" s="67"/>
      <c r="AT389" s="67"/>
      <c r="AU389" s="67"/>
      <c r="AV389" s="67"/>
      <c r="AW389" s="67"/>
      <c r="AX389" s="67"/>
      <c r="AY389" s="67"/>
      <c r="AZ389" s="75"/>
      <c r="BA389" s="75"/>
      <c r="BB389" s="75"/>
      <c r="BC389" s="75"/>
      <c r="BD389" s="75">
        <f t="shared" ref="BD389:CK391" si="313">BD386/AY386-1</f>
        <v>-0.26269315673289184</v>
      </c>
      <c r="BE389" s="76">
        <f t="shared" si="313"/>
        <v>0.77600000000000002</v>
      </c>
      <c r="BF389" s="76">
        <f t="shared" si="313"/>
        <v>0.32258064516129026</v>
      </c>
      <c r="BG389" s="76">
        <f t="shared" si="313"/>
        <v>0.62209302325581395</v>
      </c>
      <c r="BH389" s="76">
        <f t="shared" si="313"/>
        <v>0.23783783783783785</v>
      </c>
      <c r="BI389" s="90">
        <f t="shared" si="313"/>
        <v>0.46107784431137722</v>
      </c>
      <c r="BJ389" s="76">
        <f t="shared" si="313"/>
        <v>1.8018018018018056E-2</v>
      </c>
      <c r="BK389" s="76">
        <f t="shared" si="313"/>
        <v>0.32520325203252032</v>
      </c>
      <c r="BL389" s="76">
        <f t="shared" si="313"/>
        <v>0.17204301075268824</v>
      </c>
      <c r="BM389" s="76">
        <f t="shared" si="313"/>
        <v>0.43668122270742349</v>
      </c>
      <c r="BN389" s="90">
        <f>BN386/BI386-1</f>
        <v>0.23770491803278682</v>
      </c>
      <c r="BO389" s="76">
        <f t="shared" si="313"/>
        <v>0.53982300884955747</v>
      </c>
      <c r="BP389" s="76">
        <f t="shared" si="313"/>
        <v>6.7484662576687171E-2</v>
      </c>
      <c r="BQ389" s="76">
        <f t="shared" si="313"/>
        <v>0.11926605504587151</v>
      </c>
      <c r="BR389" s="76">
        <f t="shared" si="313"/>
        <v>8.2066869300911893E-2</v>
      </c>
      <c r="BS389" s="90">
        <f>BS386/BN386-1</f>
        <v>0.17384105960264895</v>
      </c>
      <c r="BT389" s="76">
        <f ca="1">BT386/BO386-1</f>
        <v>8.572796934865945E-2</v>
      </c>
      <c r="BU389" s="76">
        <f t="shared" si="313"/>
        <v>0.13793103448275867</v>
      </c>
      <c r="BV389" s="76">
        <f t="shared" si="313"/>
        <v>0.17213114754098369</v>
      </c>
      <c r="BW389" s="76">
        <f t="shared" si="313"/>
        <v>0.19662921348314599</v>
      </c>
      <c r="BX389" s="75">
        <f ca="1">BX386/BS386-1</f>
        <v>0.14868359191349323</v>
      </c>
      <c r="BY389" s="76">
        <f ca="1">BY386/BT386-1</f>
        <v>6.1314512571680302E-2</v>
      </c>
      <c r="BZ389" s="76">
        <f t="shared" si="313"/>
        <v>3.0303030303030276E-2</v>
      </c>
      <c r="CA389" s="76">
        <f t="shared" si="313"/>
        <v>9.3240093240092303E-3</v>
      </c>
      <c r="CB389" s="76">
        <f t="shared" si="313"/>
        <v>-1.4084507042253502E-2</v>
      </c>
      <c r="CC389" s="75">
        <f ca="1">CC386/BX386-1</f>
        <v>2.036222244960606E-2</v>
      </c>
      <c r="CD389" s="76">
        <f t="shared" si="313"/>
        <v>-1.7456359102244412E-2</v>
      </c>
      <c r="CE389" s="76">
        <f t="shared" si="313"/>
        <v>-4.9019607843137081E-3</v>
      </c>
      <c r="CF389" s="76">
        <f t="shared" si="313"/>
        <v>-0.14318706697459582</v>
      </c>
      <c r="CG389" s="76">
        <f t="shared" si="313"/>
        <v>-7.6190476190476142E-2</v>
      </c>
      <c r="CH389" s="75">
        <f>CH386/CC386-1</f>
        <v>-6.1973525872442869E-2</v>
      </c>
      <c r="CI389" s="76">
        <f t="shared" si="313"/>
        <v>-0.24619289340101524</v>
      </c>
      <c r="CJ389" s="76">
        <f t="shared" si="313"/>
        <v>-0.21305418719211822</v>
      </c>
      <c r="CK389" s="76">
        <f t="shared" si="313"/>
        <v>2.4258760107816801E-2</v>
      </c>
      <c r="CL389" s="75">
        <v>-0.2</v>
      </c>
      <c r="CM389" s="75">
        <f t="shared" ref="CM389:DE391" si="314">CM386/CH386-1</f>
        <v>-7.7293136626042314E-2</v>
      </c>
      <c r="CN389" s="75">
        <f t="shared" si="314"/>
        <v>0.30303030303030298</v>
      </c>
      <c r="CO389" s="75">
        <f t="shared" si="314"/>
        <v>0.25508607198748035</v>
      </c>
      <c r="CP389" s="75">
        <f t="shared" si="314"/>
        <v>1.3157894736842035E-2</v>
      </c>
      <c r="CQ389" s="75">
        <f t="shared" si="314"/>
        <v>-5.2036199095022662E-2</v>
      </c>
      <c r="CR389" s="75">
        <f>CR386/CM386-1</f>
        <v>0.10670837678136946</v>
      </c>
      <c r="CS389" s="75">
        <f t="shared" si="314"/>
        <v>0.24289405684754528</v>
      </c>
      <c r="CT389" s="75">
        <f t="shared" si="314"/>
        <v>-4.4887780548628409E-2</v>
      </c>
      <c r="CU389" s="75">
        <f t="shared" si="314"/>
        <v>-8.5714285714285743E-2</v>
      </c>
      <c r="CV389" s="75">
        <f t="shared" si="314"/>
        <v>-2.1479713603818618E-2</v>
      </c>
      <c r="CW389" s="90">
        <f>CW386/CR386-1</f>
        <v>2.1356783919598055E-2</v>
      </c>
      <c r="CX389" s="75">
        <f t="shared" si="314"/>
        <v>-0.20166320166320162</v>
      </c>
      <c r="CY389" s="75">
        <f t="shared" si="314"/>
        <v>-0.36031331592689297</v>
      </c>
      <c r="CZ389" s="75">
        <f t="shared" si="314"/>
        <v>-0.25568181818181823</v>
      </c>
      <c r="DA389" s="75">
        <f t="shared" si="314"/>
        <v>-0.35853658536585364</v>
      </c>
      <c r="DB389" s="90">
        <f>DB386/CW386-1</f>
        <v>-0.29028290282902824</v>
      </c>
      <c r="DC389" s="75">
        <f t="shared" si="314"/>
        <v>-0.40104166666666663</v>
      </c>
      <c r="DD389" s="75">
        <f t="shared" si="314"/>
        <v>3.6734693877551017E-2</v>
      </c>
      <c r="DE389" s="75">
        <f t="shared" si="314"/>
        <v>-6.8702290076335881E-2</v>
      </c>
      <c r="DF389" s="90">
        <v>-0.09</v>
      </c>
      <c r="DG389" s="75">
        <f>DG386/DB386-1</f>
        <v>-6.4991334488734842E-2</v>
      </c>
      <c r="DH389" s="75">
        <v>-0.02</v>
      </c>
      <c r="DI389" s="75">
        <v>-0.02</v>
      </c>
      <c r="DJ389" s="75">
        <v>-0.02</v>
      </c>
      <c r="DK389" s="75">
        <v>-0.02</v>
      </c>
      <c r="DL389" s="192">
        <f>DL386/DG386-1</f>
        <v>-1.9999999999999907E-2</v>
      </c>
      <c r="DM389" s="192">
        <v>-0.02</v>
      </c>
      <c r="DN389" s="192">
        <v>-0.02</v>
      </c>
      <c r="DO389" s="192">
        <v>-0.02</v>
      </c>
      <c r="DP389" s="192">
        <v>-0.02</v>
      </c>
    </row>
    <row r="390" spans="1:120" x14ac:dyDescent="0.2">
      <c r="A390" s="68" t="s">
        <v>55</v>
      </c>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c r="AR390" s="67"/>
      <c r="AS390" s="67"/>
      <c r="AT390" s="67"/>
      <c r="AU390" s="67"/>
      <c r="AV390" s="67"/>
      <c r="AW390" s="67"/>
      <c r="AX390" s="67"/>
      <c r="AY390" s="67"/>
      <c r="AZ390" s="75"/>
      <c r="BA390" s="75"/>
      <c r="BB390" s="166"/>
      <c r="BC390" s="75"/>
      <c r="BD390" s="75">
        <f t="shared" si="313"/>
        <v>-5.024509803921573E-2</v>
      </c>
      <c r="BE390" s="76">
        <f t="shared" si="313"/>
        <v>0.25739644970414211</v>
      </c>
      <c r="BF390" s="76">
        <f t="shared" si="313"/>
        <v>-1.7073170731707332E-2</v>
      </c>
      <c r="BG390" s="76">
        <f t="shared" si="313"/>
        <v>4.4987146529563038E-2</v>
      </c>
      <c r="BH390" s="76">
        <f t="shared" si="313"/>
        <v>0.12711864406779672</v>
      </c>
      <c r="BI390" s="90">
        <f t="shared" si="313"/>
        <v>9.6774193548387011E-2</v>
      </c>
      <c r="BJ390" s="76">
        <f t="shared" si="313"/>
        <v>9.4117647058824527E-3</v>
      </c>
      <c r="BK390" s="76">
        <f t="shared" si="313"/>
        <v>-5.4590570719602938E-2</v>
      </c>
      <c r="BL390" s="76">
        <f t="shared" si="313"/>
        <v>-8.610086100861003E-3</v>
      </c>
      <c r="BM390" s="76">
        <f t="shared" si="313"/>
        <v>-4.4038668098818512E-2</v>
      </c>
      <c r="BN390" s="90">
        <f>BN387/BI387-1</f>
        <v>-2.4705882352941133E-2</v>
      </c>
      <c r="BO390" s="76">
        <f t="shared" si="313"/>
        <v>4.8951048951048959E-2</v>
      </c>
      <c r="BP390" s="76">
        <f t="shared" si="313"/>
        <v>0.25721784776902878</v>
      </c>
      <c r="BQ390" s="76">
        <f t="shared" si="313"/>
        <v>0.20223325062034747</v>
      </c>
      <c r="BR390" s="76">
        <f t="shared" si="313"/>
        <v>5.0561797752809001E-2</v>
      </c>
      <c r="BS390" s="90">
        <f>BS387/BN387-1</f>
        <v>0.13449939686369117</v>
      </c>
      <c r="BT390" s="76">
        <f t="shared" si="313"/>
        <v>-9.9999999999999978E-2</v>
      </c>
      <c r="BU390" s="76">
        <f t="shared" si="313"/>
        <v>-0.11377870563674319</v>
      </c>
      <c r="BV390" s="76">
        <f t="shared" si="313"/>
        <v>-9.8039215686274495E-2</v>
      </c>
      <c r="BW390" s="76">
        <f t="shared" si="313"/>
        <v>-6.3101604278074874E-2</v>
      </c>
      <c r="BX390" s="75">
        <f>BX387/BS387-1</f>
        <v>-9.3833067517278046E-2</v>
      </c>
      <c r="BY390" s="76">
        <f t="shared" si="313"/>
        <v>2.839506172839501E-2</v>
      </c>
      <c r="BZ390" s="76">
        <f t="shared" si="313"/>
        <v>4.4758539458186197E-2</v>
      </c>
      <c r="CA390" s="76">
        <f t="shared" si="313"/>
        <v>0.18306636155606415</v>
      </c>
      <c r="CB390" s="76">
        <f t="shared" si="313"/>
        <v>0.11415525114155245</v>
      </c>
      <c r="CC390" s="75">
        <f t="shared" si="313"/>
        <v>9.416251100029327E-2</v>
      </c>
      <c r="CD390" s="76">
        <f t="shared" si="313"/>
        <v>0.1020408163265305</v>
      </c>
      <c r="CE390" s="76">
        <f t="shared" si="313"/>
        <v>0.12401352874859084</v>
      </c>
      <c r="CF390" s="76">
        <f t="shared" si="313"/>
        <v>-9.5744680851063801E-2</v>
      </c>
      <c r="CG390" s="76">
        <f t="shared" si="313"/>
        <v>7.4795081967213184E-2</v>
      </c>
      <c r="CH390" s="75">
        <f>CH387/CC387-1</f>
        <v>4.5308310991957201E-2</v>
      </c>
      <c r="CI390" s="76">
        <f t="shared" si="313"/>
        <v>-0.20915032679738566</v>
      </c>
      <c r="CJ390" s="76">
        <f t="shared" si="313"/>
        <v>-0.18505516549648948</v>
      </c>
      <c r="CK390" s="76">
        <f t="shared" si="313"/>
        <v>-0.25775401069518722</v>
      </c>
      <c r="CL390" s="75">
        <v>-0.2</v>
      </c>
      <c r="CM390" s="75">
        <f t="shared" si="314"/>
        <v>-0.23326493972813545</v>
      </c>
      <c r="CN390" s="75">
        <f t="shared" si="314"/>
        <v>0.10192837465564741</v>
      </c>
      <c r="CO390" s="75">
        <f t="shared" si="314"/>
        <v>6.7076923076923034E-2</v>
      </c>
      <c r="CP390" s="75">
        <f t="shared" si="314"/>
        <v>0.21325648414985587</v>
      </c>
      <c r="CQ390" s="75">
        <f t="shared" si="314"/>
        <v>0.120211360634082</v>
      </c>
      <c r="CR390" s="75">
        <f>CR387/CM387-1</f>
        <v>0.12293025589563467</v>
      </c>
      <c r="CS390" s="75">
        <f t="shared" si="314"/>
        <v>8.3749999999999991E-2</v>
      </c>
      <c r="CT390" s="75">
        <f t="shared" si="314"/>
        <v>-0.16955017301038067</v>
      </c>
      <c r="CU390" s="75">
        <f t="shared" si="314"/>
        <v>-9.5011876484560887E-3</v>
      </c>
      <c r="CV390" s="75">
        <f t="shared" si="314"/>
        <v>-3.5377358490566002E-2</v>
      </c>
      <c r="CW390" s="90">
        <f>CW387/CR387-1</f>
        <v>-3.5150431933273718E-2</v>
      </c>
      <c r="CX390" s="75">
        <f t="shared" si="314"/>
        <v>-6.1130334486735882E-2</v>
      </c>
      <c r="CY390" s="75">
        <f t="shared" si="314"/>
        <v>-0.58194444444444438</v>
      </c>
      <c r="CZ390" s="75">
        <f t="shared" si="314"/>
        <v>-0.63069544364508401</v>
      </c>
      <c r="DA390" s="75">
        <f t="shared" si="314"/>
        <v>-0.57579462102689494</v>
      </c>
      <c r="DB390" s="90">
        <f>DB387/CW387-1</f>
        <v>-0.45353504167953074</v>
      </c>
      <c r="DC390" s="75">
        <f t="shared" si="314"/>
        <v>-0.57985257985257987</v>
      </c>
      <c r="DD390" s="75">
        <f t="shared" si="314"/>
        <v>-3.3222591362126241E-2</v>
      </c>
      <c r="DE390" s="75">
        <f t="shared" si="314"/>
        <v>4.2207792207792139E-2</v>
      </c>
      <c r="DF390" s="90">
        <v>0.01</v>
      </c>
      <c r="DG390" s="75">
        <f>DG387/DB387-1</f>
        <v>-0.27118644067796616</v>
      </c>
      <c r="DH390" s="75">
        <v>-0.02</v>
      </c>
      <c r="DI390" s="75">
        <v>-0.02</v>
      </c>
      <c r="DJ390" s="75">
        <v>-0.02</v>
      </c>
      <c r="DK390" s="75">
        <v>-0.02</v>
      </c>
      <c r="DL390" s="192">
        <f>DL387/DG387-1</f>
        <v>-2.0000000000000129E-2</v>
      </c>
      <c r="DM390" s="192">
        <v>-0.02</v>
      </c>
      <c r="DN390" s="192">
        <v>-0.02</v>
      </c>
      <c r="DO390" s="192">
        <v>-0.02</v>
      </c>
      <c r="DP390" s="192">
        <v>-0.02</v>
      </c>
    </row>
    <row r="391" spans="1:120" x14ac:dyDescent="0.2">
      <c r="A391" s="78" t="s">
        <v>56</v>
      </c>
      <c r="B391" s="98"/>
      <c r="C391" s="98"/>
      <c r="D391" s="98"/>
      <c r="E391" s="98"/>
      <c r="F391" s="98"/>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c r="AE391" s="83"/>
      <c r="AF391" s="83"/>
      <c r="AG391" s="83"/>
      <c r="AH391" s="83"/>
      <c r="AI391" s="83"/>
      <c r="AJ391" s="83"/>
      <c r="AK391" s="83"/>
      <c r="AL391" s="83"/>
      <c r="AM391" s="83"/>
      <c r="AN391" s="83"/>
      <c r="AO391" s="83"/>
      <c r="AP391" s="83"/>
      <c r="AQ391" s="83"/>
      <c r="AR391" s="83"/>
      <c r="AS391" s="83"/>
      <c r="AT391" s="83"/>
      <c r="AU391" s="83"/>
      <c r="AV391" s="83"/>
      <c r="AW391" s="83"/>
      <c r="AX391" s="83"/>
      <c r="AY391" s="83"/>
      <c r="AZ391" s="83">
        <f>AZ388/AU388-1</f>
        <v>-0.17846153846153845</v>
      </c>
      <c r="BA391" s="83">
        <f>BA388/AV388-1</f>
        <v>2.1319796954314629E-2</v>
      </c>
      <c r="BB391" s="83">
        <f>BB388/AW388-1</f>
        <v>-9.4375595805529122E-2</v>
      </c>
      <c r="BC391" s="83">
        <f>BC388/AX388-1</f>
        <v>-0.12919896640826878</v>
      </c>
      <c r="BD391" s="83">
        <f t="shared" si="313"/>
        <v>-9.6402877697841727E-2</v>
      </c>
      <c r="BE391" s="80">
        <f t="shared" si="313"/>
        <v>0.33832709113607984</v>
      </c>
      <c r="BF391" s="80">
        <f t="shared" si="313"/>
        <v>4.5725646123260466E-2</v>
      </c>
      <c r="BG391" s="80">
        <f>BG388/BB388-1</f>
        <v>0.14947368421052643</v>
      </c>
      <c r="BH391" s="80">
        <f>BH388/BC388-1</f>
        <v>0.14737883283877351</v>
      </c>
      <c r="BI391" s="83">
        <f t="shared" si="313"/>
        <v>0.16135881104033967</v>
      </c>
      <c r="BJ391" s="83">
        <f t="shared" si="313"/>
        <v>1.1194029850746245E-2</v>
      </c>
      <c r="BK391" s="83">
        <f>BK388/BF388-1</f>
        <v>3.4220532319391594E-2</v>
      </c>
      <c r="BL391" s="83">
        <f>BL388/BG388-1</f>
        <v>3.7545787545787634E-2</v>
      </c>
      <c r="BM391" s="83">
        <f>BM388/BH388-1</f>
        <v>5.086206896551726E-2</v>
      </c>
      <c r="BN391" s="83">
        <f>BN388/BI388-1</f>
        <v>3.3820840950639752E-2</v>
      </c>
      <c r="BO391" s="83">
        <f>BO388/BJ388-1</f>
        <v>0.1512915129151291</v>
      </c>
      <c r="BP391" s="83">
        <f>BP388/BK388-1</f>
        <v>0.20036764705882359</v>
      </c>
      <c r="BQ391" s="83">
        <f>BQ388/BL388-1</f>
        <v>0.17828773168579004</v>
      </c>
      <c r="BR391" s="83">
        <f>BR388/BM388-1</f>
        <v>5.9064807219032067E-2</v>
      </c>
      <c r="BS391" s="83">
        <f>BS388/BN388-1</f>
        <v>0.14500442086648979</v>
      </c>
      <c r="BT391" s="83">
        <f ca="1">BT388/BO388-1</f>
        <v>-4.821047008546997E-2</v>
      </c>
      <c r="BU391" s="83">
        <f>BU388/BP388-1</f>
        <v>-4.6707503828483876E-2</v>
      </c>
      <c r="BV391" s="83">
        <f>BV388/BQ388-1</f>
        <v>-2.397003745318349E-2</v>
      </c>
      <c r="BW391" s="83">
        <f>BW388/BR388-1</f>
        <v>8.5205267234702564E-3</v>
      </c>
      <c r="BX391" s="83">
        <f ca="1">BX388/BS388-1</f>
        <v>-2.74453024453023E-2</v>
      </c>
      <c r="BY391" s="83">
        <f ca="1">BY388/BT388-1</f>
        <v>3.8866283148589753E-2</v>
      </c>
      <c r="BZ391" s="83">
        <f>BZ388/BU388-1</f>
        <v>4.016064257028118E-2</v>
      </c>
      <c r="CA391" s="83">
        <f t="shared" si="313"/>
        <v>0.125863392171911</v>
      </c>
      <c r="CB391" s="83">
        <f t="shared" si="313"/>
        <v>7.2196620583717452E-2</v>
      </c>
      <c r="CC391" s="83">
        <f ca="1">CC388/BX388-1</f>
        <v>7.0301386177920255E-2</v>
      </c>
      <c r="CD391" s="83">
        <f>CD388/BY388-1</f>
        <v>6.3209076175040568E-2</v>
      </c>
      <c r="CE391" s="83">
        <f>CE388/BZ388-1</f>
        <v>8.3397683397683497E-2</v>
      </c>
      <c r="CF391" s="83">
        <f>CF388/CA388-1</f>
        <v>-0.10974778459441037</v>
      </c>
      <c r="CG391" s="83">
        <f>CG388/CB388-1</f>
        <v>2.9369627507163321E-2</v>
      </c>
      <c r="CH391" s="83">
        <f>CH388/CC388-1</f>
        <v>1.2240356083086157E-2</v>
      </c>
      <c r="CI391" s="83">
        <f>CI388/CD388-1</f>
        <v>-0.22027439024390238</v>
      </c>
      <c r="CJ391" s="83">
        <f>CJ388/CE388-1</f>
        <v>-0.19315751960085537</v>
      </c>
      <c r="CK391" s="83">
        <f>CK388/CF388-1</f>
        <v>-0.1776416539050536</v>
      </c>
      <c r="CL391" s="83">
        <f>CL388/CG388-1</f>
        <v>-0.16562282533054973</v>
      </c>
      <c r="CM391" s="83">
        <f t="shared" si="314"/>
        <v>-0.18871381458409675</v>
      </c>
      <c r="CN391" s="83">
        <f t="shared" si="314"/>
        <v>0.16031280547409588</v>
      </c>
      <c r="CO391" s="83">
        <f t="shared" si="314"/>
        <v>0.12014134275618371</v>
      </c>
      <c r="CP391" s="83">
        <f t="shared" si="314"/>
        <v>0.14245810055865915</v>
      </c>
      <c r="CQ391" s="83">
        <f t="shared" si="314"/>
        <v>5.504587155963292E-2</v>
      </c>
      <c r="CR391" s="83">
        <f>CR388/CM388-1</f>
        <v>0.11766034327009933</v>
      </c>
      <c r="CS391" s="83">
        <f t="shared" si="314"/>
        <v>0.13563605728727879</v>
      </c>
      <c r="CT391" s="83">
        <f t="shared" si="314"/>
        <v>-0.13012618296529965</v>
      </c>
      <c r="CU391" s="83">
        <f t="shared" si="314"/>
        <v>-3.3414832925835358E-2</v>
      </c>
      <c r="CV391" s="83">
        <f t="shared" si="314"/>
        <v>-2.9249011857707563E-2</v>
      </c>
      <c r="CW391" s="83">
        <f>CW388/CR388-1</f>
        <v>-1.6973125884017004E-2</v>
      </c>
      <c r="CX391" s="83">
        <v>-1.3368961973278526E-2</v>
      </c>
      <c r="CY391" s="83">
        <v>-1.3368961973278526E-2</v>
      </c>
      <c r="CZ391" s="83">
        <v>-1.3368961973278526E-2</v>
      </c>
      <c r="DA391" s="83">
        <v>-1.3368961973278526E-2</v>
      </c>
      <c r="DB391" s="83">
        <f>DB388/CW388-1</f>
        <v>-0.39897225077081189</v>
      </c>
      <c r="DC391" s="83">
        <f>DC388/CX388-1</f>
        <v>-0.52253756260434059</v>
      </c>
      <c r="DD391" s="83">
        <f>DD388/CY388-1</f>
        <v>-1.831501831501825E-3</v>
      </c>
      <c r="DE391" s="83">
        <f>DE388/CZ388-1</f>
        <v>-8.7719298245614308E-3</v>
      </c>
      <c r="DF391" s="83">
        <f>DF388/DA388-1</f>
        <v>0.1262295081967213</v>
      </c>
      <c r="DG391" s="83">
        <f>DG388/DB388-1</f>
        <v>-0.18980848153214769</v>
      </c>
      <c r="DH391" s="83">
        <f>DH388/DC388-1</f>
        <v>-2.0000000000000129E-2</v>
      </c>
      <c r="DI391" s="83">
        <f>DI388/DD388-1</f>
        <v>-1.9999999999999907E-2</v>
      </c>
      <c r="DJ391" s="83">
        <f>DJ388/DE388-1</f>
        <v>-1.9999999999999907E-2</v>
      </c>
      <c r="DK391" s="83">
        <f>DK388/DF388-1</f>
        <v>-2.0000000000000018E-2</v>
      </c>
      <c r="DL391" s="193">
        <f>DL388/DG388-1</f>
        <v>-2.0000000000000018E-2</v>
      </c>
      <c r="DM391" s="193">
        <f t="shared" ref="DM391:DP391" si="315">DM388/DL388-1</f>
        <v>-2.0000000000000018E-2</v>
      </c>
      <c r="DN391" s="193">
        <f t="shared" si="315"/>
        <v>-2.0000000000000018E-2</v>
      </c>
      <c r="DO391" s="193">
        <f t="shared" si="315"/>
        <v>-2.0000000000000129E-2</v>
      </c>
      <c r="DP391" s="193">
        <f t="shared" si="315"/>
        <v>-2.0000000000000018E-2</v>
      </c>
    </row>
    <row r="392" spans="1:120" x14ac:dyDescent="0.2">
      <c r="A392" s="68" t="s">
        <v>254</v>
      </c>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120">
        <f>4090-4087</f>
        <v>3</v>
      </c>
      <c r="AV392" s="167">
        <v>-2</v>
      </c>
      <c r="AW392" s="167">
        <v>-2</v>
      </c>
      <c r="AX392" s="167">
        <v>1</v>
      </c>
      <c r="AY392" s="166">
        <f>AX392+AW392+AV392+AU392</f>
        <v>0</v>
      </c>
      <c r="AZ392" s="167">
        <v>-2</v>
      </c>
      <c r="BA392" s="167">
        <v>-1</v>
      </c>
      <c r="BB392" s="167">
        <v>3</v>
      </c>
      <c r="BC392" s="167">
        <v>2</v>
      </c>
      <c r="BD392" s="166">
        <f>BC392+BB392+BA392+AZ392</f>
        <v>2</v>
      </c>
      <c r="BE392" s="166">
        <v>1.4</v>
      </c>
      <c r="BF392" s="166"/>
      <c r="BG392" s="166"/>
      <c r="BH392" s="166"/>
      <c r="BI392" s="166">
        <f>SUM(BE392:BH392)</f>
        <v>1.4</v>
      </c>
      <c r="BJ392" s="166">
        <v>0</v>
      </c>
      <c r="BK392" s="166">
        <v>0</v>
      </c>
      <c r="BL392" s="166">
        <v>0</v>
      </c>
      <c r="BM392" s="166">
        <v>0</v>
      </c>
      <c r="BN392" s="166">
        <f>SUM(BJ392:BM392)</f>
        <v>0</v>
      </c>
      <c r="BO392" s="166">
        <v>0</v>
      </c>
      <c r="BP392" s="166">
        <v>0</v>
      </c>
      <c r="BQ392" s="166">
        <v>0</v>
      </c>
      <c r="BR392" s="166">
        <v>0</v>
      </c>
      <c r="BS392" s="133">
        <v>0</v>
      </c>
      <c r="BT392" s="166">
        <v>0</v>
      </c>
      <c r="BU392" s="166">
        <v>-1</v>
      </c>
      <c r="BV392" s="166">
        <v>3</v>
      </c>
      <c r="BW392" s="166">
        <v>0</v>
      </c>
      <c r="BX392" s="133">
        <v>0</v>
      </c>
      <c r="BY392" s="133">
        <v>0</v>
      </c>
      <c r="BZ392" s="133">
        <v>0</v>
      </c>
      <c r="CA392" s="133">
        <v>-1</v>
      </c>
      <c r="CB392" s="133">
        <v>-1</v>
      </c>
      <c r="CC392" s="133">
        <v>0</v>
      </c>
      <c r="CD392" s="133">
        <v>0</v>
      </c>
      <c r="CE392" s="133">
        <f>1+1+1-1</f>
        <v>2</v>
      </c>
      <c r="CF392" s="133">
        <v>0</v>
      </c>
      <c r="CG392" s="133">
        <v>0</v>
      </c>
      <c r="CH392" s="133">
        <v>0</v>
      </c>
      <c r="CI392" s="133">
        <v>0</v>
      </c>
      <c r="CJ392" s="133">
        <v>0.5</v>
      </c>
      <c r="CK392" s="133">
        <v>-0.5</v>
      </c>
      <c r="CL392" s="133">
        <v>0</v>
      </c>
      <c r="CM392" s="133">
        <v>0</v>
      </c>
      <c r="CN392" s="133">
        <v>0</v>
      </c>
      <c r="CO392" s="133">
        <v>0</v>
      </c>
      <c r="CP392" s="133">
        <v>0</v>
      </c>
      <c r="CQ392" s="133">
        <v>0</v>
      </c>
      <c r="CR392" s="133">
        <v>0</v>
      </c>
      <c r="CS392" s="133">
        <v>0</v>
      </c>
      <c r="CT392" s="133">
        <v>0</v>
      </c>
      <c r="CU392" s="133">
        <v>0</v>
      </c>
      <c r="CV392" s="133">
        <v>0</v>
      </c>
      <c r="CW392" s="133">
        <v>0</v>
      </c>
      <c r="CX392" s="133">
        <v>0</v>
      </c>
      <c r="CY392" s="133"/>
      <c r="CZ392" s="133"/>
      <c r="DA392" s="133"/>
      <c r="DB392" s="133">
        <v>0</v>
      </c>
      <c r="DC392" s="133">
        <v>0</v>
      </c>
      <c r="DD392" s="133">
        <v>0</v>
      </c>
      <c r="DE392" s="133">
        <v>0</v>
      </c>
      <c r="DF392" s="133">
        <v>0</v>
      </c>
      <c r="DG392" s="133">
        <v>0</v>
      </c>
      <c r="DH392" s="133">
        <v>0</v>
      </c>
      <c r="DI392" s="133">
        <v>0</v>
      </c>
      <c r="DJ392" s="133">
        <v>0</v>
      </c>
      <c r="DK392" s="133">
        <v>0</v>
      </c>
      <c r="DL392" s="211">
        <v>0</v>
      </c>
      <c r="DM392" s="211">
        <v>0</v>
      </c>
      <c r="DN392" s="211">
        <v>0</v>
      </c>
      <c r="DO392" s="211">
        <v>0</v>
      </c>
      <c r="DP392" s="211">
        <v>0</v>
      </c>
    </row>
    <row r="393" spans="1:120" x14ac:dyDescent="0.2">
      <c r="A393" s="68" t="s">
        <v>255</v>
      </c>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120">
        <f>5704-5702</f>
        <v>2</v>
      </c>
      <c r="AV393" s="167">
        <v>0</v>
      </c>
      <c r="AW393" s="167">
        <v>-4</v>
      </c>
      <c r="AX393" s="167">
        <v>1</v>
      </c>
      <c r="AY393" s="166">
        <f>AX393+AW393+AV393+AU393</f>
        <v>-1</v>
      </c>
      <c r="AZ393" s="167">
        <v>-2</v>
      </c>
      <c r="BA393" s="167">
        <v>1</v>
      </c>
      <c r="BB393" s="167">
        <v>2</v>
      </c>
      <c r="BC393" s="167">
        <v>2</v>
      </c>
      <c r="BD393" s="166">
        <f>BC393+BB393+BA393+AZ393</f>
        <v>3</v>
      </c>
      <c r="BE393" s="166">
        <v>1</v>
      </c>
      <c r="BF393" s="166"/>
      <c r="BG393" s="166"/>
      <c r="BH393" s="166"/>
      <c r="BI393" s="166">
        <f>SUM(BE393:BH393)</f>
        <v>1</v>
      </c>
      <c r="BJ393" s="166">
        <v>0</v>
      </c>
      <c r="BK393" s="166">
        <v>0</v>
      </c>
      <c r="BL393" s="166">
        <v>0</v>
      </c>
      <c r="BM393" s="166">
        <v>0</v>
      </c>
      <c r="BN393" s="166">
        <f>SUM(BJ393:BM393)</f>
        <v>0</v>
      </c>
      <c r="BO393" s="166">
        <v>0</v>
      </c>
      <c r="BP393" s="166">
        <v>0</v>
      </c>
      <c r="BQ393" s="166">
        <v>0</v>
      </c>
      <c r="BR393" s="166">
        <v>0</v>
      </c>
      <c r="BS393" s="133">
        <v>0</v>
      </c>
      <c r="BT393" s="166">
        <v>0</v>
      </c>
      <c r="BU393" s="166">
        <v>0</v>
      </c>
      <c r="BV393" s="166">
        <v>0</v>
      </c>
      <c r="BW393" s="166">
        <v>1</v>
      </c>
      <c r="BX393" s="133">
        <v>0</v>
      </c>
      <c r="BY393" s="133">
        <v>0</v>
      </c>
      <c r="BZ393" s="133">
        <v>0</v>
      </c>
      <c r="CA393" s="133">
        <v>-1</v>
      </c>
      <c r="CB393" s="133">
        <v>0</v>
      </c>
      <c r="CC393" s="133">
        <v>0</v>
      </c>
      <c r="CD393" s="133">
        <v>0</v>
      </c>
      <c r="CE393" s="133">
        <f>-1-1+1-2+1</f>
        <v>-2</v>
      </c>
      <c r="CF393" s="133">
        <v>0</v>
      </c>
      <c r="CG393" s="133">
        <v>0</v>
      </c>
      <c r="CH393" s="133">
        <v>0</v>
      </c>
      <c r="CI393" s="133">
        <v>1</v>
      </c>
      <c r="CJ393" s="133">
        <v>0.5</v>
      </c>
      <c r="CK393" s="133">
        <v>-0.5</v>
      </c>
      <c r="CL393" s="133">
        <v>0</v>
      </c>
      <c r="CM393" s="133">
        <v>0</v>
      </c>
      <c r="CN393" s="133">
        <v>0</v>
      </c>
      <c r="CO393" s="133">
        <v>0</v>
      </c>
      <c r="CP393" s="133">
        <v>0</v>
      </c>
      <c r="CQ393" s="133">
        <v>0</v>
      </c>
      <c r="CR393" s="133">
        <v>0</v>
      </c>
      <c r="CS393" s="133">
        <v>0</v>
      </c>
      <c r="CT393" s="133">
        <v>0</v>
      </c>
      <c r="CU393" s="133">
        <v>0</v>
      </c>
      <c r="CV393" s="133">
        <v>0</v>
      </c>
      <c r="CW393" s="133">
        <v>0</v>
      </c>
      <c r="CX393" s="133"/>
      <c r="CY393" s="133"/>
      <c r="CZ393" s="133"/>
      <c r="DA393" s="133"/>
      <c r="DB393" s="133">
        <v>0</v>
      </c>
      <c r="DC393" s="133">
        <v>0</v>
      </c>
      <c r="DD393" s="133">
        <v>0</v>
      </c>
      <c r="DE393" s="133">
        <v>0</v>
      </c>
      <c r="DF393" s="133">
        <v>0</v>
      </c>
      <c r="DG393" s="133">
        <v>0</v>
      </c>
      <c r="DH393" s="133">
        <v>0</v>
      </c>
      <c r="DI393" s="133">
        <v>0</v>
      </c>
      <c r="DJ393" s="133">
        <v>0</v>
      </c>
      <c r="DK393" s="133">
        <v>0</v>
      </c>
      <c r="DL393" s="211">
        <v>0</v>
      </c>
      <c r="DM393" s="211">
        <v>0</v>
      </c>
      <c r="DN393" s="211">
        <v>0</v>
      </c>
      <c r="DO393" s="211">
        <v>0</v>
      </c>
      <c r="DP393" s="211">
        <v>0</v>
      </c>
    </row>
    <row r="394" spans="1:120" x14ac:dyDescent="0.2">
      <c r="A394" s="78" t="s">
        <v>256</v>
      </c>
      <c r="B394" s="98"/>
      <c r="C394" s="98"/>
      <c r="D394" s="98"/>
      <c r="E394" s="98"/>
      <c r="F394" s="98"/>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168">
        <f t="shared" ref="AU394:BD394" si="316">AU393+AU392</f>
        <v>5</v>
      </c>
      <c r="AV394" s="169">
        <f t="shared" si="316"/>
        <v>-2</v>
      </c>
      <c r="AW394" s="169">
        <f t="shared" si="316"/>
        <v>-6</v>
      </c>
      <c r="AX394" s="169">
        <f t="shared" si="316"/>
        <v>2</v>
      </c>
      <c r="AY394" s="168">
        <f t="shared" si="316"/>
        <v>-1</v>
      </c>
      <c r="AZ394" s="169">
        <f t="shared" si="316"/>
        <v>-4</v>
      </c>
      <c r="BA394" s="169">
        <f t="shared" si="316"/>
        <v>0</v>
      </c>
      <c r="BB394" s="169">
        <f t="shared" si="316"/>
        <v>5</v>
      </c>
      <c r="BC394" s="169">
        <f t="shared" si="316"/>
        <v>4</v>
      </c>
      <c r="BD394" s="168">
        <f t="shared" si="316"/>
        <v>5</v>
      </c>
      <c r="BE394" s="168">
        <f>BE392+BE393</f>
        <v>2.4</v>
      </c>
      <c r="BF394" s="168"/>
      <c r="BG394" s="168"/>
      <c r="BH394" s="168"/>
      <c r="BI394" s="168">
        <f>BI392+BI393</f>
        <v>2.4</v>
      </c>
      <c r="BJ394" s="168">
        <v>0</v>
      </c>
      <c r="BK394" s="168">
        <v>0</v>
      </c>
      <c r="BL394" s="168">
        <v>0</v>
      </c>
      <c r="BM394" s="168">
        <v>0</v>
      </c>
      <c r="BN394" s="168">
        <f>BN392+BN393</f>
        <v>0</v>
      </c>
      <c r="BO394" s="168">
        <v>0</v>
      </c>
      <c r="BP394" s="168">
        <v>0</v>
      </c>
      <c r="BQ394" s="168">
        <v>0</v>
      </c>
      <c r="BR394" s="168">
        <v>0</v>
      </c>
      <c r="BS394" s="170">
        <v>0</v>
      </c>
      <c r="BT394" s="168">
        <v>0</v>
      </c>
      <c r="BU394" s="168">
        <v>0</v>
      </c>
      <c r="BV394" s="168">
        <v>0</v>
      </c>
      <c r="BW394" s="168">
        <v>0</v>
      </c>
      <c r="BX394" s="170">
        <v>0</v>
      </c>
      <c r="BY394" s="170">
        <v>0</v>
      </c>
      <c r="BZ394" s="170">
        <v>0</v>
      </c>
      <c r="CA394" s="170">
        <v>0</v>
      </c>
      <c r="CB394" s="170">
        <v>0</v>
      </c>
      <c r="CC394" s="170">
        <v>0</v>
      </c>
      <c r="CD394" s="170">
        <v>0</v>
      </c>
      <c r="CE394" s="170">
        <v>0</v>
      </c>
      <c r="CF394" s="170">
        <v>0</v>
      </c>
      <c r="CG394" s="170">
        <v>0</v>
      </c>
      <c r="CH394" s="170">
        <v>0</v>
      </c>
      <c r="CI394" s="170">
        <v>0</v>
      </c>
      <c r="CJ394" s="170">
        <v>0</v>
      </c>
      <c r="CK394" s="170">
        <v>0</v>
      </c>
      <c r="CL394" s="170">
        <v>0</v>
      </c>
      <c r="CM394" s="170">
        <v>0</v>
      </c>
      <c r="CN394" s="170">
        <v>0</v>
      </c>
      <c r="CO394" s="170">
        <v>0</v>
      </c>
      <c r="CP394" s="170">
        <v>1</v>
      </c>
      <c r="CQ394" s="170">
        <v>0</v>
      </c>
      <c r="CR394" s="170">
        <v>0</v>
      </c>
      <c r="CS394" s="170">
        <v>0</v>
      </c>
      <c r="CT394" s="170">
        <v>0</v>
      </c>
      <c r="CU394" s="170">
        <v>0</v>
      </c>
      <c r="CV394" s="170">
        <v>0</v>
      </c>
      <c r="CW394" s="170">
        <v>0</v>
      </c>
      <c r="CX394" s="170"/>
      <c r="CY394" s="170"/>
      <c r="CZ394" s="170"/>
      <c r="DA394" s="170"/>
      <c r="DB394" s="170">
        <v>0</v>
      </c>
      <c r="DC394" s="170">
        <v>0</v>
      </c>
      <c r="DD394" s="170">
        <v>0</v>
      </c>
      <c r="DE394" s="170">
        <v>0</v>
      </c>
      <c r="DF394" s="170">
        <v>0</v>
      </c>
      <c r="DG394" s="170">
        <v>0</v>
      </c>
      <c r="DH394" s="170">
        <v>0</v>
      </c>
      <c r="DI394" s="170">
        <v>0</v>
      </c>
      <c r="DJ394" s="170">
        <v>0</v>
      </c>
      <c r="DK394" s="170">
        <v>0</v>
      </c>
      <c r="DL394" s="212">
        <v>0</v>
      </c>
      <c r="DM394" s="212">
        <v>0</v>
      </c>
      <c r="DN394" s="212">
        <v>0</v>
      </c>
      <c r="DO394" s="212">
        <v>0</v>
      </c>
      <c r="DP394" s="212">
        <v>0</v>
      </c>
    </row>
    <row r="395" spans="1:120" x14ac:dyDescent="0.2">
      <c r="A395" s="36" t="s">
        <v>257</v>
      </c>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c r="AR395" s="67"/>
      <c r="AS395" s="67"/>
      <c r="AT395" s="67"/>
      <c r="AU395" s="120">
        <f>AU217+AU235+AU247+AU260+AU266+AU229+AU272+AU172+AU178+AU278+AU197+AU159+AU286+AU96+AU108+AU292+AU114+AU298+AU303+AU223+AU312+AU318+AU324+AU330+AU336+AU344+AU350+AU358+AU34+AU13+AU366+AU47+AU41+AU71+AU53+AU59+AU204+AU241+AU374+AU210+AU386+AU392</f>
        <v>4090</v>
      </c>
      <c r="AV395" s="120">
        <f>AV217+AV235+AV247+AV260+AV266+AV229+AV272+AV172+AV178+AV278+AV197+AV159+AV286+AV96+AV108+AV292+AV114+AV298+AV303+AV223+AV312+AV318+AV324+AV330+AV336+AV344+AV350+AV358+AV34+AV13+AV366+AV47+AV41+AV71+AV53+AV59+AV204+AV241+AV374+AV210+AV386+AV392</f>
        <v>4040</v>
      </c>
      <c r="AW395" s="120">
        <f>AW217+AW235+AW247+AW260+AW266+AW229+AW272+AW172+AW178+AW278+AW197+AW159+AW286+AW96+AW108+AW292+AW114+AW298+AW303+AW223+AW312+AW318+AW324+AW330+AW336+AW344+AW350+AW358+AW34+AW13+AW366+AW47+AW41+AW71+AW53+AW59+AW204+AW241+AW374+AW210+AW386+AW392</f>
        <v>4281</v>
      </c>
      <c r="AX395" s="120">
        <f>AX217+AX235+AX247+AX260+AX266+AX229+AX272+AX172+AX178+AX278+AX197+AX159+AX286+AX96+AX108+AX292+AX114+AX298+AX303+AX223+AX312+AX318+AX324+AX330+AX336+AX344+AX350+AX358+AX34+AX13+AX366+AX47+AX41+AX71+AX53+AX59+AX204+AX241+AX374+AX210+AX386+AX392</f>
        <v>4400</v>
      </c>
      <c r="AY395" s="166">
        <f>AX395+AW395+AV395+AU395</f>
        <v>16811</v>
      </c>
      <c r="AZ395" s="120">
        <f>AZ217+AZ235+AZ247+AZ260+AZ266+AZ229+AZ272+AZ172+AZ178+AZ278+AZ197+AZ159+AZ286+AZ96+AZ108+AZ292+AZ114+AZ298+AZ303+AZ223+AZ312+AZ318+AZ324+AZ330+AZ336+AZ344+AZ350+AZ358+AZ34+AZ13+AZ366+AZ47+AZ41+AZ71+AZ53+AZ59+AZ204+AZ241+AZ374+AZ210+AZ386+AZ392+AZ253</f>
        <v>3906</v>
      </c>
      <c r="BA395" s="120">
        <f>BA392+BA386+BA380+BA210+BA374+BA241+BA204+BA59+BA53+BA71+BA41+BA47+BA366+BA13+BA34+BA358+BA350+BA344+BA336+BA330+BA318+BA223+BA303+BA114+BA292+BA108+BA96+BA286+BA159+BA197+BA278+BA178+BA172+BA272+BA266+BA260+BA247+BA235+BA253+BA217</f>
        <v>4088</v>
      </c>
      <c r="BB395" s="120">
        <f>BB392+BB386+BB380+BB210+BB374+BB241+BB204+BB59+BB53+BB71+BB41+BB47+BB366+BB13+BB34+BB358+BB350+BB344+BB336+BB330+BB318+BB223+BB303+BB114+BB292+BB108+BB96+BB286+BB159+BB197+BB278+BB178+BB172+BB272+BB266+BB260+BB247+BB235+BB253+BB217</f>
        <v>4515</v>
      </c>
      <c r="BC395" s="120">
        <f>BC392+BC386+BC380+BC210+BC374+BC241+BC204+BC59+BC53+BC71+BC41+BC47+BC366+BC13+BC34+BC358+BC350+BC344+BC336+BC330+BC318+BC223+BC303+BC114+BC292+BC108+BC96+BC286+BC159+BC197+BC278+BC178+BC172+BC272+BC266+BC260+BC247+BC235+BC253+BC217</f>
        <v>4606</v>
      </c>
      <c r="BD395" s="166">
        <f>BC395+BB395+BA395+AZ395</f>
        <v>17115</v>
      </c>
      <c r="BE395" s="120">
        <f>BE392+BE386+BE380+BE210+BE374+BE241+BE204+BE59+BE53+BE71+BE41+BE47+BE366+BE13+BE34+BE358+BE350+BE344+BE336+BE330+BE318+BE223+BE303+BE114+BE292+BE108+BE96+BE286+BE159+BE197+BE278+BE178+BE172+BE272+BE266+BE260+BE247+BE235+BE253+BE217+BE78</f>
        <v>4190.3999999999996</v>
      </c>
      <c r="BF395" s="120">
        <v>4633</v>
      </c>
      <c r="BG395" s="120">
        <v>4304</v>
      </c>
      <c r="BH395" s="120">
        <f>BH392+BH386+BH380+BH210+BH374+BH241+BH204+BH59+BH53+BH71+BH41+BH47+BH366+BH13+BH34+BH358+BH350+BH344+BH336+BH330+BH318+BH223+BH303+BH114+BH292+BH108+BH96+BH286+BH159+BH197+BH278+BH178+BH172+BH272+BH266+BH260+BH247+BH235+BH253+BH217</f>
        <v>3915</v>
      </c>
      <c r="BI395" s="120">
        <f>BI392+BI386+BI380+BI210+BI374+BI241+BI204+BI59+BI53+BI71+BI41+BI47+BI366+BI13+BI34+BI358+BI350+BI344+BI336+BI330+BI318+BI223+BI303+BI114+BI292+BI108+BI96+BI286+BI159+BI197+BI278+BI178+BI172+BI272+BI266+BI260+BI247+BI235+BI253+BI217</f>
        <v>17042.400000000001</v>
      </c>
      <c r="BJ395" s="120">
        <f>BJ392+BJ386+BJ380+BJ210+BJ374+BJ241+BJ204+BJ59+BJ53+BJ71+BJ41+BJ47+BJ366+BJ13+BJ34+BJ358+BJ350+BJ344+BJ336+BJ330+BJ318+BJ223+BJ303+BJ114+BJ292+BJ108+BJ96+BJ286+BJ159+BJ197+BJ278+BJ178+BJ172+BJ272+BJ266+BJ260+BJ247+BJ235+BJ253+BJ217</f>
        <v>3256</v>
      </c>
      <c r="BK395" s="123">
        <v>3689</v>
      </c>
      <c r="BL395" s="120">
        <v>4148</v>
      </c>
      <c r="BM395" s="120">
        <v>3761</v>
      </c>
      <c r="BN395" s="120">
        <f>BN392+BN386+BN380+BN210+BN374+BN241+BN204+BN59+BN53+BN71+BN41+BN47+BN366+BN13+BN34+BN358+BN350+BN344+BN336+BN330+BN318+BN223+BN303+BN114+BN292+BN108+BN96+BN286+BN159+BN197+BN278+BN178+BN172+BN272+BN266+BN260+BN247+BN235+BN253+BN217</f>
        <v>14854</v>
      </c>
      <c r="BO395" s="120">
        <v>3130</v>
      </c>
      <c r="BP395" s="123">
        <v>3462</v>
      </c>
      <c r="BQ395" s="120">
        <v>3837</v>
      </c>
      <c r="BR395" s="120">
        <v>3786</v>
      </c>
      <c r="BS395" s="120">
        <f>SUM(BO395:BR395)</f>
        <v>14215</v>
      </c>
      <c r="BT395" s="120">
        <v>3637</v>
      </c>
      <c r="BU395" s="123">
        <f>BU392+BU386+BU380+BU210+BU374+BU241+BU204+BU59+BU53+BU71+BU41+BU47+BU366+BU13+BU34+BU358+BU350+BU344+BU336+BU330+BU318+BU223+BU303+BU114+BU292+BU108+BU96+BU286+BU159+BU197+BU278+BU178+BU172+BU272+BU266+BU260+BU247+BU235+BU253+BU217+BU7+BU78+BU126</f>
        <v>3933</v>
      </c>
      <c r="BV395" s="123">
        <f>BV392+BV386+BV380+BV210+BV374+BV241+BV204+BV59+BV53+BV71+BV41+BV47+BV366+BV13+BV34+BV358+BV350+BV344+BV336+BV330+BV318+BV223+BV303+BV114+BV292+BV108+BV96+BV286+BV159+BV197+BV278+BV178+BV172+BV272+BV266+BV260+BV247+BV235+BV253+BV217+BV7+BV78+BV126</f>
        <v>4385</v>
      </c>
      <c r="BW395" s="123">
        <f>BW392+BW386+BW380+BW210+BW374+BW241+BW204+BW59+BW53+BW71+BW41+BW47+BW366+BW13+BW34+BW358+BW350+BW344+BW336+BW330+BW318+BW223+BW303+BW114+BW292+BW108+BW96+BW286+BW159+BW197+BW278+BW178+BW172+BW272+BW266+BW260+BW247+BW235+BW253+BW217+BW7+BW78+BW126</f>
        <v>4285</v>
      </c>
      <c r="BX395" s="120">
        <f>SUM(BT395:BW395)</f>
        <v>16240</v>
      </c>
      <c r="BY395" s="120">
        <f>BY392+BY386+BY380+BY210+BY374+BY241+BY204+BY59+BY53+BY71+BY41+BY47+BY366+BY13+BY34+BY358+BY350+BY344+BY336+BY330+BY318+BY223+BY303+BY114+BY292+BY108+BY96+BY286+BY159+BY197+BY278+BY178+BY172+BY272+BY266+BY260+BY247+BY235+BY253+BY217+BY7+BY78+BY126</f>
        <v>3864</v>
      </c>
      <c r="BZ395" s="120">
        <f>BZ392+BZ386+BZ380+BZ210+BZ374+BZ241+BZ204+BZ59+BZ53+BZ71+BZ41+BZ47+BZ366+BZ13+BZ34+BZ358+BZ350+BZ344+BZ336+BZ330+BZ318+BZ223+BZ303+BZ114+BZ292+BZ108+BZ96+BZ286+BZ159+BZ197+BZ278+BZ178+BZ172+BZ272+BZ266+BZ260+BZ247+BZ235+BZ253+BZ217+BZ7+BZ78+BZ126</f>
        <v>4062</v>
      </c>
      <c r="CA395" s="120">
        <f>CA392+CA386+CA380+CA210+CA374+CA241+CA204+CA59+CA53+CA71+CA41+CA47+CA366+CA13+CA34+CA358+CA350+CA344+CA336+CA330+CA318+CA223+CA303+CA114+CA292+CA108+CA96+CA286+CA159+CA197+CA278+CA178+CA172+CA272+CA266+CA260+CA247+CA235+CA253+CA217+CA7+CA78+CA126</f>
        <v>4606</v>
      </c>
      <c r="CB395" s="120">
        <f>CB392+CB386+CB380+CB210+CB374+CB241+CB204+CB59+CB53+CB71+CB41+CB47+CB366+CB13+CB34+CB358+CB350+CB344+CB336+CB330+CB318+CB223+CB303+CB114+CB292+CB108+CB96+CB286+CB159+CB197+CB278+CB178+CB172+CB272+CB266+CB260+CB247+CB235+CB253+CB217+CB7+CB78+CB126</f>
        <v>4101</v>
      </c>
      <c r="CC395" s="120">
        <f>SUM(BY395:CB395)</f>
        <v>16633</v>
      </c>
      <c r="CD395" s="120">
        <f>CD392+CD386+CD380+CD210+CD374+CD241+CD204+CD59+CD53+CD71+CD41+CD47+CD366+CD13+CD34+CD358+CD350+CD344+CD336+CD330+CD318+CD223+CD303+CD114+CD292+CD108+CD96+CD286+CD159+CD197+CD278+CD178+CD172+CD272+CD266+CD260+CD247+CD235+CD253+CD217+CD7+CD78+CD126</f>
        <v>3561</v>
      </c>
      <c r="CE395" s="120">
        <f>CE392+CE386+CE380+CE210+CE374+CE241+CE204+CE59+CE53+CE71+CE41+CE47+CE366+CE13+CE34+CE358+CE350+CE344+CE336+CE330+CE318+CE223+CE303+CE114+CE292+CE108+CE96+CE286+CE159+CE197+CE278+CE178+CE172+CE272+CE266+CE260+CE247+CE235+CE253+CE217+CE7+CE78+CE126</f>
        <v>3675</v>
      </c>
      <c r="CF395" s="120">
        <f>CF392+CF386+CF380+CF210+CF374+CF241+CF204+CF59+CF53+CF71+CF41+CF47+CF366+CF13+CF34+CF358+CF350+CF344+CF336+CF330+CF318+CF223+CF303+CF114+CF292+CF108+CF96+CF286+CF159+CF197+CF278+CF178+CF172+CF272+CF266+CF260+CF247+CF235+CF253+CF217+CF7+CF78+CF126</f>
        <v>3969</v>
      </c>
      <c r="CG395" s="120">
        <f>CG392+CG386+CG380+CG210+CG374+CG241+CG204+CG59+CG53+CG71+CG41+CG47+CG366+CG13+CG34+CG358+CG350+CG344+CG336+CG330+CG318+CG223+CG303+CG114+CG292+CG108+CG96+CG286+CG159+CG197+CG278+CG178+CG172+CG272+CG266+CG260+CG247+CG235+CG253+CG217+CG7+CG78+CG126</f>
        <v>3879</v>
      </c>
      <c r="CH395" s="120">
        <f>SUM(CD395:CG395)</f>
        <v>15084</v>
      </c>
      <c r="CI395" s="120">
        <f>CI392+CI386+CI380+CI210+CI374+CI241+CI204+CI59+CI53+CI71+CI41+CI47+CI366+CI13+CI34+CI358+CI350+CI344+CI336+CI330+CI318+CI223+CI303+CI114+CI292+CI108+CI96+CI286+CI159+CI197+CI278+CI178+CI172+CI272+CI266+CI260+CI247+CI235+CI253+CI217+CI7+CI78+CI126+CI165+CI90+CI146+CI184+CI190</f>
        <v>3715.6000000000004</v>
      </c>
      <c r="CJ395" s="120">
        <f>CJ392+CJ386+CJ380+CJ210+CJ374+CJ241+CJ204+CJ59+CJ53+CJ71+CJ41+CJ47+CJ366+CJ13+CJ34+CJ358+CJ350+CJ344+CJ336+CJ330+CJ318+CJ223+CJ303+CJ114+CJ292+CJ108+CJ96+CJ286+CJ159+CJ197+CJ278+CJ178+CJ172+CJ272+CJ266+CJ260+CJ247+CJ235+CJ253+CJ217+CJ7+CJ78+CJ126+CJ165+CJ90+CJ146+CJ184+CJ190</f>
        <v>3821.9000000000005</v>
      </c>
      <c r="CK395" s="120">
        <f>CK392+CK386+CK380+CK210+CK374+CK241+CK204+CK59+CK53+CK71+CK41+CK47+CK366+CK13+CK34+CK358+CK350+CK344+CK336+CK330+CK318+CK223+CK303+CK114+CK292+CK108+CK96+CK286+CK159+CK197+CK278+CK178+CK172+CK272+CK266+CK260+CK247+CK235+CK253+CK217+CK7+CK78+CK126+CK165+CK90+CK146+CK184+CK190</f>
        <v>4648.5</v>
      </c>
      <c r="CL395" s="120">
        <f>CL392+CL386+CL380+CL210+CL374+CL241+CL204+CL59+CL53+CL71+CL41+CL47+CL366+CL13+CL34+CL358+CL350+CL344+CL336+CL330+CL318+CL223+CL303+CL114+CL292+CL108+CL96+CL286+CL159+CL197+CL278+CL178+CL172+CL272+CL266+CL260+CL247+CL235+CL253+CL217+CL7+CL78+CL126+CL165+CL90+CL146+CL184+CL190</f>
        <v>4402</v>
      </c>
      <c r="CM395" s="120">
        <f>SUM(CI395:CL395)</f>
        <v>16588</v>
      </c>
      <c r="CN395" s="120">
        <f>CN392+CN386+CN380+CN210+CN374+CN241+CN204+CN59+CN53+CN71+CN41+CN47+CN366+CN13+CN34+CN358+CN350+CN344+CN336+CN330+CN318+CN223+CN303+CN114+CN292+CN108+CN96+CN286+CN159+CN197+CN278+CN178+CN172+CN272+CN266+CN260+CN247+CN235+CN253+CN217+CN7+CN78+CN126+CN165+CN90+CN146+CN184+CN190+CN19+CN22</f>
        <v>4175</v>
      </c>
      <c r="CO395" s="120">
        <f>CO392+CO386+CO380+CO210+CO374+CO241+CO204+CO59+CO53+CO71+CO41+CO47+CO366+CO13+CO34+CO358+CO350+CO344+CO336+CO330+CO318+CO223+CO303+CO114+CO292+CO108+CO96+CO286+CO159+CO197+CO278+CO178+CO172+CO272+CO266+CO260+CO247+CO235+CO253+CO217+CO7+CO78+CO126+CO165+CO90+CO146+CO184+CO190+CO19+CO22+CO65</f>
        <v>4758</v>
      </c>
      <c r="CP395" s="120">
        <f>CP392+CP386+CP380+CP210+CP374+CP241+CP204+CP59+CP53+CP71+CP41+CP47+CP366+CP13+CP34+CP358+CP350+CP344+CP336+CP330+CP318+CP223+CP303+CP114+CP292+CP108+CP96+CP286+CP159+CP197+CP278+CP178+CP172+CP272+CP266+CP260+CP247+CP235+CP253+CP217+CP7+CP78+CP126+CP165+CP90+CP146+CP184+CP190+CP19+CP22+CP65</f>
        <v>5132</v>
      </c>
      <c r="CQ395" s="120">
        <f>CQ392+CQ386+CQ380+CQ210+CQ374+CQ241+CQ204+CQ59+CQ53+CQ71+CQ41+CQ47+CQ366+CQ13+CQ34+CQ358+CQ350+CQ344+CQ336+CQ330+CQ318+CQ223+CQ303+CQ114+CQ292+CQ108+CQ96+CQ286+CQ159+CQ197+CQ278+CQ178+CQ172+CQ272+CQ266+CQ260+CQ247+CQ235+CQ253+CQ217+CQ7+CQ78+CQ126+CQ165+CQ90+CQ146+CQ184+CQ190+CQ19+CQ22+CQ229+CQ65</f>
        <v>4694</v>
      </c>
      <c r="CR395" s="120">
        <f>SUM(CN395:CQ395)</f>
        <v>18759</v>
      </c>
      <c r="CS395" s="120">
        <f>CS392+CS386+CS380+CS210+CS374+CS241+CS204+CS59+CS53+CS71+CS41+CS47+CS366+CS13+CS34+CS358+CS350+CS344+CS336+CS330+CS318+CS223+CS303+CS114+CS292+CS108+CS96+CS286+CS159+CS197+CS278+CS178+CS172+CS272+CS266+CS260+CS247+CS235+CS253+CS217+CS7+CS78+CS126+CS165+CS90+CS146+CS184+CS190+CS19+CS22</f>
        <v>4710</v>
      </c>
      <c r="CT395" s="120">
        <f>CT392+CT386+CT380+CT210+CT374+CT241+CT204+CT59+CT53+CT71+CT41+CT47+CT366+CT13+CT34+CT358+CT350+CT344+CT336+CT330+CT318+CT223+CT303+CT114+CT292+CT108+CT96+CT286+CT159+CT197+CT278+CT178+CT172+CT272+CT266+CT260+CT247+CT235+CT253+CT217+CT7+CT78+CT126+CT165+CT90+CT146+CT184+CT190+CT19+CT22+CT102+CT120+CT133+CT139+CT229+CT65+2</f>
        <v>4270</v>
      </c>
      <c r="CU395" s="120">
        <f t="shared" ref="CU395:CZ396" si="317">CU392+CU386+CU380+CU210+CU374+CU241+CU204+CU59+CU53+CU71+CU41+CU47+CU366+CU13+CU34+CU358+CU350+CU344+CU336+CU330+CU318+CU223+CU303+CU114+CU292+CU108+CU96+CU286+CU159+CU197+CU278+CU178+CU172+CU272+CU266+CU260+CU247+CU235+CU253+CU217+CU7+CU78+CU126+CU165+CU90+CU146+CU184+CU190+CU19+CU22+CU102+CU120+CU133+CU139+CU229+CU65</f>
        <v>5218</v>
      </c>
      <c r="CV395" s="120">
        <f t="shared" si="317"/>
        <v>5247</v>
      </c>
      <c r="CW395" s="120">
        <f t="shared" si="317"/>
        <v>19473</v>
      </c>
      <c r="CX395" s="120">
        <v>4947</v>
      </c>
      <c r="CY395" s="120">
        <f t="shared" si="317"/>
        <v>4647</v>
      </c>
      <c r="CZ395" s="120">
        <f t="shared" si="317"/>
        <v>5670</v>
      </c>
      <c r="DA395" s="120">
        <f>DA392+DA386+DA380+DA210+DA374+DA241+DA204+DA59+DA53+DA71+DA41+DA47+DA366+DA13+DA34+DA358+DA350+DA344+DA336+DA330+DA318+DA223+DA303+DA114+DA292+DA108+DA96+DA286+DA159+DA197+DA278+DA178+DA172+DA272+DA266+DA260+DA247+DA235+DA253+DA217+DA7+DA78+DA126+DA165+DA90+DA146+DA184+DA190+DA19+DA22+DA102+DA120+DA133+DA139+DA229+DA65+DB153</f>
        <v>5790</v>
      </c>
      <c r="DB395" s="120">
        <f>DB392+DB386+DB380+DB210+DB374+DB241+DB204+DB59+DB53+DB71+DB41+DB47+DB366+DB13+DB34+DB358+DB350+DB344+DB336+DB330+DB318+DB223+DB303+DB114+DB292+DB108+DB96+DB286+DB159+DB197+DB278+DB178+DB172+DB272+DB266+DB260+DB247+DB235+DB253+DB217+DB7+DB78+DB126+DB165+DB90+DB146+DB184+DB190+DB19+DB22+DB102+DB120+DB133+DB139+DB229+DB65+DB153</f>
        <v>20548</v>
      </c>
      <c r="DC395" s="120">
        <f>DC392+DC386+DC380+DC210+DC374+DC241+DC204+DC59+DC53+DC71+DC41+DC47+DC366+DC13+DC34+DC358+DC350+DC344+DC336+DC330+DC318+DC223+DC303+DC114+DC292+DC108+DC96+DC286+DC159+DC197+DC278+DC178+DC172+DC272+DC266+DC260+DC247+DC235+DC253+DC217+DC7+DC78+DC126+DC165+DC90+DC146+DC184+DC190+DC19+DC22+DC102+DC120+DC133+DC139+DC229+DC65+DC153+DC28</f>
        <v>6773</v>
      </c>
      <c r="DD395" s="120">
        <f>DD392+DD386+DD380+DD210+DD374+DD241+DD204+DD59+DD53+DD71+DD41+DD47+DD366+DD13+DD34+DD358+DD350+DD344+DD336+DD330+DD318+DD223+DD303+DD114+DD292+DD108+DD96+DD286+DD159+DD197+DD278+DD178+DD172+DD272+DD266+DD260+DD247+DD235+DD253+DD217+DD7+DD78+DD126+DD165+DD90+DD146+DD184+DD190+DD19+DD22+DD102+DD120+DD133+DD139+DD229+DD65+DD153+DD28</f>
        <v>5726</v>
      </c>
      <c r="DE395" s="120">
        <f t="shared" ref="DE395:DK396" si="318">DE392+DE386+DE380+DE210+DE374+DE241+DE204+DE59+DE53+DE71+DE41+DE47+DE366+DE13+DE34+DE358+DE350+DE344+DE336+DE330+DE318+DE223+DE303+DE114+DE292+DE108+DE96+DE286+DE159+DE197+DE278+DE178+DE172+DE272+DE266+DE260+DE247+DE235+DE253+DE217+DE7+DE78+DE126+DE165+DE90+DE146+DE184+DE190+DE19+DE22+DE102+DE120+DE133+DE139+DE229+DE65+DE153+DE28+DE84</f>
        <v>6620</v>
      </c>
      <c r="DF395" s="120">
        <f t="shared" si="318"/>
        <v>5871</v>
      </c>
      <c r="DG395" s="120">
        <f t="shared" si="318"/>
        <v>24988</v>
      </c>
      <c r="DH395" s="120">
        <f t="shared" si="318"/>
        <v>6039.9400000000005</v>
      </c>
      <c r="DI395" s="120">
        <f t="shared" si="318"/>
        <v>6423.9899999999971</v>
      </c>
      <c r="DJ395" s="120">
        <f t="shared" si="318"/>
        <v>7271.1500000000005</v>
      </c>
      <c r="DK395" s="120">
        <f t="shared" si="318"/>
        <v>6505.25</v>
      </c>
      <c r="DL395" s="196">
        <f>DL392+DL386+DL380+DL210+DL374+DL241+DL204+DL59+DL53+DL71+DL41+DL47+DL366+DL13+DL34+DL358+DL350+DL344+DL336+DL330+DL318+DL223+DL303+DL114+DL292+DL108+DL96+DL286+DL159+DL197+DL278+DL178+DL172+DL272+DL266+DL260+DL247+DL235+DL253+DL217+DL7+DL78+DL126+DL165+DL90+DL146+DL184+DL190+DL19+DL22+DL102+DL120+DL133+DL139+DL229+DL65+DL153+DL28+DL84</f>
        <v>26115.329999999998</v>
      </c>
      <c r="DM395" s="196">
        <f t="shared" ref="DM395:DP396" si="319">DM392+DM386+DM380+DM210+DM374+DM241+DM204+DM59+DM53+DM71+DM41+DM47+DM366+DM13+DM34+DM358+DM350+DM344+DM336+DM330+DM318+DM223+DM303+DM114+DM292+DM108+DM96+DM286+DM159+DM197+DM278+DM178+DM172+DM272+DM266+DM260+DM247+DM235+DM253+DM217+DM7+DM78+DM126+DM165+DM90+DM146+DM184+DM190+DM19+DM22+DM102+DM120+DM133+DM139+DM229+DM65+DM153+DM28+DM84</f>
        <v>27473.61132331</v>
      </c>
      <c r="DN395" s="196">
        <f t="shared" si="319"/>
        <v>28415.435629242405</v>
      </c>
      <c r="DO395" s="196">
        <f t="shared" si="319"/>
        <v>28128.849765590006</v>
      </c>
      <c r="DP395" s="196">
        <f t="shared" si="319"/>
        <v>28045.6551467057</v>
      </c>
    </row>
    <row r="396" spans="1:120" x14ac:dyDescent="0.2">
      <c r="A396" s="36" t="s">
        <v>258</v>
      </c>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c r="AR396" s="67"/>
      <c r="AS396" s="67"/>
      <c r="AT396" s="67"/>
      <c r="AU396" s="120">
        <f>AU218+AU141+AU236+AU248+AU261+AU267+AU230+AU273+AU173+AU179+AU279+AU198+AU160+AU287+AU97+AU109+AU293+AU115+AU299+AU304+AU224+AU313+AU319+AU325+AU331+AU337+AU345+AU351+AU356+AU359+AU35+AU14+AU364+AU367+AU48+AU42+AU72+AU54+AU60+AU205+AU242+AU375+AU211+AU387+AU393</f>
        <v>5704</v>
      </c>
      <c r="AV396" s="120">
        <f>AV218+AV141+AV236+AV248+AV261+AV267+AV230+AV273+AV173+AV179+AV279+AV198+AV160+AV287+AV97+AV109+AV293+AV115+AV299+AV304+AV224+AV313+AV319+AV325+AV331+AV337+AV345+AV351+AV356+AV359+AV35+AV14+AV364+AV367+AV48+AV42+AV72+AV54+AV60+AV205+AV242+AV375+AV211+AV387+AV393</f>
        <v>5736</v>
      </c>
      <c r="AW396" s="120">
        <f>AW218+AW141+AW236+AW248+AW261+AW267+AW230+AW273+AW173+AW179+AW279+AW198+AW160+AW287+AW97+AW109+AW293+AW115+AW299+AW304+AW224+AW313+AW319+AW325+AW331+AW337+AW345+AW351+AW356+AW359+AW35+AW14+AW364+AW367+AW48+AW42+AW72+AW54+AW60+AW205+AW242+AW375+AW211+AW387+AW393</f>
        <v>5379</v>
      </c>
      <c r="AX396" s="120">
        <f>AX218+AX141+AX236+AX248+AX261+AX267+AX230+AX273+AX173+AX179+AX279+AX198+AX160+AX287+AX97+AX109+AX293+AX115+AX299+AX304+AX224+AX313+AX319+AX325+AX331+AX337+AX345+AX351+AX356+AX359+AX35+AX14+AX364+AX367+AX48+AX42+AX72+AX54+AX60+AX205+AX242+AX375+AX211+AX387+AX393</f>
        <v>6182</v>
      </c>
      <c r="AY396" s="166">
        <f>AX396+AW396+AV396+AU396</f>
        <v>23001</v>
      </c>
      <c r="AZ396" s="120">
        <f>AZ218+AZ141+AZ236+AZ248+AZ261+AZ267+AZ230+AZ273+AZ173+AZ179+AZ279+AZ198+AZ160+AZ287+AZ97+AZ109+AZ293+AZ115+AZ299+AZ304+AZ224+AZ313+AZ319+AZ325+AZ331+AZ337+AZ345+AZ351+AZ356+AZ359+AZ35+AZ14+AZ364+AZ367+AZ48+AZ42+AZ72+AZ54+AZ60+AZ205+AZ242+AZ375+AZ211+AZ387+AZ393+AZ254</f>
        <v>5858</v>
      </c>
      <c r="BA396" s="120">
        <f>BA387+BA211+BA375+BA242+BA205+BA60+BA54+BA72+BA42+BA48+BA367+BA364+BA14+BA35+BA359+BA351+BA356+BA345+BA337+BA331+BA325+BA319+BA313+BA224+BA304+BA299+BA115+BA293+BA109+BA97+BA287+BA160+BA198+BA279+BA179+BA173+BA273+BA230+BA267+BA261+BA248+BA236+BA254+BA134+BA141+BA218+BA393</f>
        <v>6271</v>
      </c>
      <c r="BB396" s="120">
        <f>BB387+BB381+BB211+BB375+BB242+BB205+BB60+BB54+BB72+BB42+BB48+BB367+BB14+BB35+BB359+BB351+BB345+BB337+BB331+BB325+BB319+BB313+BB224+BB304+BB299+BB115+BB293+BB109+BB97+BB287+BB160+BB198+BB279+BB179+BB173+BB273+BB230+BB267+BB261+BB248+BB236+BB134+BB141+BB218+BB393</f>
        <v>5839</v>
      </c>
      <c r="BC396" s="120">
        <f>BC387+BC381+BC211+BC375+BC242+BC205+BC60+BC54+BC72+BC42+BC48+BC367+BC14+BC35+BC359+BC351+BC345+BC337+BC331+BC325+BC319+BC313+BC224+BC304+BC299+BC115+BC293+BC109+BC97+BC287+BC160+BC198+BC279+BC179+BC173+BC273+BC230+BC267+BC261+BC248+BC236+BC134+BC141+BC218+BC393</f>
        <v>6149</v>
      </c>
      <c r="BD396" s="166">
        <f>BC396+BB396+BA396+AZ396</f>
        <v>24117</v>
      </c>
      <c r="BE396" s="120">
        <f ca="1">BE387+BE381+BE211+BE375+BE242+BE205+BE60+BE54+BE72+BE42+BE48+BE367+BE14+BE35+BE359+BE351+BE345+BE337+BE331+BE325+BE319+BE313+BE224+BE304+BE299+BE115+BE293+BE109+BE97+BE287+BE160+BE198+BE279+BE179+BE173+BE273+BE230+BE267+BE261+BE248+BE236+BE134+BE141+BE218+BE393+BE79</f>
        <v>5891.9305555555557</v>
      </c>
      <c r="BF396" s="120">
        <v>5927</v>
      </c>
      <c r="BG396" s="120">
        <v>5571</v>
      </c>
      <c r="BH396" s="120">
        <f ca="1">BH387+BH381+BH211+BH375+BH242+BH205+BH60+BH54+BH72+BH42+BH48+BH367+BH14+BH35+BH359+BH351+BH345+BH337+BH331+BH325+BH319+BH313+BH224+BH304+BH299+BH115+BH293+BH109+BH97+BH287+BH160+BH198+BH279+BH179+BH173+BH273+BH230+BH267+BH261+BH248+BH236+BH134+BH141+BH218+BH393+BH79+BH254</f>
        <v>6170</v>
      </c>
      <c r="BI396" s="120">
        <f ca="1">BI387+BI381+BI211+BI375+BI242+BI205+BI60+BI54+BI72+BI42+BI48+BI367+BI14+BI35+BI359+BI351+BI345+BI337+BI331+BI325+BI319+BI313+BI224+BI304+BI299+BI115+BI293+BI109+BI97+BI287+BI160+BI198+BI279+BI179+BI173+BI273+BI230+BI267+BI261+BI248+BI236+BI134+BI141+BI218+BI393</f>
        <v>23291.930555555555</v>
      </c>
      <c r="BJ396" s="120">
        <f>BJ387+BJ381+BJ211+BJ375+BJ242+BJ205+BJ60+BJ54+BJ72+BJ42+BJ48+BJ367+BJ14+BJ35+BJ359+BJ351+BJ345+BJ337+BJ331+BJ325+BJ319+BJ313+BJ224+BJ304+BJ299+BJ115+BJ293+BJ109+BJ97+BJ287+BJ160+BJ198+BJ279+BJ179+BJ173+BJ273+BJ230+BJ267+BJ261+BJ248+BJ236+BJ134+BJ141+BJ218+BJ393+BJ79+BJ254</f>
        <v>5635</v>
      </c>
      <c r="BK396" s="123">
        <f>5622+1</f>
        <v>5623</v>
      </c>
      <c r="BL396" s="120">
        <v>5327</v>
      </c>
      <c r="BM396" s="120">
        <v>5999</v>
      </c>
      <c r="BN396" s="120">
        <f>BN387+BN381+BN211+BN375+BN242+BN205+BN60+BN54+BN72+BN42+BN48+BN367+BN14+BN35+BN359+BN351+BN345+BN337+BN331+BN325+BN319+BN313+BN224+BN304+BN299+BN115+BN293+BN109+BN97+BN287+BN160+BN198+BN279+BN179+BN173+BN273+BN230+BN267+BN261+BN248+BN236+BN134+BN141+BN218+BN393</f>
        <v>22279</v>
      </c>
      <c r="BO396" s="120">
        <v>5321</v>
      </c>
      <c r="BP396" s="123">
        <v>5625</v>
      </c>
      <c r="BQ396" s="120">
        <v>5297</v>
      </c>
      <c r="BR396" s="120">
        <v>5584</v>
      </c>
      <c r="BS396" s="120">
        <f>SUM(BO396:BR396)</f>
        <v>21827</v>
      </c>
      <c r="BT396" s="120">
        <v>4629</v>
      </c>
      <c r="BU396" s="123">
        <f>BU387+BU381+BU211+BU375+BU242+BU205+BU60+BU54+BU72+BU42+BU48+BU367+BU14+BU35+BU359+BU351+BU345+BU337+BU331+BU325+BU319+BU313+BU224+BU304+BU299+BU115+BU293+BU109+BU97+BU287+BU160+BU198+BU279+BU179+BU173+BU273+BU230+BU267+BU261+BU248+BU236+BU134+BU141+BU218+BU393+BU79+BU254+BU8+BU127</f>
        <v>4631</v>
      </c>
      <c r="BV396" s="123">
        <f>BV387+BV381+BV211+BV375+BV242+BV205+BV60+BV54+BV72+BV42+BV48+BV367+BV14+BV35+BV359+BV351+BV345+BV337+BV331+BV325+BV319+BV313+BV224+BV304+BV299+BV115+BV293+BV109+BV97+BV287+BV160+BV198+BV279+BV179+BV173+BV273+BV230+BV267+BV261+BV248+BV236+BV134+BV141+BV218+BV393+BV79+BV254+BV8+BV127</f>
        <v>4540</v>
      </c>
      <c r="BW396" s="123">
        <f>BW387+BW381+BW211+BW375+BW242+BW205+BW60+BW54+BW72+BW42+BW48+BW367+BW14+BW35+BW359+BW351+BW345+BW337+BW331+BW325+BW319+BW313+BW224+BW304+BW299+BW115+BW293+BW109+BW97+BW287+BW160+BW198+BW279+BW179+BW173+BW273+BW230+BW267+BW261+BW248+BW236+BW134+BW141+BW218+BW393+BW79+BW254+BW8+BW127</f>
        <v>4743</v>
      </c>
      <c r="BX396" s="120">
        <f>SUM(BT396:BW396)</f>
        <v>18543</v>
      </c>
      <c r="BY396" s="120">
        <f>BY387+BY381+BY211+BY375+BY242+BY205+BY60+BY54+BY72+BY42+BY48+BY367+BY14+BY35+BY359+BY351+BY345+BY337+BY331+BY325+BY319+BY313+BY224+BY304+BY299+BY115+BY293+BY109+BY97+BY287+BY160+BY198+BY279+BY179+BY173+BY273+BY230+BY267+BY261+BY248+BY236+BY134+BY141+BY218+BY393+BY79+BY254+BY8+BY127</f>
        <v>4190</v>
      </c>
      <c r="BZ396" s="120">
        <f>BZ387+BZ381+BZ211+BZ375+BZ242+BZ205+BZ60+BZ54+BZ72+BZ42+BZ48+BZ367+BZ14+BZ35+BZ359+BZ351+BZ345+BZ337+BZ331+BZ325+BZ319+BZ313+BZ224+BZ304+BZ299+BZ115+BZ293+BZ109+BZ97+BZ287+BZ160+BZ198+BZ279+BZ179+BZ173+BZ273+BZ230+BZ267+BZ261+BZ248+BZ236+BZ134+BZ141+BZ218+BZ393+BZ79+BZ254+BZ8+BZ127</f>
        <v>4527</v>
      </c>
      <c r="CA396" s="120">
        <f>CA387+CA381+CA211+CA375+CA242+CA205+CA60+CA54+CA72+CA42+CA48+CA367+CA14+CA35+CA359+CA351+CA345+CA337+CA331+CA325+CA319+CA313+CA224+CA304+CA299+CA115+CA293+CA109+CA97+CA287+CA160+CA198+CA279+CA179+CA173+CA273+CA230+CA267+CA261+CA248+CA236+CA134+CA141+CA218+CA393+CA79+CA254+CA8+CA127</f>
        <v>4671</v>
      </c>
      <c r="CB396" s="120">
        <f>CB387+CB381+CB211+CB375+CB242+CB205+CB60+CB54+CB72+CB42+CB48+CB367+CB14+CB35+CB359+CB351+CB345+CB337+CB331+CB325+CB319+CB313+CB224+CB304+CB299+CB115+CB293+CB109+CB97+CB287+CB160+CB198+CB279+CB179+CB173+CB273+CB230+CB267+CB261+CB248+CB236+CB134+CB141+CB218+CB393+CB79+CB254+CB8+CB127</f>
        <v>4574</v>
      </c>
      <c r="CC396" s="120">
        <f>SUM(BY396:CB396)</f>
        <v>17962</v>
      </c>
      <c r="CD396" s="120">
        <f>CD387+CD381+CD211+CD375+CD242+CD205+CD60+CD54+CD72+CD42+CD48+CD367+CD14+CD35+CD359+CD351+CD345+CD337+CD331+CD325+CD319+CD313+CD224+CD304+CD299+CD115+CD293+CD109+CD97+CD287+CD160+CD198+CD279+CD179+CD173+CD273+CD230+CD267+CD261+CD248+CD236+CD134+CD141+CD218+CD393+CD79+CD254+CD8+CD127</f>
        <v>4246</v>
      </c>
      <c r="CE396" s="120">
        <f>CE387+CE381+CE211+CE375+CE242+CE205+CE60+CE54+CE72+CE42+CE48+CE367+CE14+CE35+CE359+CE351+CE345+CE337+CE331+CE325+CE319+CE313+CE224+CE304+CE299+CE115+CE293+CE109+CE97+CE287+CE160+CE198+CE279+CE179+CE173+CE273+CE230+CE267+CE261+CE248+CE236+CE134+CE141+CE218+CE393+CE79+CE254+CE8+CE127</f>
        <v>4567</v>
      </c>
      <c r="CF396" s="120">
        <f>CF387+CF381+CF211+CF375+CF242+CF205+CF60+CF54+CF72+CF42+CF48+CF367+CF14+CF35+CF359+CF351+CF345+CF337+CF331+CF325+CF319+CF313+CF224+CF304+CF299+CF115+CF293+CF109+CF97+CF287+CF160+CF198+CF279+CF179+CF173+CF273+CF230+CF267+CF261+CF248+CF236+CF134+CF141+CF218+CF393+CF79+CF254+CF8+CF127</f>
        <v>4718</v>
      </c>
      <c r="CG396" s="120">
        <f>CG387+CG381+CG211+CG375+CG242+CG205+CG60+CG54+CG72+CG42+CG48+CG367+CG14+CG35+CG359+CG351+CG345+CG337+CG331+CG325+CG319+CG313+CG224+CG304+CG299+CG115+CG293+CG109+CG97+CG287+CG160+CG198+CG279+CG179+CG173+CG273+CG230+CG267+CG261+CG248+CG236+CG134+CG141+CG218+CG393+CG79+CG254+CG8+CG127</f>
        <v>5115</v>
      </c>
      <c r="CH396" s="120">
        <f>SUM(CD396:CG396)</f>
        <v>18646</v>
      </c>
      <c r="CI396" s="171">
        <f>CI387+CI381+CI211+CI375+CI242+CI205+CI60+CI54+CI72+CI42+CI48+CI367+CI14+CI35+CI359+CI351+CI345+CI337+CI331+CI325+CI319+CI313+CI224+CI304+CI299+CI115+CI293+CI109+CI97+CI287+CI160+CI198+CI279+CI179+CI173+CI273+CI230+CI267+CI261+CI248+CI236+CI134+CI141+CI218+CI393+CI79+CI254+CI8+CI127+CI166+CI91+CI147+CI185+CI191</f>
        <v>5202.2000000000007</v>
      </c>
      <c r="CJ396" s="120">
        <f>CJ387+CJ381+CJ211+CJ375+CJ242+CJ205+CJ60+CJ54+CJ72+CJ42+CJ48+CJ367+CJ14+CJ35+CJ359+CJ351+CJ345+CJ337+CJ331+CJ325+CJ319+CJ313+CJ224+CJ304+CJ299+CJ115+CJ293+CJ109+CJ97+CJ287+CJ160+CJ198+CJ279+CJ179+CJ173+CJ273+CJ230+CJ267+CJ261+CJ248+CJ236+CJ134+CJ141+CJ218+CJ393+CJ79+CJ254+CJ8+CJ127+CJ166+CJ91+CJ147+CJ185+CJ191</f>
        <v>5460.9000000000005</v>
      </c>
      <c r="CK396" s="120">
        <f>CK387+CK381+CK211+CK375+CK242+CK205+CK60+CK54+CK72+CK42+CK48+CK367+CK14+CK35+CK359+CK351+CK345+CK337+CK331+CK325+CK319+CK313+CK224+CK304+CK299+CK115+CK293+CK109+CK97+CK287+CK160+CK198+CK279+CK179+CK173+CK273+CK230+CK267+CK261+CK248+CK236+CK134+CK141+CK218+CK393+CK79+CK254+CK8+CK127+CK166+CK91+CK147+CK185+CK191</f>
        <v>5009.5</v>
      </c>
      <c r="CL396" s="120">
        <f>CL387+CL381+CL211+CL375+CL242+CL205+CL60+CL54+CL72+CL42+CL48+CL367+CL14+CL35+CL359+CL351+CL345+CL337+CL331+CL325+CL319+CL313+CL224+CL304+CL299+CL115+CL293+CL109+CL97+CL287+CL160+CL198+CL279+CL179+CL173+CL273+CL230+CL267+CL261+CL248+CL236+CL134+CL141+CL218+CL393+CL79+CL254+CL8+CL127+CL166+CL91+CL147+CL185+CL191</f>
        <v>5427</v>
      </c>
      <c r="CM396" s="120">
        <f>SUM(CI396:CL396)</f>
        <v>21099.600000000002</v>
      </c>
      <c r="CN396" s="120">
        <f>CN387+CN381+CN211+CN375+CN242+CN205+CN60+CN54+CN72+CN42+CN48+CN367+CN14+CN35+CN359+CN351+CN345+CN337+CN331+CN325+CN319+CN313+CN224+CN304+CN299+CN115+CN293+CN109+CN97+CN287+CN160+CN198+CN279+CN179+CN173+CN273+CN230+CN267+CN261+CN248+CN236+CN134+CN141+CN218+CN393+CN79+CN254+CN8+CN127+CN166+CN91+CN147+CN185+CN191+CN20+CN23</f>
        <v>5488</v>
      </c>
      <c r="CO396" s="120">
        <f>CO387+CO381+CO211+CO375+CO242+CO205+CO60+CO54+CO72+CO42+CO48+CO367+CO14+CO35+CO359+CO351+CO345+CO337+CO331+CO325+CO319+CO313+CO224+CO304+CO299+CO115+CO293+CO109+CO97+CO287+CO160+CO198+CO279+CO179+CO173+CO273+CO230+CO267+CO261+CO248+CO236+CO134+CO141+CO218+CO393+CO79+CO254+CO8+CO127+CO166+CO91+CO147+CO185+CO191+CO20+CO23+CO66</f>
        <v>5702</v>
      </c>
      <c r="CP396" s="120">
        <f>CP387+CP381+CP211+CP375+CP242+CP205+CP60+CP54+CP72+CP42+CP48+CP367+CP14+CP35+CP359+CP351+CP345+CP337+CP331+CP325+CP319+CP313+CP224+CP304+CP299+CP115+CP293+CP109+CP97+CP287+CP160+CP198+CP279+CP179+CP173+CP273+CP230+CP267+CP261+CP248+CP236+CP134+CP141+CP218+CP393+CP79+CP254+CP8+CP127+CP166+CP91+CP147+CP185+CP191+CP20+CP23+CP66</f>
        <v>5962</v>
      </c>
      <c r="CQ396" s="120">
        <f>CQ387+CQ381+CQ211+CQ375+CQ242+CQ205+CQ60+CQ54+CQ72+CQ42+CQ48+CQ367+CQ14+CQ35+CQ359+CQ351+CQ345+CQ337+CQ331+CQ325+CQ319+CQ313+CQ224+CQ304+CQ299+CQ115+CQ293+CQ109+CQ97+CQ287+CQ160+CQ198+CQ279+CQ179+CQ173+CQ273+CQ230+CQ267+CQ261+CQ248+CQ236+CQ134+CQ141+CQ218+CQ393+CQ79+CQ254+CQ8+CQ127+CQ166+CQ91+CQ147+CQ185+CQ191+CQ20+CQ23+CQ66</f>
        <v>5839</v>
      </c>
      <c r="CR396" s="120">
        <f>SUM(CN396:CQ396)</f>
        <v>22991</v>
      </c>
      <c r="CS396" s="120">
        <f>CS387+CS381+CS211+CS375+CS242+CS205+CS60+CS54+CS72+CS42+CS48+CS367+CS14+CS35+CS359+CS351+CS345+CS337+CS331+CS325+CS319+CS313+CS224+CS304+CS299+CS115+CS293+CS109+CS97+CS287+CS160+CS198+CS279+CS179+CS173+CS273+CS230+CS267+CS261+CS248+CS236+CS134+CS141+CS218+CS393+CS79+CS254+CS8+CS127+CS166+CS91+CS147+CS185+CS191+CS20+CS23</f>
        <v>5944</v>
      </c>
      <c r="CT396" s="120">
        <f>CT393+CT387+CT381+CT211+CT375+CT242+CT205+CT60+CT54+CT72+CT42+CT48+CT367+CT14+CT35+CT359+CT351+CT345+CT337+CT331+CT319+CT224+CT304+CT115+CT293+CT109+CT97+CT287+CT160+CT198+CT279+CT179+CT173+CT273+CT267+CT261+CT248+CT236+CT254+CT218+CT8+CT79+CT127+CT166+CT91+CT147+CT185+CT191+CT20+CT23+CT103+CT121+CT134+CT140+CT230+CT66-3</f>
        <v>5409</v>
      </c>
      <c r="CU396" s="120">
        <f t="shared" si="317"/>
        <v>6102</v>
      </c>
      <c r="CV396" s="120">
        <f t="shared" si="317"/>
        <v>6120</v>
      </c>
      <c r="CW396" s="120">
        <f t="shared" si="317"/>
        <v>23608</v>
      </c>
      <c r="CX396" s="120">
        <f t="shared" si="317"/>
        <v>6034</v>
      </c>
      <c r="CY396" s="120">
        <f t="shared" si="317"/>
        <v>5333</v>
      </c>
      <c r="CZ396" s="120">
        <f t="shared" si="317"/>
        <v>5826</v>
      </c>
      <c r="DA396" s="120">
        <f>DA393+DA387+DA381+DA211+DA375+DA242+DA205+DA60+DA54+DA72+DA42+DA48+DA367+DA14+DA35+DA359+DA351+DA345+DA337+DA331+DA319+DA224+DA304+DA115+DA293+DA109+DA97+DA287+DA160+DA198+DA279+DA179+DA173+DA273+DA267+DA261+DA248+DA236+DA254+DA218+DA8+DA79+DA127+DA166+DA91+DA147+DA185+DA191+DA20+DA23+DA103+DA121+DA134+DA140+DA230+DA66+DB154</f>
        <v>6249</v>
      </c>
      <c r="DB396" s="120">
        <f>DB393+DB387+DB381+DB211+DB375+DB242+DB205+DB60+DB54+DB72+DB42+DB48+DB367+DB14+DB35+DB359+DB351+DB345+DB337+DB331+DB319+DB224+DB304+DB115+DB293+DB109+DB97+DB287+DB160+DB198+DB279+DB179+DB173+DB273+DB267+DB261+DB248+DB236+DB254+DB218+DB8+DB79+DB127+DB166+DB91+DB147+DB185+DB191+DB20+DB23+DB103+DB121+DB134+DB140+DB230+DB66+DB154</f>
        <v>22823</v>
      </c>
      <c r="DC396" s="120">
        <f>DC393+DC387+DC381+DC211+DC375+DC242+DC205+DC60+DC54+DC72+DC42+DC48+DC367+DC14+DC35+DC359+DC351+DC345+DC337+DC331+DC319+DC224+DC304+DC115+DC293+DC109+DC97+DC287+DC160+DC198+DC279+DC179+DC173+DC273+DC267+DC261+DC248+DC236+DC254+DC218+DC8+DC79+DC127+DC166+DC91+DC147+DC185+DC191+DC20+DC23+DC103+DC121+DC134+DC140+DC230+DC66+DC154+DC29</f>
        <v>7334</v>
      </c>
      <c r="DD396" s="120">
        <f>DD393+DD387+DD381+DD211+DD375+DD242+DD205+DD60+DD54+DD72+DD42+DD48+DD367+DD14+DD35+DD359+DD351+DD345+DD337+DD331+DD319+DD224+DD304+DD115+DD293+DD109+DD97+DD287+DD160+DD198+DD279+DD179+DD173+DD273+DD267+DD261+DD248+DD236+DD254+DD218+DD8+DD79+DD127+DD166+DD91+DD147+DD185+DD191+DD20+DD23+DD103+DD121+DD134+DD140+DD230+DD66+DD154+DD29</f>
        <v>7030</v>
      </c>
      <c r="DE396" s="120">
        <f t="shared" si="318"/>
        <v>6343</v>
      </c>
      <c r="DF396" s="120">
        <f t="shared" si="318"/>
        <v>6309</v>
      </c>
      <c r="DG396" s="120">
        <f t="shared" si="318"/>
        <v>27016</v>
      </c>
      <c r="DH396" s="120">
        <f t="shared" si="318"/>
        <v>5974.57</v>
      </c>
      <c r="DI396" s="120">
        <f t="shared" si="318"/>
        <v>6302.3899999999994</v>
      </c>
      <c r="DJ396" s="120">
        <f t="shared" si="318"/>
        <v>6384.6599999999989</v>
      </c>
      <c r="DK396" s="120">
        <f t="shared" si="318"/>
        <v>5982.47</v>
      </c>
      <c r="DL396" s="196">
        <f>DL393+DL387+DL381+DL211+DL375+DL242+DL205+DL60+DL54+DL72+DL42+DL48+DL367+DL14+DL35+DL359+DL351+DL345+DL337+DL331+DL319+DL224+DL304+DL115+DL293+DL109+DL97+DL287+DL160+DL198+DL279+DL179+DL173+DL273+DL267+DL261+DL248+DL236+DL254+DL218+DL8+DL79+DL127+DL166+DL91+DL147+DL185+DL191+DL20+DL23+DL103+DL121+DL134+DL140+DL230+DL66+DL154+DL29+DL85</f>
        <v>24618.089999999997</v>
      </c>
      <c r="DM396" s="196">
        <f t="shared" si="319"/>
        <v>25718.950300000004</v>
      </c>
      <c r="DN396" s="196">
        <f t="shared" si="319"/>
        <v>26421.630195239606</v>
      </c>
      <c r="DO396" s="196">
        <f t="shared" si="319"/>
        <v>26653.372390100398</v>
      </c>
      <c r="DP396" s="196">
        <f t="shared" si="319"/>
        <v>27080.949572112473</v>
      </c>
    </row>
    <row r="397" spans="1:120" x14ac:dyDescent="0.2">
      <c r="A397" s="39" t="s">
        <v>259</v>
      </c>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c r="AR397" s="67"/>
      <c r="AS397" s="67"/>
      <c r="AT397" s="67"/>
      <c r="AU397" s="165">
        <f t="shared" ref="AU397:BD397" si="320">AU396+AU395</f>
        <v>9794</v>
      </c>
      <c r="AV397" s="165">
        <f t="shared" si="320"/>
        <v>9776</v>
      </c>
      <c r="AW397" s="165">
        <f t="shared" si="320"/>
        <v>9660</v>
      </c>
      <c r="AX397" s="165">
        <f t="shared" si="320"/>
        <v>10582</v>
      </c>
      <c r="AY397" s="165">
        <f t="shared" si="320"/>
        <v>39812</v>
      </c>
      <c r="AZ397" s="165">
        <f t="shared" si="320"/>
        <v>9764</v>
      </c>
      <c r="BA397" s="165">
        <f t="shared" si="320"/>
        <v>10359</v>
      </c>
      <c r="BB397" s="165">
        <f t="shared" si="320"/>
        <v>10354</v>
      </c>
      <c r="BC397" s="165">
        <f t="shared" si="320"/>
        <v>10755</v>
      </c>
      <c r="BD397" s="165">
        <f t="shared" si="320"/>
        <v>41232</v>
      </c>
      <c r="BE397" s="165">
        <f ca="1">BE395+BE396</f>
        <v>10082.330555555556</v>
      </c>
      <c r="BF397" s="165">
        <f>BF395+BF396</f>
        <v>10560</v>
      </c>
      <c r="BG397" s="165">
        <f>BG395+BG396</f>
        <v>9875</v>
      </c>
      <c r="BH397" s="165">
        <f ca="1">BH395+BH396</f>
        <v>10085</v>
      </c>
      <c r="BI397" s="94">
        <f ca="1">BI396+BI395</f>
        <v>40334.330555555556</v>
      </c>
      <c r="BJ397" s="94">
        <f t="shared" ref="BJ397:CR397" si="321">BJ396+BJ395</f>
        <v>8891</v>
      </c>
      <c r="BK397" s="124">
        <f t="shared" si="321"/>
        <v>9312</v>
      </c>
      <c r="BL397" s="94">
        <f t="shared" si="321"/>
        <v>9475</v>
      </c>
      <c r="BM397" s="94">
        <f t="shared" si="321"/>
        <v>9760</v>
      </c>
      <c r="BN397" s="94">
        <f t="shared" si="321"/>
        <v>37133</v>
      </c>
      <c r="BO397" s="94">
        <f t="shared" si="321"/>
        <v>8451</v>
      </c>
      <c r="BP397" s="124">
        <f t="shared" si="321"/>
        <v>9087</v>
      </c>
      <c r="BQ397" s="94">
        <f t="shared" si="321"/>
        <v>9134</v>
      </c>
      <c r="BR397" s="94">
        <f t="shared" si="321"/>
        <v>9370</v>
      </c>
      <c r="BS397" s="94">
        <f t="shared" si="321"/>
        <v>36042</v>
      </c>
      <c r="BT397" s="94">
        <f t="shared" si="321"/>
        <v>8266</v>
      </c>
      <c r="BU397" s="124">
        <f t="shared" si="321"/>
        <v>8564</v>
      </c>
      <c r="BV397" s="94">
        <f t="shared" si="321"/>
        <v>8925</v>
      </c>
      <c r="BW397" s="94">
        <f t="shared" si="321"/>
        <v>9028</v>
      </c>
      <c r="BX397" s="94">
        <f t="shared" si="321"/>
        <v>34783</v>
      </c>
      <c r="BY397" s="94">
        <f t="shared" si="321"/>
        <v>8054</v>
      </c>
      <c r="BZ397" s="94">
        <f t="shared" si="321"/>
        <v>8589</v>
      </c>
      <c r="CA397" s="94">
        <f t="shared" si="321"/>
        <v>9277</v>
      </c>
      <c r="CB397" s="94">
        <f t="shared" si="321"/>
        <v>8675</v>
      </c>
      <c r="CC397" s="94">
        <f t="shared" si="321"/>
        <v>34595</v>
      </c>
      <c r="CD397" s="94">
        <f t="shared" si="321"/>
        <v>7807</v>
      </c>
      <c r="CE397" s="94">
        <f t="shared" si="321"/>
        <v>8242</v>
      </c>
      <c r="CF397" s="94">
        <f t="shared" si="321"/>
        <v>8687</v>
      </c>
      <c r="CG397" s="94">
        <f t="shared" si="321"/>
        <v>8994</v>
      </c>
      <c r="CH397" s="94">
        <f t="shared" si="321"/>
        <v>33730</v>
      </c>
      <c r="CI397" s="94">
        <f t="shared" si="321"/>
        <v>8917.8000000000011</v>
      </c>
      <c r="CJ397" s="94">
        <f t="shared" si="321"/>
        <v>9282.8000000000011</v>
      </c>
      <c r="CK397" s="94">
        <f t="shared" si="321"/>
        <v>9658</v>
      </c>
      <c r="CL397" s="94">
        <f t="shared" si="321"/>
        <v>9829</v>
      </c>
      <c r="CM397" s="94">
        <f t="shared" si="321"/>
        <v>37687.600000000006</v>
      </c>
      <c r="CN397" s="94">
        <f>CN396+CN395</f>
        <v>9663</v>
      </c>
      <c r="CO397" s="94">
        <f>CO396+CO395</f>
        <v>10460</v>
      </c>
      <c r="CP397" s="94">
        <f>CP396+CP395+CP394</f>
        <v>11095</v>
      </c>
      <c r="CQ397" s="94">
        <f t="shared" si="321"/>
        <v>10533</v>
      </c>
      <c r="CR397" s="94">
        <f t="shared" si="321"/>
        <v>41750</v>
      </c>
      <c r="CS397" s="94">
        <f>CS396+CS395</f>
        <v>10654</v>
      </c>
      <c r="CT397" s="94">
        <f>CT396+CT395</f>
        <v>9679</v>
      </c>
      <c r="CU397" s="94">
        <f>CU396+CU395</f>
        <v>11320</v>
      </c>
      <c r="CV397" s="94">
        <f>CV396+CV395</f>
        <v>11367</v>
      </c>
      <c r="CW397" s="94">
        <f>CW396+CW395</f>
        <v>43081</v>
      </c>
      <c r="CX397" s="94">
        <f t="shared" ref="CX397:DP397" si="322">CX396+CX395</f>
        <v>10981</v>
      </c>
      <c r="CY397" s="94">
        <f t="shared" si="322"/>
        <v>9980</v>
      </c>
      <c r="CZ397" s="94">
        <f t="shared" si="322"/>
        <v>11496</v>
      </c>
      <c r="DA397" s="94">
        <f t="shared" si="322"/>
        <v>12039</v>
      </c>
      <c r="DB397" s="94">
        <f t="shared" si="322"/>
        <v>43371</v>
      </c>
      <c r="DC397" s="94">
        <f t="shared" si="322"/>
        <v>14107</v>
      </c>
      <c r="DD397" s="94">
        <f t="shared" si="322"/>
        <v>12756</v>
      </c>
      <c r="DE397" s="94">
        <f t="shared" si="322"/>
        <v>12963</v>
      </c>
      <c r="DF397" s="94">
        <f t="shared" si="322"/>
        <v>12180</v>
      </c>
      <c r="DG397" s="94">
        <f t="shared" si="322"/>
        <v>52004</v>
      </c>
      <c r="DH397" s="94">
        <f t="shared" si="322"/>
        <v>12014.51</v>
      </c>
      <c r="DI397" s="94">
        <f t="shared" si="322"/>
        <v>12726.379999999997</v>
      </c>
      <c r="DJ397" s="94">
        <f t="shared" si="322"/>
        <v>13655.81</v>
      </c>
      <c r="DK397" s="94">
        <f t="shared" si="322"/>
        <v>12487.720000000001</v>
      </c>
      <c r="DL397" s="197">
        <f t="shared" si="322"/>
        <v>50733.42</v>
      </c>
      <c r="DM397" s="197">
        <f t="shared" si="322"/>
        <v>53192.561623310001</v>
      </c>
      <c r="DN397" s="197">
        <f t="shared" si="322"/>
        <v>54837.065824482008</v>
      </c>
      <c r="DO397" s="197">
        <f t="shared" si="322"/>
        <v>54782.222155690404</v>
      </c>
      <c r="DP397" s="197">
        <f t="shared" si="322"/>
        <v>55126.604718818169</v>
      </c>
    </row>
    <row r="398" spans="1:120" x14ac:dyDescent="0.2">
      <c r="A398" s="68" t="s">
        <v>54</v>
      </c>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c r="AR398" s="67"/>
      <c r="AS398" s="67"/>
      <c r="AT398" s="67"/>
      <c r="AU398" s="67"/>
      <c r="AV398" s="67"/>
      <c r="AW398" s="67"/>
      <c r="AX398" s="67"/>
      <c r="AY398" s="67"/>
      <c r="AZ398" s="75">
        <f t="shared" ref="AZ398:DK400" si="323">AZ395/AU395-1</f>
        <v>-4.4987775061124724E-2</v>
      </c>
      <c r="BA398" s="75">
        <f t="shared" si="323"/>
        <v>1.1881188118811892E-2</v>
      </c>
      <c r="BB398" s="75">
        <f t="shared" si="323"/>
        <v>5.4660126138752707E-2</v>
      </c>
      <c r="BC398" s="75">
        <f t="shared" si="323"/>
        <v>4.681818181818187E-2</v>
      </c>
      <c r="BD398" s="75">
        <f t="shared" si="323"/>
        <v>1.808339777526613E-2</v>
      </c>
      <c r="BE398" s="75">
        <f t="shared" si="323"/>
        <v>7.2811059907833986E-2</v>
      </c>
      <c r="BF398" s="75">
        <f t="shared" si="323"/>
        <v>0.1333170254403131</v>
      </c>
      <c r="BG398" s="75">
        <f t="shared" si="323"/>
        <v>-4.6733111849390885E-2</v>
      </c>
      <c r="BH398" s="75">
        <f t="shared" si="323"/>
        <v>-0.15002171081198434</v>
      </c>
      <c r="BI398" s="75">
        <f t="shared" si="323"/>
        <v>-4.2418930762487816E-3</v>
      </c>
      <c r="BJ398" s="76">
        <f t="shared" si="323"/>
        <v>-0.22298587247040846</v>
      </c>
      <c r="BK398" s="76">
        <f t="shared" si="323"/>
        <v>-0.20375566587524285</v>
      </c>
      <c r="BL398" s="75">
        <f t="shared" si="323"/>
        <v>-3.6245353159851335E-2</v>
      </c>
      <c r="BM398" s="75">
        <f t="shared" si="323"/>
        <v>-3.9335887611749665E-2</v>
      </c>
      <c r="BN398" s="75">
        <f t="shared" si="323"/>
        <v>-0.12840914425198335</v>
      </c>
      <c r="BO398" s="75">
        <f t="shared" si="323"/>
        <v>-3.8697788697788726E-2</v>
      </c>
      <c r="BP398" s="76">
        <f t="shared" si="323"/>
        <v>-6.1534291135809216E-2</v>
      </c>
      <c r="BQ398" s="76">
        <f t="shared" si="323"/>
        <v>-7.4975891996142741E-2</v>
      </c>
      <c r="BR398" s="75">
        <f t="shared" si="323"/>
        <v>6.6471683063014098E-3</v>
      </c>
      <c r="BS398" s="75">
        <f t="shared" si="323"/>
        <v>-4.301871549750913E-2</v>
      </c>
      <c r="BT398" s="75">
        <f t="shared" si="323"/>
        <v>0.1619808306709265</v>
      </c>
      <c r="BU398" s="76">
        <f t="shared" si="323"/>
        <v>0.13604852686308488</v>
      </c>
      <c r="BV398" s="76">
        <f t="shared" si="323"/>
        <v>0.14281991138910599</v>
      </c>
      <c r="BW398" s="75">
        <f t="shared" si="323"/>
        <v>0.13180137348124665</v>
      </c>
      <c r="BX398" s="75">
        <f t="shared" si="323"/>
        <v>0.14245515300738654</v>
      </c>
      <c r="BY398" s="75">
        <f t="shared" si="323"/>
        <v>6.2414077536431023E-2</v>
      </c>
      <c r="BZ398" s="75">
        <f t="shared" si="323"/>
        <v>3.2799389778794819E-2</v>
      </c>
      <c r="CA398" s="75">
        <f t="shared" si="323"/>
        <v>5.03990877993159E-2</v>
      </c>
      <c r="CB398" s="75">
        <f t="shared" si="323"/>
        <v>-4.2940490081680327E-2</v>
      </c>
      <c r="CC398" s="75">
        <f t="shared" si="323"/>
        <v>2.4199507389162545E-2</v>
      </c>
      <c r="CD398" s="75">
        <f t="shared" si="323"/>
        <v>-7.8416149068322949E-2</v>
      </c>
      <c r="CE398" s="75">
        <f t="shared" si="323"/>
        <v>-9.5273264401772528E-2</v>
      </c>
      <c r="CF398" s="75">
        <f t="shared" si="323"/>
        <v>-0.13829787234042556</v>
      </c>
      <c r="CG398" s="75">
        <f t="shared" si="323"/>
        <v>-5.4133138258961266E-2</v>
      </c>
      <c r="CH398" s="75">
        <f t="shared" si="323"/>
        <v>-9.3128118799975956E-2</v>
      </c>
      <c r="CI398" s="75">
        <f t="shared" si="323"/>
        <v>4.3414771131704777E-2</v>
      </c>
      <c r="CJ398" s="75">
        <f t="shared" si="323"/>
        <v>3.9972789115646501E-2</v>
      </c>
      <c r="CK398" s="75">
        <f t="shared" si="323"/>
        <v>0.17120181405895685</v>
      </c>
      <c r="CL398" s="75">
        <f t="shared" si="323"/>
        <v>0.13482856406290278</v>
      </c>
      <c r="CM398" s="75">
        <f t="shared" si="323"/>
        <v>9.9708300185627152E-2</v>
      </c>
      <c r="CN398" s="75">
        <f t="shared" si="323"/>
        <v>0.12364086553988574</v>
      </c>
      <c r="CO398" s="75">
        <f t="shared" si="323"/>
        <v>0.24493053193437797</v>
      </c>
      <c r="CP398" s="75">
        <f t="shared" si="323"/>
        <v>0.1040120468968484</v>
      </c>
      <c r="CQ398" s="75">
        <f t="shared" si="323"/>
        <v>6.6333484779645513E-2</v>
      </c>
      <c r="CR398" s="75">
        <f t="shared" si="323"/>
        <v>0.13087774294670851</v>
      </c>
      <c r="CS398" s="75">
        <f t="shared" si="323"/>
        <v>0.12814371257485035</v>
      </c>
      <c r="CT398" s="75">
        <f t="shared" si="323"/>
        <v>-0.10256410256410253</v>
      </c>
      <c r="CU398" s="75">
        <f t="shared" si="323"/>
        <v>1.6757599376461485E-2</v>
      </c>
      <c r="CV398" s="75">
        <f t="shared" si="323"/>
        <v>0.11780997017469108</v>
      </c>
      <c r="CW398" s="90">
        <f>CW395/CR395-1</f>
        <v>3.8061730369422619E-2</v>
      </c>
      <c r="CX398" s="75">
        <f t="shared" si="323"/>
        <v>5.0318471337579718E-2</v>
      </c>
      <c r="CY398" s="75">
        <f t="shared" si="323"/>
        <v>8.8290398126463776E-2</v>
      </c>
      <c r="CZ398" s="75">
        <f t="shared" si="323"/>
        <v>8.6623227290149485E-2</v>
      </c>
      <c r="DA398" s="75">
        <f t="shared" si="323"/>
        <v>0.10348770726129208</v>
      </c>
      <c r="DB398" s="75">
        <f t="shared" si="323"/>
        <v>5.5204642325270781E-2</v>
      </c>
      <c r="DC398" s="75">
        <f t="shared" si="323"/>
        <v>0.36911259349100467</v>
      </c>
      <c r="DD398" s="75">
        <f t="shared" si="323"/>
        <v>0.23219281256724766</v>
      </c>
      <c r="DE398" s="75">
        <f t="shared" si="323"/>
        <v>0.16754850088183426</v>
      </c>
      <c r="DF398" s="75">
        <f t="shared" si="323"/>
        <v>1.3989637305699576E-2</v>
      </c>
      <c r="DG398" s="75">
        <f t="shared" si="323"/>
        <v>0.21607942378820333</v>
      </c>
      <c r="DH398" s="75">
        <f t="shared" si="323"/>
        <v>-0.10823268861656565</v>
      </c>
      <c r="DI398" s="75">
        <f t="shared" si="323"/>
        <v>0.12189835836535057</v>
      </c>
      <c r="DJ398" s="75">
        <f t="shared" si="323"/>
        <v>9.8361027190332351E-2</v>
      </c>
      <c r="DK398" s="75">
        <f t="shared" si="323"/>
        <v>0.10803099982967135</v>
      </c>
      <c r="DL398" s="192">
        <f t="shared" ref="DL398:DL400" si="324">DL395/DG395-1</f>
        <v>4.5114855130462539E-2</v>
      </c>
      <c r="DM398" s="192">
        <f t="shared" ref="DM398:DP400" si="325">DM395/DL395-1</f>
        <v>5.2010881092063643E-2</v>
      </c>
      <c r="DN398" s="192">
        <f t="shared" si="325"/>
        <v>3.4281052274089507E-2</v>
      </c>
      <c r="DO398" s="192">
        <f t="shared" si="325"/>
        <v>-1.0085569948379502E-2</v>
      </c>
      <c r="DP398" s="192">
        <f t="shared" si="325"/>
        <v>-2.9576260521707587E-3</v>
      </c>
    </row>
    <row r="399" spans="1:120" x14ac:dyDescent="0.2">
      <c r="A399" s="68" t="s">
        <v>55</v>
      </c>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c r="AR399" s="67"/>
      <c r="AS399" s="67"/>
      <c r="AT399" s="67"/>
      <c r="AU399" s="67"/>
      <c r="AV399" s="67"/>
      <c r="AW399" s="67"/>
      <c r="AX399" s="67"/>
      <c r="AY399" s="67"/>
      <c r="AZ399" s="75">
        <f t="shared" si="323"/>
        <v>2.6998597475455854E-2</v>
      </c>
      <c r="BA399" s="75">
        <f t="shared" si="323"/>
        <v>9.3270571827057225E-2</v>
      </c>
      <c r="BB399" s="75">
        <f t="shared" si="323"/>
        <v>8.551775422941077E-2</v>
      </c>
      <c r="BC399" s="75">
        <f t="shared" si="323"/>
        <v>-5.3380782918149849E-3</v>
      </c>
      <c r="BD399" s="75">
        <f t="shared" si="323"/>
        <v>4.851962958132261E-2</v>
      </c>
      <c r="BE399" s="75">
        <f ca="1">BE396/AZ396-1</f>
        <v>5.7921740449906611E-3</v>
      </c>
      <c r="BF399" s="75">
        <f t="shared" si="323"/>
        <v>-5.4855684898740265E-2</v>
      </c>
      <c r="BG399" s="75">
        <f t="shared" si="323"/>
        <v>-4.5898270251755413E-2</v>
      </c>
      <c r="BH399" s="75">
        <f t="shared" ref="BH399:BJ400" ca="1" si="326">BH396/BC396-1</f>
        <v>3.4151894617011624E-3</v>
      </c>
      <c r="BI399" s="75">
        <f t="shared" ca="1" si="326"/>
        <v>-3.4211114336129889E-2</v>
      </c>
      <c r="BJ399" s="76">
        <f t="shared" ca="1" si="326"/>
        <v>-4.3607193454324289E-2</v>
      </c>
      <c r="BK399" s="76">
        <f t="shared" si="323"/>
        <v>-5.1290703559979778E-2</v>
      </c>
      <c r="BL399" s="75">
        <f t="shared" si="323"/>
        <v>-4.3798240890324913E-2</v>
      </c>
      <c r="BM399" s="75">
        <f ca="1">BM396/BH396-1</f>
        <v>-2.7714748784440801E-2</v>
      </c>
      <c r="BN399" s="75">
        <f ca="1">BN396/BI396-1</f>
        <v>-4.3488475682147865E-2</v>
      </c>
      <c r="BO399" s="75">
        <f t="shared" si="323"/>
        <v>-5.5723158828748898E-2</v>
      </c>
      <c r="BP399" s="76">
        <f t="shared" si="323"/>
        <v>3.5568202027391749E-4</v>
      </c>
      <c r="BQ399" s="76">
        <f t="shared" si="323"/>
        <v>-5.631687629059523E-3</v>
      </c>
      <c r="BR399" s="75">
        <f t="shared" si="323"/>
        <v>-6.917819636606104E-2</v>
      </c>
      <c r="BS399" s="75">
        <f t="shared" si="323"/>
        <v>-2.0288163741640108E-2</v>
      </c>
      <c r="BT399" s="75">
        <f t="shared" si="323"/>
        <v>-0.13005074234166514</v>
      </c>
      <c r="BU399" s="76">
        <f t="shared" si="323"/>
        <v>-0.17671111111111115</v>
      </c>
      <c r="BV399" s="76">
        <f t="shared" si="323"/>
        <v>-0.14291108174438361</v>
      </c>
      <c r="BW399" s="75">
        <f t="shared" si="323"/>
        <v>-0.15060888252148996</v>
      </c>
      <c r="BX399" s="75">
        <f t="shared" si="323"/>
        <v>-0.15045585742429102</v>
      </c>
      <c r="BY399" s="75">
        <f t="shared" si="323"/>
        <v>-9.4836897818103227E-2</v>
      </c>
      <c r="BZ399" s="75">
        <f t="shared" si="323"/>
        <v>-2.2457352623623361E-2</v>
      </c>
      <c r="CA399" s="75">
        <f t="shared" si="323"/>
        <v>2.8854625550660762E-2</v>
      </c>
      <c r="CB399" s="75">
        <f t="shared" si="323"/>
        <v>-3.5631456883828849E-2</v>
      </c>
      <c r="CC399" s="75">
        <f t="shared" si="323"/>
        <v>-3.1332578331445871E-2</v>
      </c>
      <c r="CD399" s="75">
        <f t="shared" si="323"/>
        <v>1.3365155131265016E-2</v>
      </c>
      <c r="CE399" s="75">
        <f t="shared" si="323"/>
        <v>8.8358736470068866E-3</v>
      </c>
      <c r="CF399" s="75">
        <f t="shared" si="323"/>
        <v>1.0062085206593796E-2</v>
      </c>
      <c r="CG399" s="75">
        <f t="shared" si="323"/>
        <v>0.11827721906427624</v>
      </c>
      <c r="CH399" s="75">
        <f t="shared" si="323"/>
        <v>3.8080391938536851E-2</v>
      </c>
      <c r="CI399" s="75">
        <f t="shared" si="323"/>
        <v>0.22520018841262379</v>
      </c>
      <c r="CJ399" s="75">
        <f t="shared" si="323"/>
        <v>0.19573023866871053</v>
      </c>
      <c r="CK399" s="75">
        <f t="shared" si="323"/>
        <v>6.1784654514624782E-2</v>
      </c>
      <c r="CL399" s="75">
        <f t="shared" si="323"/>
        <v>6.0997067448680387E-2</v>
      </c>
      <c r="CM399" s="75">
        <f t="shared" si="323"/>
        <v>0.13158854445993784</v>
      </c>
      <c r="CN399" s="75">
        <f t="shared" si="323"/>
        <v>5.4938295336588228E-2</v>
      </c>
      <c r="CO399" s="75">
        <f t="shared" si="323"/>
        <v>4.4150231646798099E-2</v>
      </c>
      <c r="CP399" s="75">
        <f t="shared" si="323"/>
        <v>0.19013873640083845</v>
      </c>
      <c r="CQ399" s="75">
        <f t="shared" si="323"/>
        <v>7.5916712732633229E-2</v>
      </c>
      <c r="CR399" s="75">
        <f>CR396/CM396-1</f>
        <v>8.964150979165475E-2</v>
      </c>
      <c r="CS399" s="75">
        <f t="shared" si="323"/>
        <v>8.3090379008746273E-2</v>
      </c>
      <c r="CT399" s="75">
        <f t="shared" si="323"/>
        <v>-5.1385478779375604E-2</v>
      </c>
      <c r="CU399" s="75">
        <f t="shared" si="323"/>
        <v>2.3482053002348291E-2</v>
      </c>
      <c r="CV399" s="75">
        <f t="shared" si="323"/>
        <v>4.8124678883370464E-2</v>
      </c>
      <c r="CW399" s="90">
        <f>CW396/CR396-1</f>
        <v>2.6836588230177094E-2</v>
      </c>
      <c r="CX399" s="75">
        <f t="shared" si="323"/>
        <v>1.5141318977119678E-2</v>
      </c>
      <c r="CY399" s="75">
        <f t="shared" si="323"/>
        <v>-1.4050656313551513E-2</v>
      </c>
      <c r="CZ399" s="75">
        <f t="shared" si="323"/>
        <v>-4.5231071779744392E-2</v>
      </c>
      <c r="DA399" s="75">
        <f t="shared" si="323"/>
        <v>2.1078431372548945E-2</v>
      </c>
      <c r="DB399" s="75">
        <f t="shared" si="323"/>
        <v>-3.3251440189766224E-2</v>
      </c>
      <c r="DC399" s="75">
        <f t="shared" si="323"/>
        <v>0.21544580709313887</v>
      </c>
      <c r="DD399" s="75">
        <f t="shared" si="323"/>
        <v>0.31820738796174752</v>
      </c>
      <c r="DE399" s="75">
        <f t="shared" si="323"/>
        <v>8.8740130449708188E-2</v>
      </c>
      <c r="DF399" s="75">
        <f t="shared" si="323"/>
        <v>9.6015362457992914E-3</v>
      </c>
      <c r="DG399" s="75">
        <f t="shared" si="323"/>
        <v>0.18371817902992604</v>
      </c>
      <c r="DH399" s="75">
        <f t="shared" si="323"/>
        <v>-0.18535996727570225</v>
      </c>
      <c r="DI399" s="75">
        <f t="shared" si="323"/>
        <v>-0.10350071123755344</v>
      </c>
      <c r="DJ399" s="75">
        <f t="shared" si="323"/>
        <v>6.5678700930158485E-3</v>
      </c>
      <c r="DK399" s="75">
        <f t="shared" si="323"/>
        <v>-5.1756221271199832E-2</v>
      </c>
      <c r="DL399" s="192">
        <f t="shared" si="324"/>
        <v>-8.8758883624518892E-2</v>
      </c>
      <c r="DM399" s="192">
        <f t="shared" si="325"/>
        <v>4.4717534950924565E-2</v>
      </c>
      <c r="DN399" s="192">
        <f t="shared" si="325"/>
        <v>2.7321484238009619E-2</v>
      </c>
      <c r="DO399" s="192">
        <f t="shared" si="325"/>
        <v>8.7709271967080227E-3</v>
      </c>
      <c r="DP399" s="192">
        <f t="shared" si="325"/>
        <v>1.6042141900620699E-2</v>
      </c>
    </row>
    <row r="400" spans="1:120" x14ac:dyDescent="0.2">
      <c r="A400" s="78" t="s">
        <v>56</v>
      </c>
      <c r="B400" s="98"/>
      <c r="C400" s="98"/>
      <c r="D400" s="98"/>
      <c r="E400" s="98"/>
      <c r="F400" s="98"/>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f t="shared" si="323"/>
        <v>-3.0630998570553292E-3</v>
      </c>
      <c r="BA400" s="83">
        <f t="shared" si="323"/>
        <v>5.9635842880523704E-2</v>
      </c>
      <c r="BB400" s="83">
        <f t="shared" si="323"/>
        <v>7.1842650103519645E-2</v>
      </c>
      <c r="BC400" s="83">
        <f t="shared" si="323"/>
        <v>1.6348516348516418E-2</v>
      </c>
      <c r="BD400" s="83">
        <f t="shared" si="323"/>
        <v>3.5667637898121107E-2</v>
      </c>
      <c r="BE400" s="83">
        <f ca="1">BE397/AZ397-1</f>
        <v>3.2602473940552601E-2</v>
      </c>
      <c r="BF400" s="83">
        <f t="shared" si="323"/>
        <v>1.9403417318273997E-2</v>
      </c>
      <c r="BG400" s="83">
        <f t="shared" si="323"/>
        <v>-4.6262314081514377E-2</v>
      </c>
      <c r="BH400" s="83">
        <f t="shared" ca="1" si="326"/>
        <v>-6.22966062296606E-2</v>
      </c>
      <c r="BI400" s="83">
        <f t="shared" ca="1" si="326"/>
        <v>-2.1771183654550885E-2</v>
      </c>
      <c r="BJ400" s="83">
        <f t="shared" ca="1" si="326"/>
        <v>-0.11816023577000367</v>
      </c>
      <c r="BK400" s="83">
        <f t="shared" si="323"/>
        <v>-0.11818181818181817</v>
      </c>
      <c r="BL400" s="83">
        <f t="shared" si="323"/>
        <v>-4.0506329113924044E-2</v>
      </c>
      <c r="BM400" s="83">
        <f ca="1">BM397/BH397-1</f>
        <v>-3.2226078334159691E-2</v>
      </c>
      <c r="BN400" s="83">
        <f ca="1">BN397/BI397-1</f>
        <v>-7.9369869574161367E-2</v>
      </c>
      <c r="BO400" s="83">
        <f t="shared" si="323"/>
        <v>-4.9488246541446457E-2</v>
      </c>
      <c r="BP400" s="83">
        <f t="shared" si="323"/>
        <v>-2.4162371134020644E-2</v>
      </c>
      <c r="BQ400" s="83">
        <f t="shared" si="323"/>
        <v>-3.5989445910290185E-2</v>
      </c>
      <c r="BR400" s="83">
        <f t="shared" si="323"/>
        <v>-3.995901639344257E-2</v>
      </c>
      <c r="BS400" s="83">
        <f t="shared" si="323"/>
        <v>-2.9380874155064185E-2</v>
      </c>
      <c r="BT400" s="83">
        <f t="shared" si="323"/>
        <v>-2.1890900485149634E-2</v>
      </c>
      <c r="BU400" s="83">
        <f t="shared" si="323"/>
        <v>-5.7554748541873035E-2</v>
      </c>
      <c r="BV400" s="83">
        <f t="shared" si="323"/>
        <v>-2.2881541493321667E-2</v>
      </c>
      <c r="BW400" s="83">
        <f t="shared" si="323"/>
        <v>-3.6499466382070467E-2</v>
      </c>
      <c r="BX400" s="83">
        <f t="shared" si="323"/>
        <v>-3.4931468841906677E-2</v>
      </c>
      <c r="BY400" s="83">
        <f t="shared" si="323"/>
        <v>-2.5647229615291534E-2</v>
      </c>
      <c r="BZ400" s="83">
        <f t="shared" si="323"/>
        <v>2.9191966370853972E-3</v>
      </c>
      <c r="CA400" s="83">
        <f t="shared" si="323"/>
        <v>3.9439775910364183E-2</v>
      </c>
      <c r="CB400" s="83">
        <f t="shared" si="323"/>
        <v>-3.9100575985821839E-2</v>
      </c>
      <c r="CC400" s="83">
        <f t="shared" si="323"/>
        <v>-5.4049391944340774E-3</v>
      </c>
      <c r="CD400" s="83">
        <f t="shared" si="323"/>
        <v>-3.0667991060342681E-2</v>
      </c>
      <c r="CE400" s="83">
        <f t="shared" si="323"/>
        <v>-4.040051228315289E-2</v>
      </c>
      <c r="CF400" s="83">
        <f t="shared" si="323"/>
        <v>-6.3598145952355245E-2</v>
      </c>
      <c r="CG400" s="83">
        <f t="shared" si="323"/>
        <v>3.6772334293948106E-2</v>
      </c>
      <c r="CH400" s="83">
        <f t="shared" si="323"/>
        <v>-2.5003613238907318E-2</v>
      </c>
      <c r="CI400" s="83">
        <f t="shared" si="323"/>
        <v>0.14228256692711683</v>
      </c>
      <c r="CJ400" s="83">
        <f t="shared" si="323"/>
        <v>0.12628002911914593</v>
      </c>
      <c r="CK400" s="83">
        <f t="shared" si="323"/>
        <v>0.11177621733624954</v>
      </c>
      <c r="CL400" s="83">
        <f t="shared" si="323"/>
        <v>9.2839670891705639E-2</v>
      </c>
      <c r="CM400" s="83">
        <f t="shared" si="323"/>
        <v>0.11733175214942215</v>
      </c>
      <c r="CN400" s="83">
        <f t="shared" si="323"/>
        <v>8.3563210657336962E-2</v>
      </c>
      <c r="CO400" s="83">
        <f t="shared" si="323"/>
        <v>0.12681518507346912</v>
      </c>
      <c r="CP400" s="83">
        <f t="shared" si="323"/>
        <v>0.14878856906191751</v>
      </c>
      <c r="CQ400" s="83">
        <f t="shared" si="323"/>
        <v>7.1624783803031944E-2</v>
      </c>
      <c r="CR400" s="83">
        <f>CR397/CM397-1</f>
        <v>0.10779142211231263</v>
      </c>
      <c r="CS400" s="83">
        <f t="shared" si="323"/>
        <v>0.10255614198489083</v>
      </c>
      <c r="CT400" s="83">
        <f t="shared" si="323"/>
        <v>-7.4665391969407247E-2</v>
      </c>
      <c r="CU400" s="83">
        <f t="shared" si="323"/>
        <v>2.0279405137449302E-2</v>
      </c>
      <c r="CV400" s="83">
        <f t="shared" si="323"/>
        <v>7.9179720877242898E-2</v>
      </c>
      <c r="CW400" s="83">
        <f>CW397/CR397-1</f>
        <v>3.1880239520958087E-2</v>
      </c>
      <c r="CX400" s="83">
        <f t="shared" si="323"/>
        <v>3.0692697578374339E-2</v>
      </c>
      <c r="CY400" s="83">
        <f t="shared" si="323"/>
        <v>3.1098253951854504E-2</v>
      </c>
      <c r="CZ400" s="83">
        <f t="shared" si="323"/>
        <v>1.5547703180212036E-2</v>
      </c>
      <c r="DA400" s="83">
        <f t="shared" si="323"/>
        <v>5.9118500923726502E-2</v>
      </c>
      <c r="DB400" s="83">
        <f t="shared" si="323"/>
        <v>6.7315057682040269E-3</v>
      </c>
      <c r="DC400" s="83">
        <f t="shared" si="323"/>
        <v>0.28467352700118376</v>
      </c>
      <c r="DD400" s="83">
        <f t="shared" si="323"/>
        <v>0.27815631262525042</v>
      </c>
      <c r="DE400" s="83">
        <f t="shared" si="323"/>
        <v>0.12760960334029225</v>
      </c>
      <c r="DF400" s="83">
        <f t="shared" si="323"/>
        <v>1.1711936207326135E-2</v>
      </c>
      <c r="DG400" s="83">
        <f t="shared" si="323"/>
        <v>0.19905005648935914</v>
      </c>
      <c r="DH400" s="83">
        <f t="shared" si="323"/>
        <v>-0.14832990713830008</v>
      </c>
      <c r="DI400" s="83">
        <f t="shared" si="323"/>
        <v>-2.3220445280653923E-3</v>
      </c>
      <c r="DJ400" s="83">
        <f t="shared" si="323"/>
        <v>5.3445190156599542E-2</v>
      </c>
      <c r="DK400" s="83">
        <f t="shared" si="323"/>
        <v>2.5264367816091982E-2</v>
      </c>
      <c r="DL400" s="193">
        <f t="shared" si="324"/>
        <v>-2.4432351357587923E-2</v>
      </c>
      <c r="DM400" s="193">
        <f t="shared" si="325"/>
        <v>4.847182829996477E-2</v>
      </c>
      <c r="DN400" s="193">
        <f t="shared" si="325"/>
        <v>3.091605576016021E-2</v>
      </c>
      <c r="DO400" s="193">
        <f t="shared" si="325"/>
        <v>-1.0001204106570016E-3</v>
      </c>
      <c r="DP400" s="193">
        <f t="shared" si="325"/>
        <v>6.2863927306386902E-3</v>
      </c>
    </row>
    <row r="401" spans="1:120" x14ac:dyDescent="0.2">
      <c r="A401" s="36" t="s">
        <v>260</v>
      </c>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c r="AR401" s="67"/>
      <c r="AS401" s="67"/>
      <c r="AT401" s="67"/>
      <c r="AU401" s="120"/>
      <c r="AV401" s="120"/>
      <c r="AW401" s="120"/>
      <c r="AX401" s="120"/>
      <c r="AY401" s="166"/>
      <c r="AZ401" s="120"/>
      <c r="BA401" s="120"/>
      <c r="BB401" s="120"/>
      <c r="BC401" s="120"/>
      <c r="BD401" s="166"/>
      <c r="BE401" s="120"/>
      <c r="BF401" s="120"/>
      <c r="BG401" s="120"/>
      <c r="BH401" s="120"/>
      <c r="BI401" s="120"/>
      <c r="BJ401" s="120"/>
      <c r="BK401" s="123"/>
      <c r="BL401" s="120"/>
      <c r="BM401" s="120"/>
      <c r="BN401" s="120"/>
      <c r="BO401" s="120"/>
      <c r="BP401" s="123"/>
      <c r="BQ401" s="120"/>
      <c r="BR401" s="120"/>
      <c r="BS401" s="120"/>
      <c r="BT401" s="120"/>
      <c r="BU401" s="123"/>
      <c r="BV401" s="123"/>
      <c r="BW401" s="123"/>
      <c r="BX401" s="120"/>
      <c r="BY401" s="120"/>
      <c r="BZ401" s="120"/>
      <c r="CA401" s="120"/>
      <c r="CB401" s="120"/>
      <c r="CC401" s="120"/>
      <c r="CD401" s="120"/>
      <c r="CE401" s="120"/>
      <c r="CF401" s="120"/>
      <c r="CG401" s="120"/>
      <c r="CH401" s="120"/>
      <c r="CI401" s="120"/>
      <c r="CJ401" s="120"/>
      <c r="CK401" s="120"/>
      <c r="CL401" s="120"/>
      <c r="CM401" s="120"/>
      <c r="CN401" s="120"/>
      <c r="CO401" s="120"/>
      <c r="CP401" s="120"/>
      <c r="CQ401" s="120"/>
      <c r="CR401" s="120"/>
      <c r="CS401" s="120"/>
      <c r="CT401" s="120"/>
      <c r="CU401" s="120"/>
      <c r="CV401" s="120"/>
      <c r="CW401" s="120"/>
      <c r="CX401" s="120"/>
      <c r="CY401" s="120"/>
      <c r="CZ401" s="120">
        <v>190</v>
      </c>
      <c r="DA401" s="120">
        <v>158</v>
      </c>
      <c r="DB401" s="120"/>
      <c r="DC401" s="120">
        <v>171</v>
      </c>
      <c r="DD401" s="120">
        <v>164</v>
      </c>
      <c r="DE401" s="120">
        <v>186</v>
      </c>
      <c r="DF401" s="120"/>
      <c r="DG401" s="120"/>
      <c r="DH401" s="120"/>
      <c r="DI401" s="120"/>
      <c r="DJ401" s="120"/>
      <c r="DK401" s="120"/>
      <c r="DL401" s="196"/>
      <c r="DM401" s="196"/>
      <c r="DN401" s="196"/>
      <c r="DO401" s="196"/>
      <c r="DP401" s="196"/>
    </row>
    <row r="402" spans="1:120" x14ac:dyDescent="0.2">
      <c r="A402" s="36" t="s">
        <v>261</v>
      </c>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c r="AR402" s="67"/>
      <c r="AS402" s="67"/>
      <c r="AT402" s="67"/>
      <c r="AU402" s="120"/>
      <c r="AV402" s="120"/>
      <c r="AW402" s="120"/>
      <c r="AX402" s="120"/>
      <c r="AY402" s="166"/>
      <c r="AZ402" s="120"/>
      <c r="BA402" s="120"/>
      <c r="BB402" s="120"/>
      <c r="BC402" s="120"/>
      <c r="BD402" s="166"/>
      <c r="BE402" s="120"/>
      <c r="BF402" s="120"/>
      <c r="BG402" s="120"/>
      <c r="BH402" s="120"/>
      <c r="BI402" s="120"/>
      <c r="BJ402" s="120"/>
      <c r="BK402" s="123"/>
      <c r="BL402" s="120"/>
      <c r="BM402" s="120"/>
      <c r="BN402" s="120"/>
      <c r="BO402" s="120"/>
      <c r="BP402" s="123"/>
      <c r="BQ402" s="120"/>
      <c r="BR402" s="120"/>
      <c r="BS402" s="120"/>
      <c r="BT402" s="120"/>
      <c r="BU402" s="123"/>
      <c r="BV402" s="123"/>
      <c r="BW402" s="123"/>
      <c r="BX402" s="120"/>
      <c r="BY402" s="120"/>
      <c r="BZ402" s="120"/>
      <c r="CA402" s="120"/>
      <c r="CB402" s="120"/>
      <c r="CC402" s="120"/>
      <c r="CD402" s="120"/>
      <c r="CE402" s="120"/>
      <c r="CF402" s="120"/>
      <c r="CG402" s="120"/>
      <c r="CH402" s="120"/>
      <c r="CI402" s="171"/>
      <c r="CJ402" s="120"/>
      <c r="CK402" s="120"/>
      <c r="CL402" s="120"/>
      <c r="CM402" s="120"/>
      <c r="CN402" s="120"/>
      <c r="CO402" s="120"/>
      <c r="CP402" s="120"/>
      <c r="CQ402" s="120"/>
      <c r="CR402" s="120"/>
      <c r="CS402" s="120"/>
      <c r="CT402" s="120"/>
      <c r="CU402" s="120"/>
      <c r="CV402" s="120"/>
      <c r="CW402" s="120"/>
      <c r="CX402" s="120"/>
      <c r="CY402" s="120"/>
      <c r="CZ402" s="120">
        <v>675</v>
      </c>
      <c r="DA402" s="120">
        <v>633</v>
      </c>
      <c r="DB402" s="120"/>
      <c r="DC402" s="120">
        <v>661</v>
      </c>
      <c r="DD402" s="120">
        <v>662</v>
      </c>
      <c r="DE402" s="120">
        <v>643</v>
      </c>
      <c r="DF402" s="120"/>
      <c r="DG402" s="120"/>
      <c r="DH402" s="120"/>
      <c r="DI402" s="120"/>
      <c r="DJ402" s="120"/>
      <c r="DK402" s="120"/>
      <c r="DL402" s="196"/>
      <c r="DM402" s="196"/>
      <c r="DN402" s="196"/>
      <c r="DO402" s="196"/>
      <c r="DP402" s="196"/>
    </row>
    <row r="403" spans="1:120" x14ac:dyDescent="0.2">
      <c r="A403" s="39" t="s">
        <v>262</v>
      </c>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c r="AR403" s="67"/>
      <c r="AS403" s="67"/>
      <c r="AT403" s="67"/>
      <c r="AU403" s="165"/>
      <c r="AV403" s="165"/>
      <c r="AW403" s="165"/>
      <c r="AX403" s="165"/>
      <c r="AY403" s="165"/>
      <c r="AZ403" s="165"/>
      <c r="BA403" s="165"/>
      <c r="BB403" s="165"/>
      <c r="BC403" s="165"/>
      <c r="BD403" s="165"/>
      <c r="BE403" s="165"/>
      <c r="BF403" s="165"/>
      <c r="BG403" s="165"/>
      <c r="BH403" s="165"/>
      <c r="BI403" s="94"/>
      <c r="BJ403" s="94"/>
      <c r="BK403" s="124"/>
      <c r="BL403" s="94"/>
      <c r="BM403" s="94"/>
      <c r="BN403" s="94"/>
      <c r="BO403" s="94"/>
      <c r="BP403" s="124"/>
      <c r="BQ403" s="94"/>
      <c r="BR403" s="94"/>
      <c r="BS403" s="94"/>
      <c r="BT403" s="94"/>
      <c r="BU403" s="124"/>
      <c r="BV403" s="94"/>
      <c r="BW403" s="94"/>
      <c r="BX403" s="94"/>
      <c r="BY403" s="94"/>
      <c r="BZ403" s="94"/>
      <c r="CA403" s="94"/>
      <c r="CB403" s="94"/>
      <c r="CC403" s="94"/>
      <c r="CD403" s="94"/>
      <c r="CE403" s="94"/>
      <c r="CF403" s="94"/>
      <c r="CG403" s="94"/>
      <c r="CH403" s="94"/>
      <c r="CI403" s="94"/>
      <c r="CJ403" s="94"/>
      <c r="CK403" s="94"/>
      <c r="CL403" s="94"/>
      <c r="CM403" s="94"/>
      <c r="CN403" s="94"/>
      <c r="CO403" s="94"/>
      <c r="CP403" s="94"/>
      <c r="CQ403" s="94"/>
      <c r="CR403" s="94"/>
      <c r="CS403" s="94"/>
      <c r="CT403" s="94"/>
      <c r="CU403" s="94"/>
      <c r="CV403" s="94"/>
      <c r="CW403" s="94"/>
      <c r="CX403" s="94"/>
      <c r="CY403" s="94"/>
      <c r="CZ403" s="94">
        <f>CZ402+CZ401</f>
        <v>865</v>
      </c>
      <c r="DA403" s="94">
        <f>DA402+DA401</f>
        <v>791</v>
      </c>
      <c r="DB403" s="94"/>
      <c r="DC403" s="94">
        <f>DC402+DC401</f>
        <v>832</v>
      </c>
      <c r="DD403" s="94">
        <f>DD402+DD401</f>
        <v>826</v>
      </c>
      <c r="DE403" s="94">
        <f>DE402+DE401</f>
        <v>829</v>
      </c>
      <c r="DF403" s="94"/>
      <c r="DG403" s="94"/>
      <c r="DH403" s="94"/>
      <c r="DI403" s="94"/>
      <c r="DJ403" s="94"/>
      <c r="DK403" s="94"/>
      <c r="DL403" s="197"/>
      <c r="DM403" s="197"/>
      <c r="DN403" s="197"/>
      <c r="DO403" s="197"/>
      <c r="DP403" s="197"/>
    </row>
    <row r="404" spans="1:120" x14ac:dyDescent="0.2">
      <c r="A404" s="68" t="s">
        <v>54</v>
      </c>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c r="AR404" s="67"/>
      <c r="AS404" s="67"/>
      <c r="AT404" s="67"/>
      <c r="AU404" s="67"/>
      <c r="AV404" s="67"/>
      <c r="AW404" s="67"/>
      <c r="AX404" s="67"/>
      <c r="AY404" s="67"/>
      <c r="AZ404" s="75"/>
      <c r="BA404" s="75"/>
      <c r="BB404" s="75"/>
      <c r="BC404" s="75"/>
      <c r="BD404" s="75"/>
      <c r="BE404" s="75"/>
      <c r="BF404" s="75"/>
      <c r="BG404" s="75"/>
      <c r="BH404" s="75"/>
      <c r="BI404" s="75"/>
      <c r="BJ404" s="76"/>
      <c r="BK404" s="76"/>
      <c r="BL404" s="75"/>
      <c r="BM404" s="75"/>
      <c r="BN404" s="75"/>
      <c r="BO404" s="75"/>
      <c r="BP404" s="76"/>
      <c r="BQ404" s="76"/>
      <c r="BR404" s="75"/>
      <c r="BS404" s="75"/>
      <c r="BT404" s="75"/>
      <c r="BU404" s="76"/>
      <c r="BV404" s="76"/>
      <c r="BW404" s="75"/>
      <c r="BX404" s="75"/>
      <c r="BY404" s="75"/>
      <c r="BZ404" s="75"/>
      <c r="CA404" s="75"/>
      <c r="CB404" s="75"/>
      <c r="CC404" s="75"/>
      <c r="CD404" s="75"/>
      <c r="CE404" s="75"/>
      <c r="CF404" s="75"/>
      <c r="CG404" s="75"/>
      <c r="CH404" s="75"/>
      <c r="CI404" s="75"/>
      <c r="CJ404" s="75"/>
      <c r="CK404" s="75"/>
      <c r="CL404" s="75"/>
      <c r="CM404" s="75"/>
      <c r="CN404" s="75"/>
      <c r="CO404" s="75"/>
      <c r="CP404" s="75"/>
      <c r="CQ404" s="75"/>
      <c r="CR404" s="75"/>
      <c r="CS404" s="75"/>
      <c r="CT404" s="75"/>
      <c r="CU404" s="75"/>
      <c r="CV404" s="75"/>
      <c r="CW404" s="90"/>
      <c r="CX404" s="75"/>
      <c r="CY404" s="75"/>
      <c r="CZ404" s="75"/>
      <c r="DA404" s="75"/>
      <c r="DB404" s="75"/>
      <c r="DC404" s="75"/>
      <c r="DD404" s="75"/>
      <c r="DE404" s="75"/>
      <c r="DF404" s="75"/>
      <c r="DG404" s="75"/>
      <c r="DH404" s="75"/>
      <c r="DI404" s="75"/>
      <c r="DJ404" s="75"/>
      <c r="DK404" s="75"/>
      <c r="DL404" s="192"/>
      <c r="DM404" s="192"/>
      <c r="DN404" s="192"/>
      <c r="DO404" s="192"/>
      <c r="DP404" s="192"/>
    </row>
    <row r="405" spans="1:120" x14ac:dyDescent="0.2">
      <c r="A405" s="68" t="s">
        <v>55</v>
      </c>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c r="AR405" s="67"/>
      <c r="AS405" s="67"/>
      <c r="AT405" s="67"/>
      <c r="AU405" s="67"/>
      <c r="AV405" s="67"/>
      <c r="AW405" s="67"/>
      <c r="AX405" s="67"/>
      <c r="AY405" s="67"/>
      <c r="AZ405" s="75"/>
      <c r="BA405" s="75"/>
      <c r="BB405" s="75"/>
      <c r="BC405" s="75"/>
      <c r="BD405" s="75"/>
      <c r="BE405" s="75"/>
      <c r="BF405" s="75"/>
      <c r="BG405" s="75"/>
      <c r="BH405" s="75"/>
      <c r="BI405" s="75"/>
      <c r="BJ405" s="76"/>
      <c r="BK405" s="76"/>
      <c r="BL405" s="75"/>
      <c r="BM405" s="75"/>
      <c r="BN405" s="75"/>
      <c r="BO405" s="75"/>
      <c r="BP405" s="76"/>
      <c r="BQ405" s="76"/>
      <c r="BR405" s="75"/>
      <c r="BS405" s="75"/>
      <c r="BT405" s="75"/>
      <c r="BU405" s="76"/>
      <c r="BV405" s="76"/>
      <c r="BW405" s="75"/>
      <c r="BX405" s="75"/>
      <c r="BY405" s="75"/>
      <c r="BZ405" s="75"/>
      <c r="CA405" s="75"/>
      <c r="CB405" s="75"/>
      <c r="CC405" s="75"/>
      <c r="CD405" s="75"/>
      <c r="CE405" s="75"/>
      <c r="CF405" s="75"/>
      <c r="CG405" s="75"/>
      <c r="CH405" s="75"/>
      <c r="CI405" s="75"/>
      <c r="CJ405" s="75"/>
      <c r="CK405" s="75"/>
      <c r="CL405" s="75"/>
      <c r="CM405" s="75"/>
      <c r="CN405" s="75"/>
      <c r="CO405" s="75"/>
      <c r="CP405" s="75"/>
      <c r="CQ405" s="75"/>
      <c r="CR405" s="75"/>
      <c r="CS405" s="75"/>
      <c r="CT405" s="75"/>
      <c r="CU405" s="75"/>
      <c r="CV405" s="75"/>
      <c r="CW405" s="90"/>
      <c r="CX405" s="75"/>
      <c r="CY405" s="75"/>
      <c r="CZ405" s="75"/>
      <c r="DA405" s="75"/>
      <c r="DB405" s="75"/>
      <c r="DC405" s="75"/>
      <c r="DD405" s="75"/>
      <c r="DE405" s="75"/>
      <c r="DF405" s="75"/>
      <c r="DG405" s="75"/>
      <c r="DH405" s="75"/>
      <c r="DI405" s="75"/>
      <c r="DJ405" s="75"/>
      <c r="DK405" s="75"/>
      <c r="DL405" s="192"/>
      <c r="DM405" s="192"/>
      <c r="DN405" s="192"/>
      <c r="DO405" s="192"/>
      <c r="DP405" s="192"/>
    </row>
    <row r="406" spans="1:120" x14ac:dyDescent="0.2">
      <c r="A406" s="78" t="s">
        <v>56</v>
      </c>
      <c r="B406" s="98"/>
      <c r="C406" s="98"/>
      <c r="D406" s="98"/>
      <c r="E406" s="98"/>
      <c r="F406" s="98"/>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193"/>
      <c r="DM406" s="193"/>
      <c r="DN406" s="193"/>
      <c r="DO406" s="193"/>
      <c r="DP406" s="193"/>
    </row>
    <row r="407" spans="1:120" x14ac:dyDescent="0.2">
      <c r="A407" s="36" t="s">
        <v>263</v>
      </c>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c r="AR407" s="67"/>
      <c r="AS407" s="67"/>
      <c r="AT407" s="67"/>
      <c r="AU407" s="120"/>
      <c r="AV407" s="120"/>
      <c r="AW407" s="120"/>
      <c r="AX407" s="120"/>
      <c r="AY407" s="166"/>
      <c r="AZ407" s="120"/>
      <c r="BA407" s="120"/>
      <c r="BB407" s="120"/>
      <c r="BC407" s="120"/>
      <c r="BD407" s="166"/>
      <c r="BE407" s="120"/>
      <c r="BF407" s="120"/>
      <c r="BG407" s="120"/>
      <c r="BH407" s="120"/>
      <c r="BI407" s="120"/>
      <c r="BJ407" s="120"/>
      <c r="BK407" s="123"/>
      <c r="BL407" s="120"/>
      <c r="BM407" s="120"/>
      <c r="BN407" s="120"/>
      <c r="BO407" s="120"/>
      <c r="BP407" s="123"/>
      <c r="BQ407" s="120"/>
      <c r="BR407" s="120"/>
      <c r="BS407" s="120"/>
      <c r="BT407" s="120"/>
      <c r="BU407" s="123"/>
      <c r="BV407" s="123"/>
      <c r="BW407" s="123"/>
      <c r="BX407" s="120"/>
      <c r="BY407" s="120"/>
      <c r="BZ407" s="120"/>
      <c r="CA407" s="120"/>
      <c r="CB407" s="120"/>
      <c r="CC407" s="120"/>
      <c r="CD407" s="120"/>
      <c r="CE407" s="120"/>
      <c r="CF407" s="120"/>
      <c r="CG407" s="120"/>
      <c r="CH407" s="120"/>
      <c r="CI407" s="120"/>
      <c r="CJ407" s="120"/>
      <c r="CK407" s="120"/>
      <c r="CL407" s="120"/>
      <c r="CM407" s="120"/>
      <c r="CN407" s="120"/>
      <c r="CO407" s="120"/>
      <c r="CP407" s="120"/>
      <c r="CQ407" s="120"/>
      <c r="CR407" s="120"/>
      <c r="CS407" s="120"/>
      <c r="CT407" s="120"/>
      <c r="CU407" s="120"/>
      <c r="CV407" s="120"/>
      <c r="CW407" s="120"/>
      <c r="CX407" s="120"/>
      <c r="CY407" s="120"/>
      <c r="CZ407" s="120">
        <v>277</v>
      </c>
      <c r="DA407" s="120">
        <v>237</v>
      </c>
      <c r="DB407" s="120"/>
      <c r="DC407" s="120">
        <v>302</v>
      </c>
      <c r="DD407" s="120">
        <v>313</v>
      </c>
      <c r="DE407" s="120">
        <v>289</v>
      </c>
      <c r="DF407" s="120"/>
      <c r="DG407" s="120"/>
      <c r="DH407" s="120"/>
      <c r="DI407" s="120"/>
      <c r="DJ407" s="120"/>
      <c r="DK407" s="120"/>
      <c r="DL407" s="196"/>
      <c r="DM407" s="196"/>
      <c r="DN407" s="196"/>
      <c r="DO407" s="196"/>
      <c r="DP407" s="196"/>
    </row>
    <row r="408" spans="1:120" x14ac:dyDescent="0.2">
      <c r="A408" s="36" t="s">
        <v>264</v>
      </c>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c r="AR408" s="67"/>
      <c r="AS408" s="67"/>
      <c r="AT408" s="67"/>
      <c r="AU408" s="120"/>
      <c r="AV408" s="120"/>
      <c r="AW408" s="120"/>
      <c r="AX408" s="120"/>
      <c r="AY408" s="166"/>
      <c r="AZ408" s="120"/>
      <c r="BA408" s="120"/>
      <c r="BB408" s="120"/>
      <c r="BC408" s="120"/>
      <c r="BD408" s="166"/>
      <c r="BE408" s="120"/>
      <c r="BF408" s="120"/>
      <c r="BG408" s="120"/>
      <c r="BH408" s="120"/>
      <c r="BI408" s="120"/>
      <c r="BJ408" s="120"/>
      <c r="BK408" s="123"/>
      <c r="BL408" s="120"/>
      <c r="BM408" s="120"/>
      <c r="BN408" s="120"/>
      <c r="BO408" s="120"/>
      <c r="BP408" s="123"/>
      <c r="BQ408" s="120"/>
      <c r="BR408" s="120"/>
      <c r="BS408" s="120"/>
      <c r="BT408" s="120"/>
      <c r="BU408" s="123"/>
      <c r="BV408" s="123"/>
      <c r="BW408" s="123"/>
      <c r="BX408" s="120"/>
      <c r="BY408" s="120"/>
      <c r="BZ408" s="120"/>
      <c r="CA408" s="120"/>
      <c r="CB408" s="120"/>
      <c r="CC408" s="120"/>
      <c r="CD408" s="120"/>
      <c r="CE408" s="120"/>
      <c r="CF408" s="120"/>
      <c r="CG408" s="120"/>
      <c r="CH408" s="120"/>
      <c r="CI408" s="171"/>
      <c r="CJ408" s="120"/>
      <c r="CK408" s="120"/>
      <c r="CL408" s="120"/>
      <c r="CM408" s="120"/>
      <c r="CN408" s="120"/>
      <c r="CO408" s="120"/>
      <c r="CP408" s="120"/>
      <c r="CQ408" s="120"/>
      <c r="CR408" s="120"/>
      <c r="CS408" s="120"/>
      <c r="CT408" s="120"/>
      <c r="CU408" s="120"/>
      <c r="CV408" s="120"/>
      <c r="CW408" s="120"/>
      <c r="CX408" s="120"/>
      <c r="CY408" s="120"/>
      <c r="CZ408" s="120">
        <v>276</v>
      </c>
      <c r="DA408" s="120">
        <v>233</v>
      </c>
      <c r="DB408" s="120"/>
      <c r="DC408" s="120">
        <v>348</v>
      </c>
      <c r="DD408" s="120">
        <v>328</v>
      </c>
      <c r="DE408" s="120">
        <v>253</v>
      </c>
      <c r="DF408" s="120"/>
      <c r="DG408" s="120"/>
      <c r="DH408" s="120"/>
      <c r="DI408" s="120"/>
      <c r="DJ408" s="120"/>
      <c r="DK408" s="120"/>
      <c r="DL408" s="196"/>
      <c r="DM408" s="196"/>
      <c r="DN408" s="196"/>
      <c r="DO408" s="196"/>
      <c r="DP408" s="196"/>
    </row>
    <row r="409" spans="1:120" x14ac:dyDescent="0.2">
      <c r="A409" s="39" t="s">
        <v>265</v>
      </c>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c r="AR409" s="67"/>
      <c r="AS409" s="67"/>
      <c r="AT409" s="67"/>
      <c r="AU409" s="165"/>
      <c r="AV409" s="165"/>
      <c r="AW409" s="165"/>
      <c r="AX409" s="165"/>
      <c r="AY409" s="165"/>
      <c r="AZ409" s="165"/>
      <c r="BA409" s="165"/>
      <c r="BB409" s="165"/>
      <c r="BC409" s="165"/>
      <c r="BD409" s="165"/>
      <c r="BE409" s="165"/>
      <c r="BF409" s="165"/>
      <c r="BG409" s="165"/>
      <c r="BH409" s="165"/>
      <c r="BI409" s="94"/>
      <c r="BJ409" s="94"/>
      <c r="BK409" s="124"/>
      <c r="BL409" s="94"/>
      <c r="BM409" s="94"/>
      <c r="BN409" s="94"/>
      <c r="BO409" s="94"/>
      <c r="BP409" s="124"/>
      <c r="BQ409" s="94"/>
      <c r="BR409" s="94"/>
      <c r="BS409" s="94"/>
      <c r="BT409" s="94"/>
      <c r="BU409" s="124"/>
      <c r="BV409" s="94"/>
      <c r="BW409" s="94"/>
      <c r="BX409" s="94"/>
      <c r="BY409" s="94"/>
      <c r="BZ409" s="94"/>
      <c r="CA409" s="94"/>
      <c r="CB409" s="94"/>
      <c r="CC409" s="94"/>
      <c r="CD409" s="94"/>
      <c r="CE409" s="94"/>
      <c r="CF409" s="94"/>
      <c r="CG409" s="94"/>
      <c r="CH409" s="94"/>
      <c r="CI409" s="94"/>
      <c r="CJ409" s="94"/>
      <c r="CK409" s="94"/>
      <c r="CL409" s="94"/>
      <c r="CM409" s="94"/>
      <c r="CN409" s="94"/>
      <c r="CO409" s="94"/>
      <c r="CP409" s="94"/>
      <c r="CQ409" s="94"/>
      <c r="CR409" s="94"/>
      <c r="CS409" s="94"/>
      <c r="CT409" s="94"/>
      <c r="CU409" s="94"/>
      <c r="CV409" s="94"/>
      <c r="CW409" s="94"/>
      <c r="CX409" s="94"/>
      <c r="CY409" s="94"/>
      <c r="CZ409" s="94">
        <f>CZ408+CZ407</f>
        <v>553</v>
      </c>
      <c r="DA409" s="94">
        <f>DA408+DA407</f>
        <v>470</v>
      </c>
      <c r="DB409" s="94"/>
      <c r="DC409" s="94">
        <f>DC408+DC407</f>
        <v>650</v>
      </c>
      <c r="DD409" s="94">
        <f>DD408+DD407</f>
        <v>641</v>
      </c>
      <c r="DE409" s="94">
        <f>DE408+DE407</f>
        <v>542</v>
      </c>
      <c r="DF409" s="94"/>
      <c r="DG409" s="94"/>
      <c r="DH409" s="94"/>
      <c r="DI409" s="94"/>
      <c r="DJ409" s="94"/>
      <c r="DK409" s="94"/>
      <c r="DL409" s="197"/>
      <c r="DM409" s="197"/>
      <c r="DN409" s="197"/>
      <c r="DO409" s="197"/>
      <c r="DP409" s="197"/>
    </row>
    <row r="410" spans="1:120" x14ac:dyDescent="0.2">
      <c r="A410" s="68" t="s">
        <v>54</v>
      </c>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AZ410" s="75"/>
      <c r="BA410" s="75"/>
      <c r="BB410" s="75"/>
      <c r="BC410" s="75"/>
      <c r="BD410" s="75"/>
      <c r="BE410" s="75"/>
      <c r="BF410" s="75"/>
      <c r="BG410" s="75"/>
      <c r="BH410" s="75"/>
      <c r="BI410" s="75"/>
      <c r="BJ410" s="76"/>
      <c r="BK410" s="76"/>
      <c r="BL410" s="75"/>
      <c r="BM410" s="75"/>
      <c r="BN410" s="75"/>
      <c r="BO410" s="75"/>
      <c r="BP410" s="76"/>
      <c r="BQ410" s="76"/>
      <c r="BR410" s="75"/>
      <c r="BS410" s="75"/>
      <c r="BT410" s="75"/>
      <c r="BU410" s="76"/>
      <c r="BV410" s="76"/>
      <c r="BW410" s="75"/>
      <c r="BX410" s="75"/>
      <c r="BY410" s="75"/>
      <c r="BZ410" s="75"/>
      <c r="CA410" s="75"/>
      <c r="CB410" s="75"/>
      <c r="CC410" s="75"/>
      <c r="CD410" s="75"/>
      <c r="CE410" s="75"/>
      <c r="CF410" s="75"/>
      <c r="CG410" s="75"/>
      <c r="CH410" s="75"/>
      <c r="CI410" s="75"/>
      <c r="CJ410" s="75"/>
      <c r="CK410" s="75"/>
      <c r="CL410" s="75"/>
      <c r="CM410" s="75"/>
      <c r="CN410" s="75"/>
      <c r="CO410" s="75"/>
      <c r="CP410" s="75"/>
      <c r="CQ410" s="75"/>
      <c r="CR410" s="75"/>
      <c r="CS410" s="75"/>
      <c r="CT410" s="75"/>
      <c r="CU410" s="75"/>
      <c r="CV410" s="75"/>
      <c r="CW410" s="90"/>
      <c r="CX410" s="75"/>
      <c r="CY410" s="75"/>
      <c r="CZ410" s="75"/>
      <c r="DA410" s="75"/>
      <c r="DB410" s="75"/>
      <c r="DC410" s="75"/>
      <c r="DD410" s="75"/>
      <c r="DE410" s="75"/>
      <c r="DF410" s="75"/>
      <c r="DG410" s="75"/>
      <c r="DH410" s="75"/>
      <c r="DI410" s="75"/>
      <c r="DJ410" s="75"/>
      <c r="DK410" s="75"/>
      <c r="DL410" s="192"/>
      <c r="DM410" s="192"/>
      <c r="DN410" s="192"/>
      <c r="DO410" s="192"/>
      <c r="DP410" s="192"/>
    </row>
    <row r="411" spans="1:120" x14ac:dyDescent="0.2">
      <c r="A411" s="68" t="s">
        <v>55</v>
      </c>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c r="AR411" s="67"/>
      <c r="AS411" s="67"/>
      <c r="AT411" s="67"/>
      <c r="AU411" s="67"/>
      <c r="AV411" s="67"/>
      <c r="AW411" s="67"/>
      <c r="AX411" s="67"/>
      <c r="AY411" s="67"/>
      <c r="AZ411" s="75"/>
      <c r="BA411" s="75"/>
      <c r="BB411" s="75"/>
      <c r="BC411" s="75"/>
      <c r="BD411" s="75"/>
      <c r="BE411" s="75"/>
      <c r="BF411" s="75"/>
      <c r="BG411" s="75"/>
      <c r="BH411" s="75"/>
      <c r="BI411" s="75"/>
      <c r="BJ411" s="76"/>
      <c r="BK411" s="76"/>
      <c r="BL411" s="75"/>
      <c r="BM411" s="75"/>
      <c r="BN411" s="75"/>
      <c r="BO411" s="75"/>
      <c r="BP411" s="76"/>
      <c r="BQ411" s="76"/>
      <c r="BR411" s="75"/>
      <c r="BS411" s="75"/>
      <c r="BT411" s="75"/>
      <c r="BU411" s="76"/>
      <c r="BV411" s="76"/>
      <c r="BW411" s="75"/>
      <c r="BX411" s="75"/>
      <c r="BY411" s="75"/>
      <c r="BZ411" s="75"/>
      <c r="CA411" s="75"/>
      <c r="CB411" s="75"/>
      <c r="CC411" s="75"/>
      <c r="CD411" s="75"/>
      <c r="CE411" s="75"/>
      <c r="CF411" s="75"/>
      <c r="CG411" s="75"/>
      <c r="CH411" s="75"/>
      <c r="CI411" s="75"/>
      <c r="CJ411" s="75"/>
      <c r="CK411" s="75"/>
      <c r="CL411" s="75"/>
      <c r="CM411" s="75"/>
      <c r="CN411" s="75"/>
      <c r="CO411" s="75"/>
      <c r="CP411" s="75"/>
      <c r="CQ411" s="75"/>
      <c r="CR411" s="75"/>
      <c r="CS411" s="75"/>
      <c r="CT411" s="75"/>
      <c r="CU411" s="75"/>
      <c r="CV411" s="75"/>
      <c r="CW411" s="90"/>
      <c r="CX411" s="75"/>
      <c r="CY411" s="75"/>
      <c r="CZ411" s="75"/>
      <c r="DA411" s="75"/>
      <c r="DB411" s="75"/>
      <c r="DC411" s="75"/>
      <c r="DD411" s="75"/>
      <c r="DE411" s="75"/>
      <c r="DF411" s="75"/>
      <c r="DG411" s="75"/>
      <c r="DH411" s="75"/>
      <c r="DI411" s="75"/>
      <c r="DJ411" s="75"/>
      <c r="DK411" s="75"/>
      <c r="DL411" s="192"/>
      <c r="DM411" s="192"/>
      <c r="DN411" s="192"/>
      <c r="DO411" s="192"/>
      <c r="DP411" s="192"/>
    </row>
    <row r="412" spans="1:120" x14ac:dyDescent="0.2">
      <c r="A412" s="78" t="s">
        <v>56</v>
      </c>
      <c r="B412" s="98"/>
      <c r="C412" s="98"/>
      <c r="D412" s="98"/>
      <c r="E412" s="98"/>
      <c r="F412" s="98"/>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c r="DC412" s="83"/>
      <c r="DD412" s="83"/>
      <c r="DE412" s="83"/>
      <c r="DF412" s="83"/>
      <c r="DG412" s="83"/>
      <c r="DH412" s="83"/>
      <c r="DI412" s="83"/>
      <c r="DJ412" s="83"/>
      <c r="DK412" s="83"/>
      <c r="DL412" s="193"/>
      <c r="DM412" s="193"/>
      <c r="DN412" s="193"/>
      <c r="DO412" s="193"/>
      <c r="DP412" s="193"/>
    </row>
    <row r="413" spans="1:120" x14ac:dyDescent="0.2">
      <c r="A413" s="21" t="s">
        <v>266</v>
      </c>
      <c r="G413" s="36"/>
      <c r="H413" s="36"/>
      <c r="I413" s="36"/>
      <c r="J413" s="36"/>
      <c r="K413" s="36"/>
      <c r="L413" s="36">
        <v>45</v>
      </c>
      <c r="M413" s="36">
        <v>49</v>
      </c>
      <c r="N413" s="36">
        <v>56.8</v>
      </c>
      <c r="O413" s="36">
        <v>67.5</v>
      </c>
      <c r="P413" s="36">
        <f>O413+N413+M413+L413</f>
        <v>218.3</v>
      </c>
      <c r="Q413" s="36">
        <v>41</v>
      </c>
      <c r="R413" s="36">
        <v>36.1</v>
      </c>
      <c r="S413" s="36">
        <v>56</v>
      </c>
      <c r="T413" s="36">
        <v>61</v>
      </c>
      <c r="U413" s="36">
        <f>T413+S413+R413+Q413</f>
        <v>194.1</v>
      </c>
      <c r="V413" s="36">
        <v>44</v>
      </c>
      <c r="W413" s="36">
        <v>54</v>
      </c>
      <c r="X413" s="36">
        <v>68</v>
      </c>
      <c r="Y413" s="36">
        <v>50</v>
      </c>
      <c r="Z413" s="36">
        <f>Y413+X413+W413+V413</f>
        <v>216</v>
      </c>
      <c r="AA413" s="36">
        <v>57</v>
      </c>
      <c r="AB413" s="36">
        <v>62</v>
      </c>
      <c r="AC413" s="36">
        <v>72</v>
      </c>
      <c r="AD413" s="36">
        <v>50</v>
      </c>
      <c r="AE413" s="36">
        <f>AD413+AC413+AB413+AA413</f>
        <v>241</v>
      </c>
      <c r="AF413" s="36">
        <v>58</v>
      </c>
      <c r="AG413" s="36">
        <v>58</v>
      </c>
      <c r="AH413" s="36">
        <v>63</v>
      </c>
      <c r="AI413" s="36">
        <v>99</v>
      </c>
      <c r="AJ413" s="36">
        <f>AI413+AH413+AG413+AF413</f>
        <v>278</v>
      </c>
      <c r="AK413" s="36">
        <v>131</v>
      </c>
      <c r="AL413" s="36">
        <v>138</v>
      </c>
      <c r="AM413" s="36">
        <v>160</v>
      </c>
      <c r="AN413" s="36">
        <v>135</v>
      </c>
      <c r="AO413" s="36">
        <f>AN413+AM413+AL413+AK413</f>
        <v>564</v>
      </c>
      <c r="AP413" s="36">
        <v>146</v>
      </c>
      <c r="AQ413" s="36">
        <v>148</v>
      </c>
      <c r="AR413" s="36">
        <v>143</v>
      </c>
      <c r="AS413" s="36">
        <v>161</v>
      </c>
      <c r="AT413" s="36">
        <f>AS413+AR413+AQ413+AP413</f>
        <v>598</v>
      </c>
      <c r="AU413" s="36">
        <v>140</v>
      </c>
      <c r="AV413" s="36">
        <v>153</v>
      </c>
      <c r="AW413" s="36">
        <v>154</v>
      </c>
      <c r="AX413" s="36">
        <v>169</v>
      </c>
      <c r="AY413" s="36">
        <f>AX413+AW413+AV413+AU413</f>
        <v>616</v>
      </c>
      <c r="AZ413" s="36">
        <v>164</v>
      </c>
      <c r="BA413" s="36">
        <v>161</v>
      </c>
      <c r="BB413" s="36">
        <v>194</v>
      </c>
      <c r="BC413" s="36">
        <v>192</v>
      </c>
      <c r="BD413" s="36">
        <f>BC413+BB413+BA413+AZ413</f>
        <v>711</v>
      </c>
      <c r="BE413" s="36">
        <v>193</v>
      </c>
      <c r="BF413" s="36">
        <v>238</v>
      </c>
      <c r="BG413" s="36">
        <v>211</v>
      </c>
      <c r="BH413" s="36">
        <v>236</v>
      </c>
      <c r="BI413" s="36">
        <f>SUM(BE413:BH413)</f>
        <v>878</v>
      </c>
      <c r="BJ413" s="36">
        <v>231</v>
      </c>
      <c r="BK413" s="36">
        <v>219</v>
      </c>
      <c r="BL413" s="36">
        <v>208</v>
      </c>
      <c r="BM413" s="36">
        <v>198</v>
      </c>
      <c r="BN413" s="36">
        <f>SUM(BJ413:BM413)</f>
        <v>856</v>
      </c>
      <c r="BO413" s="36">
        <v>177</v>
      </c>
      <c r="BP413" s="36">
        <v>185</v>
      </c>
      <c r="BQ413" s="36">
        <v>216</v>
      </c>
      <c r="BR413" s="36">
        <v>211</v>
      </c>
      <c r="BS413" s="36">
        <f>SUM(BO413:BR413)</f>
        <v>789</v>
      </c>
      <c r="BT413" s="36">
        <v>203</v>
      </c>
      <c r="BU413" s="36">
        <v>215</v>
      </c>
      <c r="BV413" s="36">
        <v>226</v>
      </c>
      <c r="BW413" s="36">
        <v>237</v>
      </c>
      <c r="BX413" s="36">
        <f>SUM(BT413:BW413)</f>
        <v>881</v>
      </c>
      <c r="BY413" s="36">
        <v>233</v>
      </c>
      <c r="BZ413" s="36">
        <v>256</v>
      </c>
      <c r="CA413" s="36">
        <v>237</v>
      </c>
      <c r="CB413" s="36">
        <v>263</v>
      </c>
      <c r="CC413" s="36">
        <f>SUM(BY413:CB413)</f>
        <v>989</v>
      </c>
      <c r="CD413" s="36">
        <v>283</v>
      </c>
      <c r="CE413" s="36">
        <v>270</v>
      </c>
      <c r="CF413" s="36">
        <v>290</v>
      </c>
      <c r="CG413" s="36">
        <v>248</v>
      </c>
      <c r="CH413" s="36">
        <f>SUM(CD413:CG413)</f>
        <v>1091</v>
      </c>
      <c r="CI413" s="36">
        <v>307</v>
      </c>
      <c r="CJ413" s="36">
        <v>311</v>
      </c>
      <c r="CK413" s="36">
        <v>306</v>
      </c>
      <c r="CL413" s="36">
        <v>314</v>
      </c>
      <c r="CM413" s="36">
        <f>SUM(CI413:CL413)</f>
        <v>1238</v>
      </c>
      <c r="CN413" s="36">
        <v>294</v>
      </c>
      <c r="CO413" s="36">
        <v>335</v>
      </c>
      <c r="CP413" s="36">
        <f>144+193</f>
        <v>337</v>
      </c>
      <c r="CQ413" s="36">
        <f>177+164</f>
        <v>341</v>
      </c>
      <c r="CR413" s="36">
        <f>SUM(CN413:CQ413)</f>
        <v>1307</v>
      </c>
      <c r="CS413" s="36">
        <v>384</v>
      </c>
      <c r="CT413" s="36">
        <f>122+220</f>
        <v>342</v>
      </c>
      <c r="CU413" s="36">
        <f>164+234</f>
        <v>398</v>
      </c>
      <c r="CV413" s="36">
        <v>361</v>
      </c>
      <c r="CW413" s="72">
        <f>SUM(CS413:CV413)</f>
        <v>1485</v>
      </c>
      <c r="CX413" s="36">
        <v>437</v>
      </c>
      <c r="CY413" s="36">
        <v>459</v>
      </c>
      <c r="CZ413" s="36">
        <f>CZ401+CZ407</f>
        <v>467</v>
      </c>
      <c r="DA413" s="36">
        <f>DA401+DA407</f>
        <v>395</v>
      </c>
      <c r="DB413" s="72">
        <f>SUM(CX413:DA413)</f>
        <v>1758</v>
      </c>
      <c r="DC413" s="36">
        <f t="shared" ref="DC413:DE414" si="327">DC401+DC407</f>
        <v>473</v>
      </c>
      <c r="DD413" s="36">
        <f t="shared" si="327"/>
        <v>477</v>
      </c>
      <c r="DE413" s="36">
        <f t="shared" si="327"/>
        <v>475</v>
      </c>
      <c r="DF413" s="72">
        <v>396</v>
      </c>
      <c r="DG413" s="36">
        <f>SUM(DC413:DF413)</f>
        <v>1821</v>
      </c>
      <c r="DH413" s="36">
        <f t="shared" ref="DH413:DK414" si="328">DC413*(1+DH416)</f>
        <v>501.38000000000005</v>
      </c>
      <c r="DI413" s="36">
        <f t="shared" si="328"/>
        <v>505.62</v>
      </c>
      <c r="DJ413" s="36">
        <f t="shared" si="328"/>
        <v>503.5</v>
      </c>
      <c r="DK413" s="36">
        <f t="shared" si="328"/>
        <v>419.76000000000005</v>
      </c>
      <c r="DL413" s="183">
        <f>SUM(DH413:DK413)</f>
        <v>1930.26</v>
      </c>
      <c r="DM413" s="183">
        <f t="shared" ref="DM413:DP414" si="329">DL413*(1+DM416)</f>
        <v>2007.4704000000002</v>
      </c>
      <c r="DN413" s="183">
        <f t="shared" si="329"/>
        <v>2087.7692160000001</v>
      </c>
      <c r="DO413" s="183">
        <f t="shared" si="329"/>
        <v>2171.2799846400003</v>
      </c>
      <c r="DP413" s="183">
        <f t="shared" si="329"/>
        <v>2258.1311840256003</v>
      </c>
    </row>
    <row r="414" spans="1:120" x14ac:dyDescent="0.2">
      <c r="A414" s="21" t="s">
        <v>267</v>
      </c>
      <c r="G414" s="36"/>
      <c r="H414" s="36"/>
      <c r="I414" s="36"/>
      <c r="J414" s="36"/>
      <c r="K414" s="36"/>
      <c r="L414" s="36">
        <v>97.5</v>
      </c>
      <c r="M414" s="36">
        <v>121.7</v>
      </c>
      <c r="N414" s="36">
        <v>113.3</v>
      </c>
      <c r="O414" s="36">
        <v>146.30000000000001</v>
      </c>
      <c r="P414" s="36">
        <f>O414+N414+M414+L414</f>
        <v>478.8</v>
      </c>
      <c r="Q414" s="36">
        <v>129.19999999999999</v>
      </c>
      <c r="R414" s="36">
        <v>150.19999999999999</v>
      </c>
      <c r="S414" s="36">
        <v>127.2</v>
      </c>
      <c r="T414" s="36">
        <v>169</v>
      </c>
      <c r="U414" s="36">
        <f>T414+S414+R414+Q414</f>
        <v>575.59999999999991</v>
      </c>
      <c r="V414" s="36">
        <v>149</v>
      </c>
      <c r="W414" s="36">
        <v>173</v>
      </c>
      <c r="X414" s="36">
        <v>141</v>
      </c>
      <c r="Y414" s="36">
        <v>172</v>
      </c>
      <c r="Z414" s="36">
        <f>Y414+X414+W414+V414</f>
        <v>635</v>
      </c>
      <c r="AA414" s="36">
        <v>151</v>
      </c>
      <c r="AB414" s="36">
        <v>177</v>
      </c>
      <c r="AC414" s="36">
        <v>156</v>
      </c>
      <c r="AD414" s="36">
        <v>184</v>
      </c>
      <c r="AE414" s="36">
        <f>AD414+AC414+AB414+AA414</f>
        <v>668</v>
      </c>
      <c r="AF414" s="36">
        <v>174</v>
      </c>
      <c r="AG414" s="36">
        <v>206</v>
      </c>
      <c r="AH414" s="36">
        <v>185</v>
      </c>
      <c r="AI414" s="36">
        <v>408</v>
      </c>
      <c r="AJ414" s="36">
        <f>AI414+AH414+AG414+AF414</f>
        <v>973</v>
      </c>
      <c r="AK414" s="36">
        <v>592</v>
      </c>
      <c r="AL414" s="36">
        <v>680</v>
      </c>
      <c r="AM414" s="36">
        <v>599</v>
      </c>
      <c r="AN414" s="36">
        <v>539</v>
      </c>
      <c r="AO414" s="36">
        <f>AN414+AM414+AL414+AK414</f>
        <v>2410</v>
      </c>
      <c r="AP414" s="36">
        <v>484</v>
      </c>
      <c r="AQ414" s="36">
        <v>529</v>
      </c>
      <c r="AR414" s="36">
        <v>526</v>
      </c>
      <c r="AS414" s="36">
        <v>598</v>
      </c>
      <c r="AT414" s="36">
        <f>AS414+AR414+AQ414+AP414</f>
        <v>2137</v>
      </c>
      <c r="AU414" s="36">
        <v>569</v>
      </c>
      <c r="AV414" s="36">
        <v>578</v>
      </c>
      <c r="AW414" s="36">
        <v>533</v>
      </c>
      <c r="AX414" s="36">
        <v>646</v>
      </c>
      <c r="AY414" s="36">
        <f>AX414+AW414+AV414+AU414</f>
        <v>2326</v>
      </c>
      <c r="AZ414" s="36">
        <v>594</v>
      </c>
      <c r="BA414" s="36">
        <v>641</v>
      </c>
      <c r="BB414" s="36">
        <v>631</v>
      </c>
      <c r="BC414" s="36">
        <v>676</v>
      </c>
      <c r="BD414" s="36">
        <f>BC414+BB414+BA414+AZ414</f>
        <v>2542</v>
      </c>
      <c r="BE414" s="36">
        <v>627</v>
      </c>
      <c r="BF414" s="36">
        <v>628</v>
      </c>
      <c r="BG414" s="36">
        <v>604</v>
      </c>
      <c r="BH414" s="36">
        <v>662</v>
      </c>
      <c r="BI414" s="36">
        <f>SUM(BE414:BH414)</f>
        <v>2521</v>
      </c>
      <c r="BJ414" s="36">
        <v>609</v>
      </c>
      <c r="BK414" s="36">
        <v>632</v>
      </c>
      <c r="BL414" s="36">
        <v>591</v>
      </c>
      <c r="BM414" s="36">
        <v>673</v>
      </c>
      <c r="BN414" s="36">
        <f>SUM(BJ414:BM414)</f>
        <v>2505</v>
      </c>
      <c r="BO414" s="36">
        <v>636</v>
      </c>
      <c r="BP414" s="36">
        <v>687</v>
      </c>
      <c r="BQ414" s="36">
        <v>669</v>
      </c>
      <c r="BR414" s="36">
        <v>674</v>
      </c>
      <c r="BS414" s="36">
        <f>SUM(BO414:BR414)</f>
        <v>2666</v>
      </c>
      <c r="BT414" s="36">
        <v>626</v>
      </c>
      <c r="BU414" s="36">
        <v>625</v>
      </c>
      <c r="BV414" s="36">
        <v>599</v>
      </c>
      <c r="BW414" s="36">
        <v>593</v>
      </c>
      <c r="BX414" s="36">
        <f>SUM(BT414:BW414)</f>
        <v>2443</v>
      </c>
      <c r="BY414" s="36">
        <v>596</v>
      </c>
      <c r="BZ414" s="36">
        <v>643</v>
      </c>
      <c r="CA414" s="36">
        <v>628</v>
      </c>
      <c r="CB414" s="36">
        <v>621</v>
      </c>
      <c r="CC414" s="36">
        <f>SUM(BY414:CB414)</f>
        <v>2488</v>
      </c>
      <c r="CD414" s="36">
        <v>656</v>
      </c>
      <c r="CE414" s="36">
        <v>685</v>
      </c>
      <c r="CF414" s="36">
        <v>710</v>
      </c>
      <c r="CG414" s="36">
        <v>733</v>
      </c>
      <c r="CH414" s="36">
        <f>SUM(CD414:CG414)</f>
        <v>2784</v>
      </c>
      <c r="CI414" s="36">
        <v>758</v>
      </c>
      <c r="CJ414" s="36">
        <v>779</v>
      </c>
      <c r="CK414" s="36">
        <v>715</v>
      </c>
      <c r="CL414" s="36">
        <v>722</v>
      </c>
      <c r="CM414" s="36">
        <f>SUM(CI414:CL414)</f>
        <v>2974</v>
      </c>
      <c r="CN414" s="36">
        <v>731</v>
      </c>
      <c r="CO414" s="36">
        <v>789</v>
      </c>
      <c r="CP414" s="36">
        <f>582+203</f>
        <v>785</v>
      </c>
      <c r="CQ414" s="36">
        <f>600+181</f>
        <v>781</v>
      </c>
      <c r="CR414" s="36">
        <f>SUM(CN414:CQ414)</f>
        <v>3086</v>
      </c>
      <c r="CS414" s="36">
        <v>830</v>
      </c>
      <c r="CT414" s="36">
        <f>526+233</f>
        <v>759</v>
      </c>
      <c r="CU414" s="36">
        <f>594+228</f>
        <v>822</v>
      </c>
      <c r="CV414" s="36">
        <v>807</v>
      </c>
      <c r="CW414" s="72">
        <f>SUM(CS414:CV414)</f>
        <v>3218</v>
      </c>
      <c r="CX414" s="36">
        <v>981</v>
      </c>
      <c r="CY414" s="36">
        <v>1012</v>
      </c>
      <c r="CZ414" s="36">
        <f>CZ402+CZ408</f>
        <v>951</v>
      </c>
      <c r="DA414" s="36">
        <f>DA402+DA408</f>
        <v>866</v>
      </c>
      <c r="DB414" s="72">
        <f>SUM(CX414:DA414)</f>
        <v>3810</v>
      </c>
      <c r="DC414" s="36">
        <f t="shared" si="327"/>
        <v>1009</v>
      </c>
      <c r="DD414" s="36">
        <f t="shared" si="327"/>
        <v>990</v>
      </c>
      <c r="DE414" s="36">
        <f t="shared" si="327"/>
        <v>896</v>
      </c>
      <c r="DF414" s="72">
        <v>834</v>
      </c>
      <c r="DG414" s="36">
        <f>SUM(DC414:DF414)</f>
        <v>3729</v>
      </c>
      <c r="DH414" s="36">
        <f t="shared" si="328"/>
        <v>1049.3600000000001</v>
      </c>
      <c r="DI414" s="36">
        <f t="shared" si="328"/>
        <v>1029.6000000000001</v>
      </c>
      <c r="DJ414" s="36">
        <f t="shared" si="328"/>
        <v>931.84</v>
      </c>
      <c r="DK414" s="36">
        <f t="shared" si="328"/>
        <v>867.36</v>
      </c>
      <c r="DL414" s="183">
        <f>SUM(DH414:DK414)</f>
        <v>3878.1600000000003</v>
      </c>
      <c r="DM414" s="183">
        <f t="shared" si="329"/>
        <v>4033.2864000000004</v>
      </c>
      <c r="DN414" s="183">
        <f t="shared" si="329"/>
        <v>4194.6178560000008</v>
      </c>
      <c r="DO414" s="183">
        <f t="shared" si="329"/>
        <v>4362.4025702400013</v>
      </c>
      <c r="DP414" s="183">
        <f t="shared" si="329"/>
        <v>4536.8986730496017</v>
      </c>
    </row>
    <row r="415" spans="1:120" x14ac:dyDescent="0.2">
      <c r="A415" s="31" t="s">
        <v>268</v>
      </c>
      <c r="G415" s="39"/>
      <c r="H415" s="39"/>
      <c r="I415" s="39"/>
      <c r="J415" s="39"/>
      <c r="K415" s="39"/>
      <c r="L415" s="39">
        <f>L414+L413</f>
        <v>142.5</v>
      </c>
      <c r="M415" s="39">
        <f>M414+M413</f>
        <v>170.7</v>
      </c>
      <c r="N415" s="39">
        <f>N414+N413</f>
        <v>170.1</v>
      </c>
      <c r="O415" s="39">
        <f>O414+O413</f>
        <v>213.8</v>
      </c>
      <c r="P415" s="39">
        <f>O415+N415+M415+L415</f>
        <v>697.09999999999991</v>
      </c>
      <c r="Q415" s="39">
        <f>Q414+Q413</f>
        <v>170.2</v>
      </c>
      <c r="R415" s="39">
        <f>R414+R413</f>
        <v>186.29999999999998</v>
      </c>
      <c r="S415" s="39">
        <f>S414+S413</f>
        <v>183.2</v>
      </c>
      <c r="T415" s="39">
        <f>T414+T413</f>
        <v>230</v>
      </c>
      <c r="U415" s="39">
        <f>T415+S415+R415+Q415</f>
        <v>769.7</v>
      </c>
      <c r="V415" s="39">
        <f>V414+V413</f>
        <v>193</v>
      </c>
      <c r="W415" s="39">
        <f>W414+W413</f>
        <v>227</v>
      </c>
      <c r="X415" s="39">
        <f>X414+X413</f>
        <v>209</v>
      </c>
      <c r="Y415" s="39">
        <f>Y414+Y413</f>
        <v>222</v>
      </c>
      <c r="Z415" s="39">
        <f>Y415+X415+W415+V415</f>
        <v>851</v>
      </c>
      <c r="AA415" s="39">
        <f>AA414+AA413</f>
        <v>208</v>
      </c>
      <c r="AB415" s="39">
        <f>AB414+AB413</f>
        <v>239</v>
      </c>
      <c r="AC415" s="39">
        <f>AC414+AC413</f>
        <v>228</v>
      </c>
      <c r="AD415" s="39">
        <f>AD414+AD413</f>
        <v>234</v>
      </c>
      <c r="AE415" s="39">
        <f>AD415+AC415+AB415+AA415</f>
        <v>909</v>
      </c>
      <c r="AF415" s="39">
        <f>AF414+AF413</f>
        <v>232</v>
      </c>
      <c r="AG415" s="39">
        <f>AG414+AG413</f>
        <v>264</v>
      </c>
      <c r="AH415" s="39">
        <f>AH414+AH413</f>
        <v>248</v>
      </c>
      <c r="AI415" s="39">
        <f>AI414+AI413</f>
        <v>507</v>
      </c>
      <c r="AJ415" s="39">
        <f>AI415+AH415+AG415+AF415</f>
        <v>1251</v>
      </c>
      <c r="AK415" s="39">
        <f>AK414+AK413</f>
        <v>723</v>
      </c>
      <c r="AL415" s="39">
        <f>AL414+AL413</f>
        <v>818</v>
      </c>
      <c r="AM415" s="39">
        <f>AM414+AM413</f>
        <v>759</v>
      </c>
      <c r="AN415" s="39">
        <f>AN414+AN413</f>
        <v>674</v>
      </c>
      <c r="AO415" s="39">
        <f>AN415+AM415+AL415+AK415</f>
        <v>2974</v>
      </c>
      <c r="AP415" s="39">
        <f>AP414+AP413</f>
        <v>630</v>
      </c>
      <c r="AQ415" s="39">
        <f>AQ414+AQ413</f>
        <v>677</v>
      </c>
      <c r="AR415" s="39">
        <f>AR414+AR413</f>
        <v>669</v>
      </c>
      <c r="AS415" s="39">
        <f>AS414+AS413</f>
        <v>759</v>
      </c>
      <c r="AT415" s="39">
        <f>AS415+AR415+AQ415+AP415</f>
        <v>2735</v>
      </c>
      <c r="AU415" s="39">
        <f>AU414+AU413</f>
        <v>709</v>
      </c>
      <c r="AV415" s="39">
        <f>AV414+AV413</f>
        <v>731</v>
      </c>
      <c r="AW415" s="39">
        <f>AW414+AW413</f>
        <v>687</v>
      </c>
      <c r="AX415" s="39">
        <f>AX414+AX413</f>
        <v>815</v>
      </c>
      <c r="AY415" s="39">
        <f>AX415+AW415+AV415+AU415</f>
        <v>2942</v>
      </c>
      <c r="AZ415" s="39">
        <f>AZ414+AZ413</f>
        <v>758</v>
      </c>
      <c r="BA415" s="39">
        <f>BA414+BA413</f>
        <v>802</v>
      </c>
      <c r="BB415" s="39">
        <f>BB414+BB413</f>
        <v>825</v>
      </c>
      <c r="BC415" s="39">
        <f>BC414+BC413</f>
        <v>868</v>
      </c>
      <c r="BD415" s="39">
        <f>BC415+BB415+BA415+AZ415</f>
        <v>3253</v>
      </c>
      <c r="BE415" s="39">
        <f>BE413+BE414</f>
        <v>820</v>
      </c>
      <c r="BF415" s="39">
        <f>BF413+BF414</f>
        <v>866</v>
      </c>
      <c r="BG415" s="39">
        <f>BG413+BG414</f>
        <v>815</v>
      </c>
      <c r="BH415" s="39">
        <f>BH413+BH414</f>
        <v>898</v>
      </c>
      <c r="BI415" s="39">
        <f t="shared" ref="BI415:CQ415" si="330">BI414+BI413</f>
        <v>3399</v>
      </c>
      <c r="BJ415" s="39">
        <f t="shared" si="330"/>
        <v>840</v>
      </c>
      <c r="BK415" s="39">
        <f t="shared" si="330"/>
        <v>851</v>
      </c>
      <c r="BL415" s="39">
        <f t="shared" si="330"/>
        <v>799</v>
      </c>
      <c r="BM415" s="39">
        <f t="shared" si="330"/>
        <v>871</v>
      </c>
      <c r="BN415" s="39">
        <f t="shared" si="330"/>
        <v>3361</v>
      </c>
      <c r="BO415" s="39">
        <f t="shared" si="330"/>
        <v>813</v>
      </c>
      <c r="BP415" s="39">
        <f t="shared" si="330"/>
        <v>872</v>
      </c>
      <c r="BQ415" s="39">
        <f t="shared" si="330"/>
        <v>885</v>
      </c>
      <c r="BR415" s="39">
        <f t="shared" si="330"/>
        <v>885</v>
      </c>
      <c r="BS415" s="39">
        <f t="shared" si="330"/>
        <v>3455</v>
      </c>
      <c r="BT415" s="39">
        <f t="shared" si="330"/>
        <v>829</v>
      </c>
      <c r="BU415" s="39">
        <f t="shared" si="330"/>
        <v>840</v>
      </c>
      <c r="BV415" s="39">
        <f t="shared" si="330"/>
        <v>825</v>
      </c>
      <c r="BW415" s="39">
        <f t="shared" si="330"/>
        <v>830</v>
      </c>
      <c r="BX415" s="39">
        <f t="shared" si="330"/>
        <v>3324</v>
      </c>
      <c r="BY415" s="39">
        <f t="shared" si="330"/>
        <v>829</v>
      </c>
      <c r="BZ415" s="39">
        <f t="shared" si="330"/>
        <v>899</v>
      </c>
      <c r="CA415" s="39">
        <f t="shared" si="330"/>
        <v>865</v>
      </c>
      <c r="CB415" s="39">
        <f t="shared" si="330"/>
        <v>884</v>
      </c>
      <c r="CC415" s="39">
        <f t="shared" si="330"/>
        <v>3477</v>
      </c>
      <c r="CD415" s="39">
        <f t="shared" si="330"/>
        <v>939</v>
      </c>
      <c r="CE415" s="39">
        <f t="shared" si="330"/>
        <v>955</v>
      </c>
      <c r="CF415" s="39">
        <f t="shared" si="330"/>
        <v>1000</v>
      </c>
      <c r="CG415" s="39">
        <f t="shared" si="330"/>
        <v>981</v>
      </c>
      <c r="CH415" s="39">
        <f t="shared" si="330"/>
        <v>3875</v>
      </c>
      <c r="CI415" s="39">
        <f t="shared" si="330"/>
        <v>1065</v>
      </c>
      <c r="CJ415" s="39">
        <f t="shared" si="330"/>
        <v>1090</v>
      </c>
      <c r="CK415" s="39">
        <f t="shared" si="330"/>
        <v>1021</v>
      </c>
      <c r="CL415" s="39">
        <f t="shared" si="330"/>
        <v>1036</v>
      </c>
      <c r="CM415" s="39">
        <f t="shared" si="330"/>
        <v>4212</v>
      </c>
      <c r="CN415" s="39">
        <f t="shared" si="330"/>
        <v>1025</v>
      </c>
      <c r="CO415" s="39">
        <f t="shared" si="330"/>
        <v>1124</v>
      </c>
      <c r="CP415" s="39">
        <f t="shared" si="330"/>
        <v>1122</v>
      </c>
      <c r="CQ415" s="39">
        <f t="shared" si="330"/>
        <v>1122</v>
      </c>
      <c r="CR415" s="39">
        <f>CR414+CR413</f>
        <v>4393</v>
      </c>
      <c r="CS415" s="39">
        <f>CS414+CS413</f>
        <v>1214</v>
      </c>
      <c r="CT415" s="39">
        <f>CT414+CT413</f>
        <v>1101</v>
      </c>
      <c r="CU415" s="39">
        <f>CU414+CU413</f>
        <v>1220</v>
      </c>
      <c r="CV415" s="39">
        <f>CV414+CV413</f>
        <v>1168</v>
      </c>
      <c r="CW415" s="74">
        <f>SUM(CS415:CV415)</f>
        <v>4703</v>
      </c>
      <c r="CX415" s="39">
        <f>SUM(CX413:CX414)</f>
        <v>1418</v>
      </c>
      <c r="CY415" s="39">
        <f>SUM(CY413:CY414)</f>
        <v>1471</v>
      </c>
      <c r="CZ415" s="39">
        <f>SUM(CZ413:CZ414)</f>
        <v>1418</v>
      </c>
      <c r="DA415" s="39">
        <f>SUM(DA413:DA414)</f>
        <v>1261</v>
      </c>
      <c r="DB415" s="74">
        <f>SUM(CX415:DA415)</f>
        <v>5568</v>
      </c>
      <c r="DC415" s="74">
        <f>DC414+DC413</f>
        <v>1482</v>
      </c>
      <c r="DD415" s="74">
        <f>DD414+DD413</f>
        <v>1467</v>
      </c>
      <c r="DE415" s="74">
        <f>DE414+DE413</f>
        <v>1371</v>
      </c>
      <c r="DF415" s="74">
        <f>DF414+DF413</f>
        <v>1230</v>
      </c>
      <c r="DG415" s="39">
        <f>SUM(DC415:DF415)</f>
        <v>5550</v>
      </c>
      <c r="DH415" s="39">
        <f>DH414+DH413</f>
        <v>1550.7400000000002</v>
      </c>
      <c r="DI415" s="39">
        <f>DI414+DI413</f>
        <v>1535.2200000000003</v>
      </c>
      <c r="DJ415" s="39">
        <f>DJ414+DJ413</f>
        <v>1435.3400000000001</v>
      </c>
      <c r="DK415" s="39">
        <f>DK414+DK413</f>
        <v>1287.1200000000001</v>
      </c>
      <c r="DL415" s="187">
        <f>SUM(DH415:DK415)</f>
        <v>5808.420000000001</v>
      </c>
      <c r="DM415" s="187">
        <f t="shared" ref="DM415:DP415" si="331">DM414+DM413</f>
        <v>6040.756800000001</v>
      </c>
      <c r="DN415" s="187">
        <f t="shared" si="331"/>
        <v>6282.3870720000014</v>
      </c>
      <c r="DO415" s="187">
        <f t="shared" si="331"/>
        <v>6533.6825548800016</v>
      </c>
      <c r="DP415" s="187">
        <f t="shared" si="331"/>
        <v>6795.029857075202</v>
      </c>
    </row>
    <row r="416" spans="1:120" x14ac:dyDescent="0.2">
      <c r="A416" s="68" t="s">
        <v>54</v>
      </c>
      <c r="G416" s="75"/>
      <c r="H416" s="75"/>
      <c r="I416" s="75"/>
      <c r="J416" s="75"/>
      <c r="K416" s="75"/>
      <c r="L416" s="75" t="e">
        <f t="shared" ref="L416:O418" si="332">L413/G413-1</f>
        <v>#DIV/0!</v>
      </c>
      <c r="M416" s="75" t="e">
        <f t="shared" si="332"/>
        <v>#DIV/0!</v>
      </c>
      <c r="N416" s="75" t="e">
        <f t="shared" si="332"/>
        <v>#DIV/0!</v>
      </c>
      <c r="O416" s="75" t="e">
        <f t="shared" si="332"/>
        <v>#DIV/0!</v>
      </c>
      <c r="P416" s="75"/>
      <c r="Q416" s="75">
        <f t="shared" ref="Q416:CB418" si="333">Q413/L413-1</f>
        <v>-8.8888888888888906E-2</v>
      </c>
      <c r="R416" s="75">
        <f t="shared" si="333"/>
        <v>-0.26326530612244892</v>
      </c>
      <c r="S416" s="75">
        <f t="shared" si="333"/>
        <v>-1.4084507042253502E-2</v>
      </c>
      <c r="T416" s="75">
        <f t="shared" si="333"/>
        <v>-9.6296296296296324E-2</v>
      </c>
      <c r="U416" s="75">
        <f t="shared" si="333"/>
        <v>-0.11085661933119573</v>
      </c>
      <c r="V416" s="75">
        <f t="shared" si="333"/>
        <v>7.3170731707317138E-2</v>
      </c>
      <c r="W416" s="75">
        <f t="shared" si="333"/>
        <v>0.49584487534626032</v>
      </c>
      <c r="X416" s="75">
        <f t="shared" si="333"/>
        <v>0.21428571428571419</v>
      </c>
      <c r="Y416" s="75">
        <f t="shared" si="333"/>
        <v>-0.18032786885245899</v>
      </c>
      <c r="Z416" s="75">
        <f t="shared" si="333"/>
        <v>0.1128284389489953</v>
      </c>
      <c r="AA416" s="75">
        <f t="shared" si="333"/>
        <v>0.29545454545454541</v>
      </c>
      <c r="AB416" s="75">
        <f t="shared" si="333"/>
        <v>0.14814814814814814</v>
      </c>
      <c r="AC416" s="75">
        <f t="shared" si="333"/>
        <v>5.8823529411764719E-2</v>
      </c>
      <c r="AD416" s="75">
        <f t="shared" si="333"/>
        <v>0</v>
      </c>
      <c r="AE416" s="75">
        <f t="shared" si="333"/>
        <v>0.1157407407407407</v>
      </c>
      <c r="AF416" s="75">
        <f t="shared" si="333"/>
        <v>1.7543859649122862E-2</v>
      </c>
      <c r="AG416" s="75">
        <f t="shared" si="333"/>
        <v>-6.4516129032258118E-2</v>
      </c>
      <c r="AH416" s="75">
        <f t="shared" si="333"/>
        <v>-0.125</v>
      </c>
      <c r="AI416" s="75">
        <f t="shared" si="333"/>
        <v>0.98</v>
      </c>
      <c r="AJ416" s="75">
        <f t="shared" si="333"/>
        <v>0.15352697095435675</v>
      </c>
      <c r="AK416" s="75">
        <f t="shared" si="333"/>
        <v>1.2586206896551726</v>
      </c>
      <c r="AL416" s="75">
        <f t="shared" si="333"/>
        <v>1.3793103448275863</v>
      </c>
      <c r="AM416" s="75">
        <f t="shared" si="333"/>
        <v>1.5396825396825395</v>
      </c>
      <c r="AN416" s="75">
        <f t="shared" si="333"/>
        <v>0.36363636363636354</v>
      </c>
      <c r="AO416" s="75">
        <f t="shared" si="333"/>
        <v>1.028776978417266</v>
      </c>
      <c r="AP416" s="75">
        <f t="shared" si="333"/>
        <v>0.11450381679389321</v>
      </c>
      <c r="AQ416" s="75">
        <f t="shared" si="333"/>
        <v>7.2463768115942129E-2</v>
      </c>
      <c r="AR416" s="75">
        <f t="shared" si="333"/>
        <v>-0.10624999999999996</v>
      </c>
      <c r="AS416" s="75">
        <f t="shared" si="333"/>
        <v>0.19259259259259265</v>
      </c>
      <c r="AT416" s="75">
        <f t="shared" si="333"/>
        <v>6.0283687943262443E-2</v>
      </c>
      <c r="AU416" s="75">
        <f t="shared" si="333"/>
        <v>-4.1095890410958957E-2</v>
      </c>
      <c r="AV416" s="75">
        <f t="shared" si="333"/>
        <v>3.3783783783783772E-2</v>
      </c>
      <c r="AW416" s="75">
        <f t="shared" si="333"/>
        <v>7.6923076923076872E-2</v>
      </c>
      <c r="AX416" s="75">
        <f t="shared" si="333"/>
        <v>4.9689440993788914E-2</v>
      </c>
      <c r="AY416" s="75">
        <f t="shared" si="333"/>
        <v>3.0100334448160515E-2</v>
      </c>
      <c r="AZ416" s="75">
        <f t="shared" si="333"/>
        <v>0.17142857142857149</v>
      </c>
      <c r="BA416" s="75">
        <f t="shared" si="333"/>
        <v>5.2287581699346442E-2</v>
      </c>
      <c r="BB416" s="75">
        <f t="shared" si="333"/>
        <v>0.25974025974025983</v>
      </c>
      <c r="BC416" s="75">
        <f t="shared" si="333"/>
        <v>0.13609467455621305</v>
      </c>
      <c r="BD416" s="75">
        <f t="shared" si="333"/>
        <v>0.15422077922077926</v>
      </c>
      <c r="BE416" s="76">
        <f t="shared" si="333"/>
        <v>0.17682926829268286</v>
      </c>
      <c r="BF416" s="76">
        <f t="shared" si="333"/>
        <v>0.47826086956521729</v>
      </c>
      <c r="BG416" s="76">
        <f t="shared" si="333"/>
        <v>8.7628865979381354E-2</v>
      </c>
      <c r="BH416" s="76">
        <f t="shared" si="333"/>
        <v>0.22916666666666674</v>
      </c>
      <c r="BI416" s="90">
        <f t="shared" si="333"/>
        <v>0.23488045007032343</v>
      </c>
      <c r="BJ416" s="76">
        <f t="shared" si="333"/>
        <v>0.19689119170984459</v>
      </c>
      <c r="BK416" s="76">
        <f t="shared" si="333"/>
        <v>-7.9831932773109293E-2</v>
      </c>
      <c r="BL416" s="76">
        <f t="shared" si="333"/>
        <v>-1.4218009478673022E-2</v>
      </c>
      <c r="BM416" s="76">
        <f t="shared" si="333"/>
        <v>-0.16101694915254239</v>
      </c>
      <c r="BN416" s="90">
        <f>BN413/BI413-1</f>
        <v>-2.5056947608200431E-2</v>
      </c>
      <c r="BO416" s="76">
        <f t="shared" si="333"/>
        <v>-0.23376623376623373</v>
      </c>
      <c r="BP416" s="76">
        <f t="shared" si="333"/>
        <v>-0.15525114155251141</v>
      </c>
      <c r="BQ416" s="76">
        <f t="shared" si="333"/>
        <v>3.8461538461538547E-2</v>
      </c>
      <c r="BR416" s="76">
        <f t="shared" si="333"/>
        <v>6.5656565656565746E-2</v>
      </c>
      <c r="BS416" s="75">
        <f>BS413/BN413-1</f>
        <v>-7.8271028037383172E-2</v>
      </c>
      <c r="BT416" s="76">
        <f t="shared" si="333"/>
        <v>0.14689265536723162</v>
      </c>
      <c r="BU416" s="76">
        <f t="shared" si="333"/>
        <v>0.16216216216216206</v>
      </c>
      <c r="BV416" s="76">
        <f t="shared" si="333"/>
        <v>4.629629629629628E-2</v>
      </c>
      <c r="BW416" s="76">
        <f t="shared" si="333"/>
        <v>0.12322274881516582</v>
      </c>
      <c r="BX416" s="75">
        <f>BX413/BS413-1</f>
        <v>0.11660329531051961</v>
      </c>
      <c r="BY416" s="76">
        <f t="shared" si="333"/>
        <v>0.14778325123152714</v>
      </c>
      <c r="BZ416" s="76">
        <f t="shared" si="333"/>
        <v>0.19069767441860463</v>
      </c>
      <c r="CA416" s="76">
        <f t="shared" si="333"/>
        <v>4.8672566371681381E-2</v>
      </c>
      <c r="CB416" s="76">
        <f t="shared" si="333"/>
        <v>0.10970464135021096</v>
      </c>
      <c r="CC416" s="75">
        <f t="shared" ref="BZ416:DE418" si="334">CC413/BX413-1</f>
        <v>0.12258796821793427</v>
      </c>
      <c r="CD416" s="76">
        <f t="shared" si="334"/>
        <v>0.21459227467811148</v>
      </c>
      <c r="CE416" s="76">
        <f t="shared" si="334"/>
        <v>5.46875E-2</v>
      </c>
      <c r="CF416" s="76">
        <f t="shared" si="334"/>
        <v>0.2236286919831223</v>
      </c>
      <c r="CG416" s="76">
        <f t="shared" si="334"/>
        <v>-5.7034220532319435E-2</v>
      </c>
      <c r="CH416" s="75">
        <f>CH413/CC413-1</f>
        <v>0.10313447927199193</v>
      </c>
      <c r="CI416" s="76">
        <f t="shared" si="334"/>
        <v>8.4805653710247286E-2</v>
      </c>
      <c r="CJ416" s="76">
        <f t="shared" si="334"/>
        <v>0.1518518518518519</v>
      </c>
      <c r="CK416" s="76">
        <f t="shared" si="334"/>
        <v>5.5172413793103559E-2</v>
      </c>
      <c r="CL416" s="76">
        <f t="shared" si="334"/>
        <v>0.2661290322580645</v>
      </c>
      <c r="CM416" s="75">
        <f t="shared" si="334"/>
        <v>0.13473877176901916</v>
      </c>
      <c r="CN416" s="75">
        <f t="shared" si="334"/>
        <v>-4.2345276872964188E-2</v>
      </c>
      <c r="CO416" s="75">
        <f t="shared" si="334"/>
        <v>7.7170418006430763E-2</v>
      </c>
      <c r="CP416" s="75">
        <f t="shared" si="334"/>
        <v>0.10130718954248374</v>
      </c>
      <c r="CQ416" s="75">
        <f t="shared" si="334"/>
        <v>8.5987261146496907E-2</v>
      </c>
      <c r="CR416" s="75">
        <f>CR413/CM413-1</f>
        <v>5.5735056542810968E-2</v>
      </c>
      <c r="CS416" s="75">
        <f t="shared" si="334"/>
        <v>0.30612244897959173</v>
      </c>
      <c r="CT416" s="75">
        <f t="shared" si="334"/>
        <v>2.0895522388059806E-2</v>
      </c>
      <c r="CU416" s="75">
        <f t="shared" si="334"/>
        <v>0.18100890207715126</v>
      </c>
      <c r="CV416" s="75">
        <f t="shared" si="334"/>
        <v>5.8651026392961825E-2</v>
      </c>
      <c r="CW416" s="90">
        <f>CW413/CR413-1</f>
        <v>0.13618974751338953</v>
      </c>
      <c r="CX416" s="75">
        <f t="shared" si="334"/>
        <v>0.13802083333333326</v>
      </c>
      <c r="CY416" s="75">
        <f t="shared" si="334"/>
        <v>0.34210526315789469</v>
      </c>
      <c r="CZ416" s="75">
        <f t="shared" si="334"/>
        <v>0.1733668341708543</v>
      </c>
      <c r="DA416" s="75">
        <f t="shared" si="334"/>
        <v>9.4182825484764532E-2</v>
      </c>
      <c r="DB416" s="75">
        <v>0.09</v>
      </c>
      <c r="DC416" s="75">
        <f t="shared" si="334"/>
        <v>8.237986270022879E-2</v>
      </c>
      <c r="DD416" s="75">
        <f t="shared" si="334"/>
        <v>3.9215686274509887E-2</v>
      </c>
      <c r="DE416" s="75">
        <f t="shared" si="334"/>
        <v>1.7130620985010614E-2</v>
      </c>
      <c r="DF416" s="75">
        <v>0.02</v>
      </c>
      <c r="DG416" s="75">
        <v>0.09</v>
      </c>
      <c r="DH416" s="75">
        <v>0.06</v>
      </c>
      <c r="DI416" s="75">
        <v>0.06</v>
      </c>
      <c r="DJ416" s="75">
        <v>0.06</v>
      </c>
      <c r="DK416" s="75">
        <v>0.06</v>
      </c>
      <c r="DL416" s="192">
        <v>0.09</v>
      </c>
      <c r="DM416" s="192">
        <v>0.04</v>
      </c>
      <c r="DN416" s="192">
        <v>0.04</v>
      </c>
      <c r="DO416" s="192">
        <v>0.04</v>
      </c>
      <c r="DP416" s="192">
        <v>0.04</v>
      </c>
    </row>
    <row r="417" spans="1:120" x14ac:dyDescent="0.2">
      <c r="A417" s="68" t="s">
        <v>55</v>
      </c>
      <c r="G417" s="75"/>
      <c r="H417" s="75"/>
      <c r="I417" s="75"/>
      <c r="J417" s="75"/>
      <c r="K417" s="75"/>
      <c r="L417" s="75" t="e">
        <f t="shared" si="332"/>
        <v>#DIV/0!</v>
      </c>
      <c r="M417" s="75" t="e">
        <f t="shared" si="332"/>
        <v>#DIV/0!</v>
      </c>
      <c r="N417" s="75" t="e">
        <f t="shared" si="332"/>
        <v>#DIV/0!</v>
      </c>
      <c r="O417" s="75" t="e">
        <f t="shared" si="332"/>
        <v>#DIV/0!</v>
      </c>
      <c r="P417" s="75"/>
      <c r="Q417" s="75">
        <f t="shared" si="333"/>
        <v>0.32512820512820495</v>
      </c>
      <c r="R417" s="75">
        <f t="shared" si="333"/>
        <v>0.23418241577649956</v>
      </c>
      <c r="S417" s="75">
        <f t="shared" si="333"/>
        <v>0.12268314210061781</v>
      </c>
      <c r="T417" s="75">
        <f t="shared" si="333"/>
        <v>0.15516062884483928</v>
      </c>
      <c r="U417" s="75">
        <f t="shared" si="333"/>
        <v>0.20217209690893889</v>
      </c>
      <c r="V417" s="75">
        <f t="shared" si="333"/>
        <v>0.15325077399380804</v>
      </c>
      <c r="W417" s="75">
        <f t="shared" si="333"/>
        <v>0.15179760319573909</v>
      </c>
      <c r="X417" s="75">
        <f t="shared" si="333"/>
        <v>0.10849056603773577</v>
      </c>
      <c r="Y417" s="75">
        <f t="shared" si="333"/>
        <v>1.7751479289940919E-2</v>
      </c>
      <c r="Z417" s="75">
        <f t="shared" si="333"/>
        <v>0.10319666435024333</v>
      </c>
      <c r="AA417" s="75">
        <f t="shared" si="333"/>
        <v>1.3422818791946289E-2</v>
      </c>
      <c r="AB417" s="75">
        <f t="shared" si="333"/>
        <v>2.3121387283236983E-2</v>
      </c>
      <c r="AC417" s="75">
        <f t="shared" si="333"/>
        <v>0.1063829787234043</v>
      </c>
      <c r="AD417" s="75">
        <f t="shared" si="333"/>
        <v>6.9767441860465018E-2</v>
      </c>
      <c r="AE417" s="75">
        <f t="shared" si="333"/>
        <v>5.1968503937007915E-2</v>
      </c>
      <c r="AF417" s="75">
        <f t="shared" si="333"/>
        <v>0.15231788079470188</v>
      </c>
      <c r="AG417" s="75">
        <f t="shared" si="333"/>
        <v>0.16384180790960445</v>
      </c>
      <c r="AH417" s="75">
        <f t="shared" si="333"/>
        <v>0.1858974358974359</v>
      </c>
      <c r="AI417" s="75">
        <f t="shared" si="333"/>
        <v>1.2173913043478262</v>
      </c>
      <c r="AJ417" s="75">
        <f t="shared" si="333"/>
        <v>0.45658682634730541</v>
      </c>
      <c r="AK417" s="75">
        <f t="shared" si="333"/>
        <v>2.4022988505747125</v>
      </c>
      <c r="AL417" s="75">
        <f t="shared" si="333"/>
        <v>2.3009708737864076</v>
      </c>
      <c r="AM417" s="75">
        <f t="shared" si="333"/>
        <v>2.2378378378378376</v>
      </c>
      <c r="AN417" s="75">
        <f t="shared" si="333"/>
        <v>0.32107843137254899</v>
      </c>
      <c r="AO417" s="75">
        <f t="shared" si="333"/>
        <v>1.4768756423432681</v>
      </c>
      <c r="AP417" s="75">
        <f t="shared" si="333"/>
        <v>-0.18243243243243246</v>
      </c>
      <c r="AQ417" s="75">
        <f t="shared" si="333"/>
        <v>-0.22205882352941175</v>
      </c>
      <c r="AR417" s="75">
        <f t="shared" si="333"/>
        <v>-0.12186978297161932</v>
      </c>
      <c r="AS417" s="75">
        <f t="shared" si="333"/>
        <v>0.10946196660482377</v>
      </c>
      <c r="AT417" s="75">
        <f t="shared" si="333"/>
        <v>-0.11327800829875523</v>
      </c>
      <c r="AU417" s="75">
        <f t="shared" si="333"/>
        <v>0.17561983471074383</v>
      </c>
      <c r="AV417" s="75">
        <f t="shared" si="333"/>
        <v>9.2627599243856329E-2</v>
      </c>
      <c r="AW417" s="75">
        <f t="shared" si="333"/>
        <v>1.3307984790874583E-2</v>
      </c>
      <c r="AX417" s="75">
        <f t="shared" si="333"/>
        <v>8.026755852842804E-2</v>
      </c>
      <c r="AY417" s="75">
        <f t="shared" si="333"/>
        <v>8.8441740758071985E-2</v>
      </c>
      <c r="AZ417" s="75">
        <f t="shared" si="333"/>
        <v>4.393673110720564E-2</v>
      </c>
      <c r="BA417" s="75">
        <f t="shared" si="333"/>
        <v>0.10899653979238755</v>
      </c>
      <c r="BB417" s="75">
        <f t="shared" si="333"/>
        <v>0.18386491557223272</v>
      </c>
      <c r="BC417" s="75">
        <f t="shared" si="333"/>
        <v>4.6439628482972228E-2</v>
      </c>
      <c r="BD417" s="75">
        <f t="shared" si="333"/>
        <v>9.2863284608770469E-2</v>
      </c>
      <c r="BE417" s="76">
        <f t="shared" si="333"/>
        <v>5.555555555555558E-2</v>
      </c>
      <c r="BF417" s="76">
        <f t="shared" si="333"/>
        <v>-2.0280811232449292E-2</v>
      </c>
      <c r="BG417" s="76">
        <f t="shared" si="333"/>
        <v>-4.2789223454833603E-2</v>
      </c>
      <c r="BH417" s="76">
        <f t="shared" si="333"/>
        <v>-2.0710059171597628E-2</v>
      </c>
      <c r="BI417" s="90">
        <f t="shared" si="333"/>
        <v>-8.2612116443745442E-3</v>
      </c>
      <c r="BJ417" s="76">
        <f t="shared" si="333"/>
        <v>-2.8708133971291905E-2</v>
      </c>
      <c r="BK417" s="76">
        <f t="shared" si="333"/>
        <v>6.3694267515923553E-3</v>
      </c>
      <c r="BL417" s="76">
        <f t="shared" si="333"/>
        <v>-2.1523178807947074E-2</v>
      </c>
      <c r="BM417" s="76">
        <f t="shared" si="333"/>
        <v>1.6616314199395799E-2</v>
      </c>
      <c r="BN417" s="90">
        <f>BN414/BI414-1</f>
        <v>-6.3466878222927514E-3</v>
      </c>
      <c r="BO417" s="76">
        <f t="shared" si="333"/>
        <v>4.4334975369458185E-2</v>
      </c>
      <c r="BP417" s="76">
        <f t="shared" si="333"/>
        <v>8.7025316455696222E-2</v>
      </c>
      <c r="BQ417" s="76">
        <f t="shared" si="333"/>
        <v>0.13197969543147203</v>
      </c>
      <c r="BR417" s="76">
        <f t="shared" si="333"/>
        <v>1.4858841010401136E-3</v>
      </c>
      <c r="BS417" s="75">
        <f>BS414/BN414-1</f>
        <v>6.4271457085828265E-2</v>
      </c>
      <c r="BT417" s="76">
        <f t="shared" si="333"/>
        <v>-1.5723270440251569E-2</v>
      </c>
      <c r="BU417" s="76">
        <f t="shared" si="333"/>
        <v>-9.0247452692867491E-2</v>
      </c>
      <c r="BV417" s="76">
        <f t="shared" si="333"/>
        <v>-0.10463378176382665</v>
      </c>
      <c r="BW417" s="76">
        <f t="shared" si="333"/>
        <v>-0.12017804154302669</v>
      </c>
      <c r="BX417" s="75">
        <f>BX414/BS414-1</f>
        <v>-8.3645911477869483E-2</v>
      </c>
      <c r="BY417" s="76">
        <f t="shared" si="333"/>
        <v>-4.7923322683706027E-2</v>
      </c>
      <c r="BZ417" s="76">
        <f t="shared" si="334"/>
        <v>2.8799999999999937E-2</v>
      </c>
      <c r="CA417" s="76">
        <f t="shared" si="334"/>
        <v>4.8414023372287174E-2</v>
      </c>
      <c r="CB417" s="76">
        <f t="shared" si="334"/>
        <v>4.7217537942664478E-2</v>
      </c>
      <c r="CC417" s="75">
        <f t="shared" si="334"/>
        <v>1.841997544003271E-2</v>
      </c>
      <c r="CD417" s="76">
        <f t="shared" si="334"/>
        <v>0.10067114093959728</v>
      </c>
      <c r="CE417" s="76">
        <f t="shared" si="334"/>
        <v>6.5318818040435378E-2</v>
      </c>
      <c r="CF417" s="76">
        <f t="shared" si="334"/>
        <v>0.13057324840764339</v>
      </c>
      <c r="CG417" s="76">
        <f t="shared" si="334"/>
        <v>0.18035426731078896</v>
      </c>
      <c r="CH417" s="75">
        <f>CH414/CC414-1</f>
        <v>0.11897106109324751</v>
      </c>
      <c r="CI417" s="76">
        <f t="shared" si="334"/>
        <v>0.15548780487804881</v>
      </c>
      <c r="CJ417" s="76">
        <f t="shared" si="334"/>
        <v>0.13722627737226278</v>
      </c>
      <c r="CK417" s="76">
        <f t="shared" si="334"/>
        <v>7.0422535211267512E-3</v>
      </c>
      <c r="CL417" s="76">
        <f t="shared" si="334"/>
        <v>-1.5006821282401051E-2</v>
      </c>
      <c r="CM417" s="75">
        <f t="shared" si="334"/>
        <v>6.8247126436781658E-2</v>
      </c>
      <c r="CN417" s="75">
        <f t="shared" si="334"/>
        <v>-3.5620052770448551E-2</v>
      </c>
      <c r="CO417" s="75">
        <f t="shared" si="334"/>
        <v>1.2836970474968012E-2</v>
      </c>
      <c r="CP417" s="75">
        <f t="shared" si="334"/>
        <v>9.7902097902097918E-2</v>
      </c>
      <c r="CQ417" s="75">
        <f t="shared" si="334"/>
        <v>8.1717451523545703E-2</v>
      </c>
      <c r="CR417" s="75">
        <f>CR414/CM414-1</f>
        <v>3.7659717552118277E-2</v>
      </c>
      <c r="CS417" s="75">
        <f t="shared" si="334"/>
        <v>0.13543091655266748</v>
      </c>
      <c r="CT417" s="75">
        <f t="shared" si="334"/>
        <v>-3.802281368821292E-2</v>
      </c>
      <c r="CU417" s="75">
        <f t="shared" si="334"/>
        <v>4.7133757961783429E-2</v>
      </c>
      <c r="CV417" s="75">
        <f t="shared" si="334"/>
        <v>3.3290653008962945E-2</v>
      </c>
      <c r="CW417" s="90">
        <f>CW414/CR414-1</f>
        <v>4.2773817239144529E-2</v>
      </c>
      <c r="CX417" s="75">
        <f t="shared" si="334"/>
        <v>0.18192771084337345</v>
      </c>
      <c r="CY417" s="75">
        <f t="shared" si="334"/>
        <v>0.33333333333333326</v>
      </c>
      <c r="CZ417" s="75">
        <f t="shared" si="334"/>
        <v>0.15693430656934315</v>
      </c>
      <c r="DA417" s="75">
        <f t="shared" si="334"/>
        <v>7.3110285006195763E-2</v>
      </c>
      <c r="DB417" s="75">
        <v>0.06</v>
      </c>
      <c r="DC417" s="75">
        <f t="shared" si="334"/>
        <v>2.854230377166167E-2</v>
      </c>
      <c r="DD417" s="75">
        <f t="shared" si="334"/>
        <v>-2.1739130434782594E-2</v>
      </c>
      <c r="DE417" s="75">
        <f t="shared" si="334"/>
        <v>-5.7833859095688722E-2</v>
      </c>
      <c r="DF417" s="75">
        <v>-0.05</v>
      </c>
      <c r="DG417" s="75">
        <v>0.06</v>
      </c>
      <c r="DH417" s="75">
        <v>0.04</v>
      </c>
      <c r="DI417" s="75">
        <v>0.04</v>
      </c>
      <c r="DJ417" s="75">
        <v>0.04</v>
      </c>
      <c r="DK417" s="75">
        <v>0.04</v>
      </c>
      <c r="DL417" s="192">
        <v>0.06</v>
      </c>
      <c r="DM417" s="192">
        <v>0.04</v>
      </c>
      <c r="DN417" s="192">
        <v>0.04</v>
      </c>
      <c r="DO417" s="192">
        <v>0.04</v>
      </c>
      <c r="DP417" s="192">
        <v>0.04</v>
      </c>
    </row>
    <row r="418" spans="1:120" x14ac:dyDescent="0.2">
      <c r="A418" s="78" t="s">
        <v>56</v>
      </c>
      <c r="F418" s="98"/>
      <c r="G418" s="83"/>
      <c r="H418" s="83"/>
      <c r="I418" s="83"/>
      <c r="J418" s="83"/>
      <c r="K418" s="83"/>
      <c r="L418" s="83" t="e">
        <f t="shared" si="332"/>
        <v>#DIV/0!</v>
      </c>
      <c r="M418" s="83" t="e">
        <f t="shared" si="332"/>
        <v>#DIV/0!</v>
      </c>
      <c r="N418" s="83" t="e">
        <f t="shared" si="332"/>
        <v>#DIV/0!</v>
      </c>
      <c r="O418" s="83" t="e">
        <f t="shared" si="332"/>
        <v>#DIV/0!</v>
      </c>
      <c r="P418" s="83"/>
      <c r="Q418" s="83">
        <f t="shared" si="333"/>
        <v>0.19438596491228055</v>
      </c>
      <c r="R418" s="83">
        <f t="shared" si="333"/>
        <v>9.1388400702987704E-2</v>
      </c>
      <c r="S418" s="83">
        <f t="shared" si="333"/>
        <v>7.7013521457965917E-2</v>
      </c>
      <c r="T418" s="83">
        <f t="shared" si="333"/>
        <v>7.5771749298409574E-2</v>
      </c>
      <c r="U418" s="83">
        <f t="shared" si="333"/>
        <v>0.10414574666475418</v>
      </c>
      <c r="V418" s="83">
        <f t="shared" si="333"/>
        <v>0.13396004700352537</v>
      </c>
      <c r="W418" s="83">
        <f t="shared" si="333"/>
        <v>0.21846484165324753</v>
      </c>
      <c r="X418" s="83">
        <f t="shared" si="333"/>
        <v>0.14082969432314418</v>
      </c>
      <c r="Y418" s="83">
        <f t="shared" si="333"/>
        <v>-3.4782608695652195E-2</v>
      </c>
      <c r="Z418" s="83">
        <f t="shared" si="333"/>
        <v>0.10562556840327386</v>
      </c>
      <c r="AA418" s="83">
        <f t="shared" si="333"/>
        <v>7.7720207253886064E-2</v>
      </c>
      <c r="AB418" s="83">
        <f t="shared" si="333"/>
        <v>5.2863436123347984E-2</v>
      </c>
      <c r="AC418" s="83">
        <f t="shared" si="333"/>
        <v>9.0909090909090828E-2</v>
      </c>
      <c r="AD418" s="83">
        <f t="shared" si="333"/>
        <v>5.4054054054053946E-2</v>
      </c>
      <c r="AE418" s="83">
        <f t="shared" si="333"/>
        <v>6.8155111633372512E-2</v>
      </c>
      <c r="AF418" s="83">
        <f t="shared" si="333"/>
        <v>0.11538461538461542</v>
      </c>
      <c r="AG418" s="83">
        <f t="shared" si="333"/>
        <v>0.10460251046025104</v>
      </c>
      <c r="AH418" s="83">
        <f t="shared" si="333"/>
        <v>8.7719298245614086E-2</v>
      </c>
      <c r="AI418" s="83">
        <f t="shared" si="333"/>
        <v>1.1666666666666665</v>
      </c>
      <c r="AJ418" s="83">
        <f t="shared" si="333"/>
        <v>0.37623762376237613</v>
      </c>
      <c r="AK418" s="83">
        <f t="shared" si="333"/>
        <v>2.1163793103448274</v>
      </c>
      <c r="AL418" s="83">
        <f t="shared" si="333"/>
        <v>2.0984848484848486</v>
      </c>
      <c r="AM418" s="83">
        <f t="shared" si="333"/>
        <v>2.060483870967742</v>
      </c>
      <c r="AN418" s="83">
        <f t="shared" si="333"/>
        <v>0.32938856015779083</v>
      </c>
      <c r="AO418" s="83">
        <f t="shared" si="333"/>
        <v>1.3772981614708235</v>
      </c>
      <c r="AP418" s="83">
        <f t="shared" si="333"/>
        <v>-0.12863070539419086</v>
      </c>
      <c r="AQ418" s="83">
        <f t="shared" si="333"/>
        <v>-0.17237163814180934</v>
      </c>
      <c r="AR418" s="83">
        <f t="shared" si="333"/>
        <v>-0.11857707509881421</v>
      </c>
      <c r="AS418" s="83">
        <f t="shared" si="333"/>
        <v>0.12611275964391688</v>
      </c>
      <c r="AT418" s="83">
        <f t="shared" si="333"/>
        <v>-8.0363147276395375E-2</v>
      </c>
      <c r="AU418" s="83">
        <f t="shared" si="333"/>
        <v>0.1253968253968254</v>
      </c>
      <c r="AV418" s="83">
        <f t="shared" si="333"/>
        <v>7.9763663220088654E-2</v>
      </c>
      <c r="AW418" s="83">
        <f t="shared" si="333"/>
        <v>2.6905829596412634E-2</v>
      </c>
      <c r="AX418" s="83">
        <f t="shared" si="333"/>
        <v>7.3781291172595465E-2</v>
      </c>
      <c r="AY418" s="83">
        <f t="shared" si="333"/>
        <v>7.5685557586837371E-2</v>
      </c>
      <c r="AZ418" s="83">
        <f t="shared" si="333"/>
        <v>6.9111424541607791E-2</v>
      </c>
      <c r="BA418" s="83">
        <f t="shared" si="333"/>
        <v>9.712722298221621E-2</v>
      </c>
      <c r="BB418" s="83">
        <f t="shared" si="333"/>
        <v>0.20087336244541487</v>
      </c>
      <c r="BC418" s="83">
        <f t="shared" si="333"/>
        <v>6.5030674846625836E-2</v>
      </c>
      <c r="BD418" s="83">
        <f t="shared" si="333"/>
        <v>0.10571040108769547</v>
      </c>
      <c r="BE418" s="80">
        <f t="shared" si="333"/>
        <v>8.1794195250659563E-2</v>
      </c>
      <c r="BF418" s="80">
        <f t="shared" si="333"/>
        <v>7.9800498753117122E-2</v>
      </c>
      <c r="BG418" s="80">
        <f>BG415/BB415-1</f>
        <v>-1.2121212121212088E-2</v>
      </c>
      <c r="BH418" s="80">
        <f>BH415/BC415-1</f>
        <v>3.4562211981566726E-2</v>
      </c>
      <c r="BI418" s="80">
        <f t="shared" si="333"/>
        <v>4.4881647709806405E-2</v>
      </c>
      <c r="BJ418" s="80">
        <f t="shared" si="333"/>
        <v>2.4390243902439046E-2</v>
      </c>
      <c r="BK418" s="80">
        <f>BK415/BF415-1</f>
        <v>-1.7321016166281789E-2</v>
      </c>
      <c r="BL418" s="80">
        <f>BL415/BG415-1</f>
        <v>-1.9631901840490795E-2</v>
      </c>
      <c r="BM418" s="80">
        <f>BM415/BH415-1</f>
        <v>-3.0066815144766168E-2</v>
      </c>
      <c r="BN418" s="80">
        <f>BN415/BI415-1</f>
        <v>-1.1179758752574265E-2</v>
      </c>
      <c r="BO418" s="80">
        <f>BO415/BJ415-1</f>
        <v>-3.214285714285714E-2</v>
      </c>
      <c r="BP418" s="80">
        <f>BP415/BK415-1</f>
        <v>2.4676850763807323E-2</v>
      </c>
      <c r="BQ418" s="80">
        <f>BQ415/BL415-1</f>
        <v>0.10763454317897381</v>
      </c>
      <c r="BR418" s="80">
        <f>BR415/BM415-1</f>
        <v>1.6073478760045834E-2</v>
      </c>
      <c r="BS418" s="83">
        <f>BS415/BN415-1</f>
        <v>2.7967866706337441E-2</v>
      </c>
      <c r="BT418" s="80">
        <f>BT415/BO415-1</f>
        <v>1.9680196801967975E-2</v>
      </c>
      <c r="BU418" s="80">
        <f>BU415/BP415-1</f>
        <v>-3.669724770642202E-2</v>
      </c>
      <c r="BV418" s="80">
        <f>BV415/BQ415-1</f>
        <v>-6.7796610169491567E-2</v>
      </c>
      <c r="BW418" s="80">
        <f>BW415/BR415-1</f>
        <v>-6.2146892655367214E-2</v>
      </c>
      <c r="BX418" s="83">
        <f>BX415/BS415-1</f>
        <v>-3.7916063675832112E-2</v>
      </c>
      <c r="BY418" s="83">
        <f>BY415/BT415-1</f>
        <v>0</v>
      </c>
      <c r="BZ418" s="83">
        <f t="shared" si="334"/>
        <v>7.0238095238095211E-2</v>
      </c>
      <c r="CA418" s="83">
        <f t="shared" si="334"/>
        <v>4.8484848484848575E-2</v>
      </c>
      <c r="CB418" s="83">
        <f t="shared" si="334"/>
        <v>6.5060240963855431E-2</v>
      </c>
      <c r="CC418" s="83">
        <f t="shared" si="334"/>
        <v>4.6028880866425981E-2</v>
      </c>
      <c r="CD418" s="83">
        <f t="shared" si="334"/>
        <v>0.13268998793727382</v>
      </c>
      <c r="CE418" s="83">
        <f t="shared" si="334"/>
        <v>6.2291434927697509E-2</v>
      </c>
      <c r="CF418" s="83">
        <f t="shared" si="334"/>
        <v>0.1560693641618498</v>
      </c>
      <c r="CG418" s="83">
        <f>CG415/CB415-1</f>
        <v>0.10972850678733037</v>
      </c>
      <c r="CH418" s="83">
        <f>CH415/CC415-1</f>
        <v>0.11446649410411269</v>
      </c>
      <c r="CI418" s="83">
        <f>CI415/CD415-1</f>
        <v>0.13418530351437696</v>
      </c>
      <c r="CJ418" s="83">
        <f>CJ415/CE415-1</f>
        <v>0.1413612565445026</v>
      </c>
      <c r="CK418" s="83">
        <f>CK415/CF415-1</f>
        <v>2.0999999999999908E-2</v>
      </c>
      <c r="CL418" s="83">
        <f>CL415/CG415-1</f>
        <v>5.6065239551478019E-2</v>
      </c>
      <c r="CM418" s="83">
        <f t="shared" si="334"/>
        <v>8.6967741935483955E-2</v>
      </c>
      <c r="CN418" s="83">
        <f t="shared" si="334"/>
        <v>-3.7558685446009377E-2</v>
      </c>
      <c r="CO418" s="83">
        <f t="shared" si="334"/>
        <v>3.1192660550458662E-2</v>
      </c>
      <c r="CP418" s="83">
        <f t="shared" si="334"/>
        <v>9.8922624877570975E-2</v>
      </c>
      <c r="CQ418" s="83">
        <f t="shared" si="334"/>
        <v>8.3011583011582957E-2</v>
      </c>
      <c r="CR418" s="83">
        <f>CR415/CM415-1</f>
        <v>4.2972459639126326E-2</v>
      </c>
      <c r="CS418" s="83">
        <f t="shared" si="334"/>
        <v>0.18439024390243897</v>
      </c>
      <c r="CT418" s="83">
        <f t="shared" si="334"/>
        <v>-2.0462633451957313E-2</v>
      </c>
      <c r="CU418" s="83">
        <f t="shared" si="334"/>
        <v>8.7344028520499162E-2</v>
      </c>
      <c r="CV418" s="83">
        <f t="shared" si="334"/>
        <v>4.099821746880572E-2</v>
      </c>
      <c r="CW418" s="83">
        <f>CW415/CR415-1</f>
        <v>7.0566810835420046E-2</v>
      </c>
      <c r="CX418" s="83">
        <f t="shared" si="334"/>
        <v>0.16803953871499178</v>
      </c>
      <c r="CY418" s="83">
        <f t="shared" si="334"/>
        <v>0.33605812897366039</v>
      </c>
      <c r="CZ418" s="83">
        <f t="shared" si="334"/>
        <v>0.1622950819672131</v>
      </c>
      <c r="DA418" s="83">
        <f t="shared" si="334"/>
        <v>7.9623287671232834E-2</v>
      </c>
      <c r="DB418" s="83">
        <f t="shared" si="334"/>
        <v>0.18392515415692112</v>
      </c>
      <c r="DC418" s="83">
        <f t="shared" si="334"/>
        <v>4.5133991537376517E-2</v>
      </c>
      <c r="DD418" s="83">
        <f t="shared" si="334"/>
        <v>-2.7192386131883461E-3</v>
      </c>
      <c r="DE418" s="83">
        <f t="shared" si="334"/>
        <v>-3.3145275035260879E-2</v>
      </c>
      <c r="DF418" s="83">
        <f t="shared" ref="DF418:DL418" si="335">DF415/DA415-1</f>
        <v>-2.4583663758921515E-2</v>
      </c>
      <c r="DG418" s="83">
        <f t="shared" si="335"/>
        <v>-3.2327586206896131E-3</v>
      </c>
      <c r="DH418" s="83">
        <f t="shared" si="335"/>
        <v>4.6383265856950295E-2</v>
      </c>
      <c r="DI418" s="83">
        <f t="shared" si="335"/>
        <v>4.6503067484662708E-2</v>
      </c>
      <c r="DJ418" s="83">
        <f t="shared" si="335"/>
        <v>4.6929248723559525E-2</v>
      </c>
      <c r="DK418" s="83">
        <f t="shared" si="335"/>
        <v>4.6439024390243944E-2</v>
      </c>
      <c r="DL418" s="193">
        <f t="shared" si="335"/>
        <v>4.6562162162162357E-2</v>
      </c>
      <c r="DM418" s="193">
        <f t="shared" ref="DM418:DP418" si="336">DM415/DL415-1</f>
        <v>4.0000000000000036E-2</v>
      </c>
      <c r="DN418" s="193">
        <f t="shared" si="336"/>
        <v>4.0000000000000036E-2</v>
      </c>
      <c r="DO418" s="193">
        <f t="shared" si="336"/>
        <v>4.0000000000000036E-2</v>
      </c>
      <c r="DP418" s="193">
        <f t="shared" si="336"/>
        <v>4.0000000000000036E-2</v>
      </c>
    </row>
    <row r="419" spans="1:120" hidden="1" x14ac:dyDescent="0.2">
      <c r="A419" s="36" t="s">
        <v>269</v>
      </c>
      <c r="G419" s="36"/>
      <c r="H419" s="36"/>
      <c r="I419" s="36"/>
      <c r="J419" s="36"/>
      <c r="K419" s="36"/>
      <c r="L419" s="36">
        <v>125</v>
      </c>
      <c r="M419" s="36">
        <v>87.8</v>
      </c>
      <c r="N419" s="36">
        <v>106.8</v>
      </c>
      <c r="O419" s="36">
        <v>95.8</v>
      </c>
      <c r="P419" s="36">
        <f>O419+N419+M419+L419</f>
        <v>415.4</v>
      </c>
      <c r="Q419" s="36">
        <v>117</v>
      </c>
      <c r="R419" s="36">
        <v>117</v>
      </c>
      <c r="S419" s="36">
        <v>110</v>
      </c>
      <c r="T419" s="36">
        <v>75</v>
      </c>
      <c r="U419" s="36">
        <f>T419+S419+R419+Q419</f>
        <v>419</v>
      </c>
      <c r="V419" s="36">
        <v>116</v>
      </c>
      <c r="W419" s="36">
        <v>133</v>
      </c>
      <c r="X419" s="36">
        <v>92</v>
      </c>
      <c r="Y419" s="36">
        <v>54</v>
      </c>
      <c r="Z419" s="36">
        <f>Y419+X419+W419+V419</f>
        <v>395</v>
      </c>
      <c r="AA419" s="36">
        <v>111</v>
      </c>
      <c r="AB419" s="36">
        <v>111</v>
      </c>
      <c r="AC419" s="36">
        <v>95</v>
      </c>
      <c r="AD419" s="36">
        <v>72</v>
      </c>
      <c r="AE419" s="36">
        <f>AD419+AC419+AB419+AA419</f>
        <v>389</v>
      </c>
      <c r="AF419" s="36">
        <v>127</v>
      </c>
      <c r="AG419" s="36">
        <v>137</v>
      </c>
      <c r="AH419" s="36">
        <v>104</v>
      </c>
      <c r="AI419" s="36">
        <v>94</v>
      </c>
      <c r="AJ419" s="36">
        <f>AI419+AH419+AG419+AF419</f>
        <v>462</v>
      </c>
      <c r="AK419" s="36">
        <v>139</v>
      </c>
      <c r="AL419" s="36">
        <v>120</v>
      </c>
      <c r="AM419" s="36">
        <v>92</v>
      </c>
      <c r="AN419" s="36">
        <v>55</v>
      </c>
      <c r="AO419" s="36">
        <f>AN419+AM419+AL419+AK419</f>
        <v>406</v>
      </c>
      <c r="AP419" s="36">
        <v>149</v>
      </c>
      <c r="AQ419" s="36">
        <v>108</v>
      </c>
      <c r="AR419" s="36">
        <v>85</v>
      </c>
      <c r="AS419" s="36">
        <v>62</v>
      </c>
      <c r="AT419" s="36">
        <f>AS419+AR419+AQ419+AP419</f>
        <v>404</v>
      </c>
      <c r="AU419" s="36">
        <v>102</v>
      </c>
      <c r="AV419" s="36">
        <v>124</v>
      </c>
      <c r="AW419" s="36">
        <v>87</v>
      </c>
      <c r="AX419" s="36">
        <v>65</v>
      </c>
      <c r="AY419" s="36">
        <f>AX419+AW419+AV419+AU419</f>
        <v>378</v>
      </c>
      <c r="AZ419" s="36">
        <v>132</v>
      </c>
      <c r="BA419" s="36">
        <v>93</v>
      </c>
      <c r="BB419" s="36">
        <v>96</v>
      </c>
      <c r="BC419" s="36">
        <v>59</v>
      </c>
      <c r="BD419" s="36">
        <f>BC419+BB419+BA419+AZ419</f>
        <v>380</v>
      </c>
      <c r="BE419" s="36">
        <v>137</v>
      </c>
      <c r="BF419" s="36">
        <v>101</v>
      </c>
      <c r="BG419" s="36">
        <v>81</v>
      </c>
      <c r="BH419" s="36">
        <v>68</v>
      </c>
      <c r="BI419" s="36">
        <f>SUM(BE419:BH419)</f>
        <v>387</v>
      </c>
      <c r="BJ419" s="36">
        <v>146</v>
      </c>
      <c r="BK419" s="36">
        <v>108</v>
      </c>
      <c r="BL419" s="36">
        <v>90</v>
      </c>
      <c r="BM419" s="36">
        <v>66</v>
      </c>
      <c r="BN419" s="36">
        <f>SUM(BJ419:BM419)</f>
        <v>410</v>
      </c>
      <c r="BO419" s="36">
        <v>139</v>
      </c>
      <c r="BP419" s="36">
        <v>110</v>
      </c>
      <c r="BQ419" s="36">
        <v>75</v>
      </c>
      <c r="BR419" s="36">
        <v>0</v>
      </c>
      <c r="BS419" s="36">
        <f>SUM(BO419:BR419)</f>
        <v>324</v>
      </c>
      <c r="BT419" s="36"/>
      <c r="BU419" s="36"/>
      <c r="BV419" s="36"/>
      <c r="BW419" s="36"/>
      <c r="BX419" s="36">
        <f>SUM(BT419:BW419)</f>
        <v>0</v>
      </c>
      <c r="BY419" s="36"/>
      <c r="BZ419" s="36"/>
      <c r="CA419" s="36"/>
      <c r="CB419" s="36"/>
      <c r="CC419" s="36">
        <f>SUM(BY419:CB419)</f>
        <v>0</v>
      </c>
      <c r="CD419" s="36"/>
      <c r="CE419" s="36"/>
      <c r="CF419" s="36"/>
      <c r="CG419" s="36"/>
      <c r="CH419" s="36">
        <f>SUM(CD419:CG419)</f>
        <v>0</v>
      </c>
      <c r="CI419" s="36"/>
      <c r="CJ419" s="36"/>
      <c r="CK419" s="36"/>
      <c r="CL419" s="36"/>
      <c r="CM419" s="36">
        <f>SUM(CI419:CL419)</f>
        <v>0</v>
      </c>
      <c r="CN419" s="36"/>
      <c r="CO419" s="36"/>
      <c r="CP419" s="36"/>
      <c r="CQ419" s="36"/>
      <c r="CR419" s="36">
        <f>SUM(CN419:CQ419)</f>
        <v>0</v>
      </c>
      <c r="CS419" s="36"/>
      <c r="CT419" s="36"/>
      <c r="CU419" s="36"/>
      <c r="CV419" s="36"/>
      <c r="CW419" s="36"/>
      <c r="CX419" s="36"/>
      <c r="CY419" s="36"/>
      <c r="CZ419" s="36"/>
      <c r="DA419" s="36"/>
      <c r="DB419" s="36"/>
      <c r="DC419" s="36"/>
      <c r="DD419" s="36"/>
      <c r="DE419" s="36"/>
      <c r="DF419" s="36"/>
      <c r="DG419" s="36"/>
      <c r="DH419" s="36"/>
      <c r="DI419" s="36"/>
      <c r="DJ419" s="36"/>
      <c r="DK419" s="36"/>
      <c r="DL419" s="183"/>
      <c r="DM419" s="183"/>
      <c r="DN419" s="183"/>
      <c r="DO419" s="183"/>
      <c r="DP419" s="183"/>
    </row>
    <row r="420" spans="1:120" hidden="1" x14ac:dyDescent="0.2">
      <c r="A420" s="36" t="s">
        <v>270</v>
      </c>
      <c r="G420" s="36"/>
      <c r="H420" s="36"/>
      <c r="I420" s="36"/>
      <c r="J420" s="36"/>
      <c r="K420" s="36"/>
      <c r="L420" s="36">
        <v>0</v>
      </c>
      <c r="M420" s="36">
        <v>0</v>
      </c>
      <c r="N420" s="36">
        <v>0</v>
      </c>
      <c r="O420" s="36">
        <v>0</v>
      </c>
      <c r="P420" s="36">
        <f>O420+N420+M420+L420</f>
        <v>0</v>
      </c>
      <c r="Q420" s="36">
        <f>L420*(1+Q423)</f>
        <v>0</v>
      </c>
      <c r="R420" s="36">
        <f>M420*(1+R423)</f>
        <v>0</v>
      </c>
      <c r="S420" s="36">
        <f>N420*(1+S423)</f>
        <v>0</v>
      </c>
      <c r="T420" s="36">
        <f>O420*(1+T423)</f>
        <v>0</v>
      </c>
      <c r="U420" s="36">
        <f>T420+S420+R420+Q420</f>
        <v>0</v>
      </c>
      <c r="V420" s="36">
        <f>Q420*(1+V423)</f>
        <v>0</v>
      </c>
      <c r="W420" s="36">
        <f>R420*(1+W423)</f>
        <v>0</v>
      </c>
      <c r="X420" s="36">
        <f>S420*(1+X423)</f>
        <v>0</v>
      </c>
      <c r="Y420" s="36">
        <f>T420*(1+Y423)</f>
        <v>0</v>
      </c>
      <c r="Z420" s="36">
        <f>Y420+X420+W420+V420</f>
        <v>0</v>
      </c>
      <c r="AA420" s="36"/>
      <c r="AB420" s="36"/>
      <c r="AC420" s="36">
        <f>X420*(1+AC423)</f>
        <v>0</v>
      </c>
      <c r="AD420" s="36">
        <f>Y420*(1+AD423)</f>
        <v>0</v>
      </c>
      <c r="AE420" s="36">
        <f>AD420+AC420+AB420+AA420</f>
        <v>0</v>
      </c>
      <c r="AF420" s="36">
        <f>AA420*(1+AF423)</f>
        <v>0</v>
      </c>
      <c r="AG420" s="36">
        <f>AB420*(1+AG423)</f>
        <v>0</v>
      </c>
      <c r="AH420" s="36">
        <f>AC420*(1+AH423)</f>
        <v>0</v>
      </c>
      <c r="AI420" s="36">
        <f>AD420*(1+AI423)</f>
        <v>0</v>
      </c>
      <c r="AJ420" s="36">
        <f>AI420+AH420+AG420+AF420</f>
        <v>0</v>
      </c>
      <c r="AK420" s="36">
        <f>AF420*(1+AK423)</f>
        <v>0</v>
      </c>
      <c r="AL420" s="36">
        <f>AG420*(1+AL423)</f>
        <v>0</v>
      </c>
      <c r="AM420" s="36">
        <f>AH420*(1+AM423)</f>
        <v>0</v>
      </c>
      <c r="AN420" s="36">
        <f>AI420*(1+AN423)</f>
        <v>0</v>
      </c>
      <c r="AO420" s="36">
        <f>AN420+AM420+AL420+AK420</f>
        <v>0</v>
      </c>
      <c r="AP420" s="36">
        <f>AK420*(1+AP423)</f>
        <v>0</v>
      </c>
      <c r="AQ420" s="36">
        <f>AL420*(1+AQ423)</f>
        <v>0</v>
      </c>
      <c r="AR420" s="36">
        <f>AM420*(1+AR423)</f>
        <v>0</v>
      </c>
      <c r="AS420" s="36">
        <v>1</v>
      </c>
      <c r="AT420" s="36">
        <f>AS420+AR420+AQ420+AP420</f>
        <v>1</v>
      </c>
      <c r="AU420" s="36">
        <v>8</v>
      </c>
      <c r="AV420" s="36">
        <v>8</v>
      </c>
      <c r="AW420" s="36">
        <v>5</v>
      </c>
      <c r="AX420" s="36">
        <v>2</v>
      </c>
      <c r="AY420" s="36">
        <f>AX420+AW420+AV420+AU420</f>
        <v>23</v>
      </c>
      <c r="AZ420" s="36">
        <v>34</v>
      </c>
      <c r="BA420" s="36">
        <v>41</v>
      </c>
      <c r="BB420" s="36">
        <v>39</v>
      </c>
      <c r="BC420" s="36">
        <v>33</v>
      </c>
      <c r="BD420" s="36">
        <f>BC420+BB420+BA420+AZ420</f>
        <v>147</v>
      </c>
      <c r="BE420" s="36">
        <v>33</v>
      </c>
      <c r="BF420" s="36">
        <v>45</v>
      </c>
      <c r="BG420" s="36">
        <v>37</v>
      </c>
      <c r="BH420" s="36">
        <v>32</v>
      </c>
      <c r="BI420" s="36">
        <f>SUM(BE420:BH420)</f>
        <v>147</v>
      </c>
      <c r="BJ420" s="36">
        <v>31</v>
      </c>
      <c r="BK420" s="36">
        <v>-29</v>
      </c>
      <c r="BL420" s="36">
        <v>33</v>
      </c>
      <c r="BM420" s="36">
        <v>26</v>
      </c>
      <c r="BN420" s="36">
        <f>SUM(BJ420:BM420)</f>
        <v>61</v>
      </c>
      <c r="BO420" s="36">
        <v>31</v>
      </c>
      <c r="BP420" s="36">
        <v>44</v>
      </c>
      <c r="BQ420" s="36">
        <v>35</v>
      </c>
      <c r="BR420" s="36">
        <v>1</v>
      </c>
      <c r="BS420" s="36">
        <f>SUM(BO420:BR420)</f>
        <v>111</v>
      </c>
      <c r="BT420" s="36"/>
      <c r="BU420" s="36"/>
      <c r="BV420" s="36"/>
      <c r="BW420" s="36"/>
      <c r="BX420" s="36">
        <f>SUM(BT420:BW420)</f>
        <v>0</v>
      </c>
      <c r="BY420" s="36"/>
      <c r="BZ420" s="36"/>
      <c r="CA420" s="36"/>
      <c r="CB420" s="36"/>
      <c r="CC420" s="36">
        <f>SUM(BY420:CB420)</f>
        <v>0</v>
      </c>
      <c r="CD420" s="36"/>
      <c r="CE420" s="36"/>
      <c r="CF420" s="36"/>
      <c r="CG420" s="36"/>
      <c r="CH420" s="36">
        <f>SUM(CD420:CG420)</f>
        <v>0</v>
      </c>
      <c r="CI420" s="36"/>
      <c r="CJ420" s="36"/>
      <c r="CK420" s="36"/>
      <c r="CL420" s="36"/>
      <c r="CM420" s="36">
        <f>SUM(CI420:CL420)</f>
        <v>0</v>
      </c>
      <c r="CN420" s="36"/>
      <c r="CO420" s="36"/>
      <c r="CP420" s="36"/>
      <c r="CQ420" s="36"/>
      <c r="CR420" s="36">
        <f>SUM(CN420:CQ420)</f>
        <v>0</v>
      </c>
      <c r="CS420" s="36"/>
      <c r="CT420" s="36"/>
      <c r="CU420" s="36"/>
      <c r="CV420" s="36"/>
      <c r="CW420" s="36"/>
      <c r="CX420" s="36"/>
      <c r="CY420" s="36"/>
      <c r="CZ420" s="36"/>
      <c r="DA420" s="36"/>
      <c r="DB420" s="36"/>
      <c r="DC420" s="36"/>
      <c r="DD420" s="36"/>
      <c r="DE420" s="36"/>
      <c r="DF420" s="36"/>
      <c r="DG420" s="36"/>
      <c r="DH420" s="36"/>
      <c r="DI420" s="36"/>
      <c r="DJ420" s="36"/>
      <c r="DK420" s="36"/>
      <c r="DL420" s="183"/>
      <c r="DM420" s="183"/>
      <c r="DN420" s="183"/>
      <c r="DO420" s="183"/>
      <c r="DP420" s="183"/>
    </row>
    <row r="421" spans="1:120" hidden="1" x14ac:dyDescent="0.2">
      <c r="A421" s="39" t="s">
        <v>271</v>
      </c>
      <c r="G421" s="39"/>
      <c r="H421" s="39"/>
      <c r="I421" s="39"/>
      <c r="J421" s="39"/>
      <c r="K421" s="39"/>
      <c r="L421" s="39">
        <f>L420+L419</f>
        <v>125</v>
      </c>
      <c r="M421" s="39">
        <f>M420+M419</f>
        <v>87.8</v>
      </c>
      <c r="N421" s="39">
        <f>N420+N419</f>
        <v>106.8</v>
      </c>
      <c r="O421" s="39">
        <f>O420+O419</f>
        <v>95.8</v>
      </c>
      <c r="P421" s="39">
        <f>O421+N421+M421+L421</f>
        <v>415.4</v>
      </c>
      <c r="Q421" s="39">
        <f>Q420+Q419</f>
        <v>117</v>
      </c>
      <c r="R421" s="39">
        <f>R420+R419</f>
        <v>117</v>
      </c>
      <c r="S421" s="39">
        <f>S420+S419</f>
        <v>110</v>
      </c>
      <c r="T421" s="39">
        <f>T420+T419</f>
        <v>75</v>
      </c>
      <c r="U421" s="39">
        <f>T421+S421+R421+Q421</f>
        <v>419</v>
      </c>
      <c r="V421" s="39">
        <f>V420+V419</f>
        <v>116</v>
      </c>
      <c r="W421" s="39">
        <f>W420+W419</f>
        <v>133</v>
      </c>
      <c r="X421" s="39">
        <f>X420+X419</f>
        <v>92</v>
      </c>
      <c r="Y421" s="39">
        <f>Y420+Y419</f>
        <v>54</v>
      </c>
      <c r="Z421" s="39">
        <f>Y421+X421+W421+V421</f>
        <v>395</v>
      </c>
      <c r="AA421" s="39">
        <f>AA420+AA419</f>
        <v>111</v>
      </c>
      <c r="AB421" s="39">
        <f>AB420+AB419</f>
        <v>111</v>
      </c>
      <c r="AC421" s="39">
        <f>AC420+AC419</f>
        <v>95</v>
      </c>
      <c r="AD421" s="39">
        <f>AD420+AD419</f>
        <v>72</v>
      </c>
      <c r="AE421" s="39">
        <f>AD421+AC421+AB421+AA421</f>
        <v>389</v>
      </c>
      <c r="AF421" s="39">
        <f>AF420+AF419</f>
        <v>127</v>
      </c>
      <c r="AG421" s="39">
        <f>AG420+AG419</f>
        <v>137</v>
      </c>
      <c r="AH421" s="39">
        <f>AH420+AH419</f>
        <v>104</v>
      </c>
      <c r="AI421" s="39">
        <f>AI420+AI419</f>
        <v>94</v>
      </c>
      <c r="AJ421" s="39">
        <f>AI421+AH421+AG421+AF421</f>
        <v>462</v>
      </c>
      <c r="AK421" s="39">
        <f>AK420+AK419</f>
        <v>139</v>
      </c>
      <c r="AL421" s="39">
        <f>AL420+AL419</f>
        <v>120</v>
      </c>
      <c r="AM421" s="39">
        <f>AM420+AM419</f>
        <v>92</v>
      </c>
      <c r="AN421" s="39">
        <f>AN420+AN419</f>
        <v>55</v>
      </c>
      <c r="AO421" s="39">
        <f>AN421+AM421+AL421+AK421</f>
        <v>406</v>
      </c>
      <c r="AP421" s="39">
        <f>AP420+AP419</f>
        <v>149</v>
      </c>
      <c r="AQ421" s="39">
        <f>AQ420+AQ419</f>
        <v>108</v>
      </c>
      <c r="AR421" s="39">
        <f>AR420+AR419</f>
        <v>85</v>
      </c>
      <c r="AS421" s="39">
        <f>AS420+AS419</f>
        <v>63</v>
      </c>
      <c r="AT421" s="39">
        <f>AS421+AR421+AQ421+AP421</f>
        <v>405</v>
      </c>
      <c r="AU421" s="39">
        <f>AU420+AU419</f>
        <v>110</v>
      </c>
      <c r="AV421" s="39">
        <f>AV420+AV419</f>
        <v>132</v>
      </c>
      <c r="AW421" s="39">
        <f>AW420+AW419</f>
        <v>92</v>
      </c>
      <c r="AX421" s="39">
        <f>AX420+AX419</f>
        <v>67</v>
      </c>
      <c r="AY421" s="39">
        <f>AX421+AW421+AV421+AU421</f>
        <v>401</v>
      </c>
      <c r="AZ421" s="39">
        <f>AZ420+AZ419</f>
        <v>166</v>
      </c>
      <c r="BA421" s="39">
        <f>BA420+BA419</f>
        <v>134</v>
      </c>
      <c r="BB421" s="39">
        <f>BB420+BB419</f>
        <v>135</v>
      </c>
      <c r="BC421" s="39">
        <f>BC420+BC419</f>
        <v>92</v>
      </c>
      <c r="BD421" s="39">
        <f>BC421+BB421+BA421+AZ421</f>
        <v>527</v>
      </c>
      <c r="BE421" s="39">
        <f>BE419+BE420</f>
        <v>170</v>
      </c>
      <c r="BF421" s="39">
        <f>BF419+BF420</f>
        <v>146</v>
      </c>
      <c r="BG421" s="39">
        <f>BG419+BG420</f>
        <v>118</v>
      </c>
      <c r="BH421" s="39">
        <f>BH419+BH420</f>
        <v>100</v>
      </c>
      <c r="BI421" s="39">
        <f t="shared" ref="BI421:BS421" si="337">BI420+BI419</f>
        <v>534</v>
      </c>
      <c r="BJ421" s="39">
        <f t="shared" si="337"/>
        <v>177</v>
      </c>
      <c r="BK421" s="39">
        <f t="shared" si="337"/>
        <v>79</v>
      </c>
      <c r="BL421" s="39">
        <f t="shared" si="337"/>
        <v>123</v>
      </c>
      <c r="BM421" s="39">
        <f t="shared" si="337"/>
        <v>92</v>
      </c>
      <c r="BN421" s="39">
        <f t="shared" si="337"/>
        <v>471</v>
      </c>
      <c r="BO421" s="39">
        <f t="shared" si="337"/>
        <v>170</v>
      </c>
      <c r="BP421" s="39">
        <f t="shared" si="337"/>
        <v>154</v>
      </c>
      <c r="BQ421" s="39">
        <f t="shared" si="337"/>
        <v>110</v>
      </c>
      <c r="BR421" s="39">
        <f t="shared" si="337"/>
        <v>1</v>
      </c>
      <c r="BS421" s="39">
        <f t="shared" si="337"/>
        <v>435</v>
      </c>
      <c r="BT421" s="39"/>
      <c r="BU421" s="39"/>
      <c r="BV421" s="39"/>
      <c r="BW421" s="39"/>
      <c r="BX421" s="39">
        <f>BX420+BX419</f>
        <v>0</v>
      </c>
      <c r="BY421" s="39"/>
      <c r="BZ421" s="39"/>
      <c r="CA421" s="39"/>
      <c r="CB421" s="39"/>
      <c r="CC421" s="39">
        <f>CC420+CC419</f>
        <v>0</v>
      </c>
      <c r="CD421" s="39"/>
      <c r="CE421" s="39"/>
      <c r="CF421" s="36"/>
      <c r="CG421" s="39"/>
      <c r="CH421" s="39">
        <f>CH420+CH419</f>
        <v>0</v>
      </c>
      <c r="CI421" s="39"/>
      <c r="CJ421" s="39"/>
      <c r="CK421" s="39"/>
      <c r="CL421" s="39"/>
      <c r="CM421" s="39">
        <f>CM420+CM419</f>
        <v>0</v>
      </c>
      <c r="CN421" s="39"/>
      <c r="CO421" s="39"/>
      <c r="CP421" s="39"/>
      <c r="CQ421" s="39"/>
      <c r="CR421" s="39">
        <f>CR420+CR419</f>
        <v>0</v>
      </c>
      <c r="CS421" s="39"/>
      <c r="CT421" s="39"/>
      <c r="CU421" s="39"/>
      <c r="CV421" s="39"/>
      <c r="CW421" s="39"/>
      <c r="CX421" s="39"/>
      <c r="CY421" s="39"/>
      <c r="CZ421" s="39"/>
      <c r="DA421" s="39"/>
      <c r="DB421" s="39"/>
      <c r="DC421" s="39"/>
      <c r="DD421" s="39"/>
      <c r="DE421" s="39"/>
      <c r="DF421" s="39"/>
      <c r="DG421" s="39"/>
      <c r="DH421" s="39"/>
      <c r="DI421" s="39"/>
      <c r="DJ421" s="39"/>
      <c r="DK421" s="39"/>
      <c r="DL421" s="187"/>
      <c r="DM421" s="187"/>
      <c r="DN421" s="187"/>
      <c r="DO421" s="187"/>
      <c r="DP421" s="187"/>
    </row>
    <row r="422" spans="1:120" hidden="1" x14ac:dyDescent="0.2">
      <c r="A422" s="68" t="s">
        <v>54</v>
      </c>
      <c r="G422" s="75"/>
      <c r="H422" s="75"/>
      <c r="I422" s="75"/>
      <c r="J422" s="75"/>
      <c r="K422" s="75"/>
      <c r="L422" s="75"/>
      <c r="M422" s="75"/>
      <c r="N422" s="75"/>
      <c r="O422" s="75" t="e">
        <f>O419/J419-1</f>
        <v>#DIV/0!</v>
      </c>
      <c r="P422" s="75"/>
      <c r="Q422" s="75">
        <f t="shared" ref="Q422:AR422" si="338">Q419/L419-1</f>
        <v>-6.3999999999999946E-2</v>
      </c>
      <c r="R422" s="75">
        <f t="shared" si="338"/>
        <v>0.3325740318906607</v>
      </c>
      <c r="S422" s="75">
        <f t="shared" si="338"/>
        <v>2.9962546816479474E-2</v>
      </c>
      <c r="T422" s="75">
        <f t="shared" si="338"/>
        <v>-0.21711899791231726</v>
      </c>
      <c r="U422" s="75">
        <f t="shared" si="338"/>
        <v>8.6663456909004122E-3</v>
      </c>
      <c r="V422" s="75">
        <f t="shared" si="338"/>
        <v>-8.5470085470085166E-3</v>
      </c>
      <c r="W422" s="75">
        <f t="shared" si="338"/>
        <v>0.13675213675213671</v>
      </c>
      <c r="X422" s="75">
        <f t="shared" si="338"/>
        <v>-0.16363636363636369</v>
      </c>
      <c r="Y422" s="75">
        <f t="shared" si="338"/>
        <v>-0.28000000000000003</v>
      </c>
      <c r="Z422" s="75">
        <f t="shared" si="338"/>
        <v>-5.727923627684961E-2</v>
      </c>
      <c r="AA422" s="75">
        <f t="shared" si="338"/>
        <v>-4.31034482758621E-2</v>
      </c>
      <c r="AB422" s="75">
        <f t="shared" si="338"/>
        <v>-0.16541353383458646</v>
      </c>
      <c r="AC422" s="75">
        <f t="shared" si="338"/>
        <v>3.2608695652173836E-2</v>
      </c>
      <c r="AD422" s="75">
        <f t="shared" si="338"/>
        <v>0.33333333333333326</v>
      </c>
      <c r="AE422" s="75">
        <f t="shared" si="338"/>
        <v>-1.5189873417721489E-2</v>
      </c>
      <c r="AF422" s="75">
        <f t="shared" si="338"/>
        <v>0.14414414414414423</v>
      </c>
      <c r="AG422" s="75">
        <f t="shared" si="338"/>
        <v>0.23423423423423428</v>
      </c>
      <c r="AH422" s="75">
        <f t="shared" si="338"/>
        <v>9.473684210526323E-2</v>
      </c>
      <c r="AI422" s="75">
        <f t="shared" si="338"/>
        <v>0.30555555555555558</v>
      </c>
      <c r="AJ422" s="75">
        <f t="shared" si="338"/>
        <v>0.18766066838046269</v>
      </c>
      <c r="AK422" s="75">
        <f t="shared" si="338"/>
        <v>9.4488188976378007E-2</v>
      </c>
      <c r="AL422" s="75">
        <f t="shared" si="338"/>
        <v>-0.12408759124087587</v>
      </c>
      <c r="AM422" s="75">
        <f t="shared" si="338"/>
        <v>-0.11538461538461542</v>
      </c>
      <c r="AN422" s="75">
        <f t="shared" si="338"/>
        <v>-0.41489361702127658</v>
      </c>
      <c r="AO422" s="75">
        <f t="shared" si="338"/>
        <v>-0.12121212121212122</v>
      </c>
      <c r="AP422" s="75">
        <f t="shared" si="338"/>
        <v>7.1942446043165464E-2</v>
      </c>
      <c r="AQ422" s="75">
        <f t="shared" si="338"/>
        <v>-9.9999999999999978E-2</v>
      </c>
      <c r="AR422" s="75">
        <f t="shared" si="338"/>
        <v>-7.6086956521739135E-2</v>
      </c>
      <c r="AS422" s="75">
        <v>0.15</v>
      </c>
      <c r="AT422" s="75">
        <f t="shared" ref="AT422:BR424" si="339">AT419/AO419-1</f>
        <v>-4.9261083743842304E-3</v>
      </c>
      <c r="AU422" s="75">
        <f t="shared" si="339"/>
        <v>-0.31543624161073824</v>
      </c>
      <c r="AV422" s="75">
        <f t="shared" si="339"/>
        <v>0.14814814814814814</v>
      </c>
      <c r="AW422" s="75">
        <f t="shared" si="339"/>
        <v>2.3529411764705799E-2</v>
      </c>
      <c r="AX422" s="75">
        <f t="shared" si="339"/>
        <v>4.8387096774193505E-2</v>
      </c>
      <c r="AY422" s="75">
        <f t="shared" si="339"/>
        <v>-6.4356435643564303E-2</v>
      </c>
      <c r="AZ422" s="75">
        <f t="shared" si="339"/>
        <v>0.29411764705882359</v>
      </c>
      <c r="BA422" s="75">
        <f t="shared" si="339"/>
        <v>-0.25</v>
      </c>
      <c r="BB422" s="75">
        <f t="shared" si="339"/>
        <v>0.10344827586206895</v>
      </c>
      <c r="BC422" s="75">
        <f t="shared" si="339"/>
        <v>-9.2307692307692313E-2</v>
      </c>
      <c r="BD422" s="75">
        <f t="shared" si="339"/>
        <v>5.2910052910053462E-3</v>
      </c>
      <c r="BE422" s="76">
        <f t="shared" si="339"/>
        <v>3.7878787878787845E-2</v>
      </c>
      <c r="BF422" s="76">
        <f t="shared" si="339"/>
        <v>8.602150537634401E-2</v>
      </c>
      <c r="BG422" s="76">
        <f t="shared" si="339"/>
        <v>-0.15625</v>
      </c>
      <c r="BH422" s="76">
        <f t="shared" si="339"/>
        <v>0.15254237288135597</v>
      </c>
      <c r="BI422" s="90">
        <f t="shared" si="339"/>
        <v>1.8421052631578894E-2</v>
      </c>
      <c r="BJ422" s="76">
        <f t="shared" si="339"/>
        <v>6.5693430656934337E-2</v>
      </c>
      <c r="BK422" s="76">
        <f t="shared" si="339"/>
        <v>6.9306930693069368E-2</v>
      </c>
      <c r="BL422" s="76">
        <f t="shared" si="339"/>
        <v>0.11111111111111116</v>
      </c>
      <c r="BM422" s="76">
        <f t="shared" si="339"/>
        <v>-2.9411764705882359E-2</v>
      </c>
      <c r="BN422" s="90">
        <f>BN419/BI419-1</f>
        <v>5.9431524547803649E-2</v>
      </c>
      <c r="BO422" s="76">
        <f t="shared" si="339"/>
        <v>-4.7945205479452024E-2</v>
      </c>
      <c r="BP422" s="76">
        <f t="shared" si="339"/>
        <v>1.8518518518518601E-2</v>
      </c>
      <c r="BQ422" s="76">
        <f t="shared" si="339"/>
        <v>-0.16666666666666663</v>
      </c>
      <c r="BR422" s="76">
        <f t="shared" si="339"/>
        <v>-1</v>
      </c>
      <c r="BS422" s="75">
        <f>BS419/BN419-1</f>
        <v>-0.20975609756097557</v>
      </c>
      <c r="BT422" s="76"/>
      <c r="BU422" s="76"/>
      <c r="BV422" s="76"/>
      <c r="BW422" s="76"/>
      <c r="BX422" s="75">
        <f>BX419/BS419-1</f>
        <v>-1</v>
      </c>
      <c r="BY422" s="75"/>
      <c r="BZ422" s="75"/>
      <c r="CA422" s="75"/>
      <c r="CB422" s="75"/>
      <c r="CC422" s="75" t="e">
        <f>CC419/BX419-1</f>
        <v>#DIV/0!</v>
      </c>
      <c r="CD422" s="75"/>
      <c r="CE422" s="75"/>
      <c r="CF422" s="75"/>
      <c r="CG422" s="75"/>
      <c r="CH422" s="75" t="e">
        <f>CH419/CC419-1</f>
        <v>#DIV/0!</v>
      </c>
      <c r="CI422" s="75"/>
      <c r="CJ422" s="75"/>
      <c r="CK422" s="75"/>
      <c r="CL422" s="75"/>
      <c r="CM422" s="75" t="e">
        <f>CM419/CH419-1</f>
        <v>#DIV/0!</v>
      </c>
      <c r="CN422" s="75"/>
      <c r="CO422" s="75"/>
      <c r="CP422" s="75"/>
      <c r="CQ422" s="75"/>
      <c r="CR422" s="75" t="e">
        <f>CR419/CM419-1</f>
        <v>#DIV/0!</v>
      </c>
      <c r="CS422" s="75"/>
      <c r="CT422" s="75"/>
      <c r="CU422" s="75"/>
      <c r="CV422" s="75"/>
      <c r="CW422" s="75"/>
      <c r="CX422" s="75"/>
      <c r="CY422" s="75"/>
      <c r="CZ422" s="75"/>
      <c r="DA422" s="75"/>
      <c r="DB422" s="75"/>
      <c r="DC422" s="75"/>
      <c r="DD422" s="75"/>
      <c r="DE422" s="75"/>
      <c r="DF422" s="75"/>
      <c r="DG422" s="75"/>
      <c r="DH422" s="75"/>
      <c r="DI422" s="75"/>
      <c r="DJ422" s="75"/>
      <c r="DK422" s="75"/>
      <c r="DL422" s="192"/>
      <c r="DM422" s="192"/>
      <c r="DN422" s="192"/>
      <c r="DO422" s="192"/>
      <c r="DP422" s="192"/>
    </row>
    <row r="423" spans="1:120" hidden="1" x14ac:dyDescent="0.2">
      <c r="A423" s="68" t="s">
        <v>55</v>
      </c>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6">
        <f t="shared" si="339"/>
        <v>-2.9411764705882359E-2</v>
      </c>
      <c r="BF423" s="76">
        <f t="shared" si="339"/>
        <v>9.7560975609756184E-2</v>
      </c>
      <c r="BG423" s="76">
        <f t="shared" si="339"/>
        <v>-5.1282051282051322E-2</v>
      </c>
      <c r="BH423" s="76">
        <f t="shared" si="339"/>
        <v>-3.0303030303030276E-2</v>
      </c>
      <c r="BI423" s="90">
        <f t="shared" si="339"/>
        <v>0</v>
      </c>
      <c r="BJ423" s="76">
        <f t="shared" si="339"/>
        <v>-6.0606060606060552E-2</v>
      </c>
      <c r="BK423" s="76">
        <f t="shared" si="339"/>
        <v>-1.6444444444444444</v>
      </c>
      <c r="BL423" s="76">
        <f t="shared" si="339"/>
        <v>-0.10810810810810811</v>
      </c>
      <c r="BM423" s="76">
        <f t="shared" si="339"/>
        <v>-0.1875</v>
      </c>
      <c r="BN423" s="90">
        <f>BN420/BI420-1</f>
        <v>-0.58503401360544216</v>
      </c>
      <c r="BO423" s="76">
        <f t="shared" si="339"/>
        <v>0</v>
      </c>
      <c r="BP423" s="76"/>
      <c r="BQ423" s="76">
        <f t="shared" si="339"/>
        <v>6.0606060606060552E-2</v>
      </c>
      <c r="BR423" s="76">
        <f t="shared" si="339"/>
        <v>-0.96153846153846156</v>
      </c>
      <c r="BS423" s="75">
        <f>BS420/BN420-1</f>
        <v>0.81967213114754101</v>
      </c>
      <c r="BT423" s="76"/>
      <c r="BU423" s="76"/>
      <c r="BV423" s="76"/>
      <c r="BW423" s="76"/>
      <c r="BX423" s="75">
        <f>BX420/BS420-1</f>
        <v>-1</v>
      </c>
      <c r="BY423" s="75"/>
      <c r="BZ423" s="75"/>
      <c r="CA423" s="75"/>
      <c r="CB423" s="75"/>
      <c r="CC423" s="75" t="e">
        <f>CC420/BX420-1</f>
        <v>#DIV/0!</v>
      </c>
      <c r="CD423" s="75"/>
      <c r="CE423" s="75"/>
      <c r="CF423" s="75"/>
      <c r="CG423" s="75"/>
      <c r="CH423" s="75" t="e">
        <f>CH420/CC420-1</f>
        <v>#DIV/0!</v>
      </c>
      <c r="CI423" s="75"/>
      <c r="CJ423" s="75"/>
      <c r="CK423" s="75"/>
      <c r="CL423" s="75"/>
      <c r="CM423" s="75" t="e">
        <f>CM420/CH420-1</f>
        <v>#DIV/0!</v>
      </c>
      <c r="CN423" s="75"/>
      <c r="CO423" s="75"/>
      <c r="CP423" s="75"/>
      <c r="CQ423" s="75"/>
      <c r="CR423" s="75" t="e">
        <f>CR420/CM420-1</f>
        <v>#DIV/0!</v>
      </c>
      <c r="CS423" s="75"/>
      <c r="CT423" s="75"/>
      <c r="CU423" s="75"/>
      <c r="CV423" s="75"/>
      <c r="CW423" s="75"/>
      <c r="CX423" s="75"/>
      <c r="CY423" s="75"/>
      <c r="CZ423" s="75"/>
      <c r="DA423" s="75"/>
      <c r="DB423" s="75"/>
      <c r="DC423" s="75"/>
      <c r="DD423" s="75"/>
      <c r="DE423" s="75"/>
      <c r="DF423" s="75"/>
      <c r="DG423" s="75"/>
      <c r="DH423" s="75"/>
      <c r="DI423" s="75"/>
      <c r="DJ423" s="75"/>
      <c r="DK423" s="75"/>
      <c r="DL423" s="192"/>
      <c r="DM423" s="192"/>
      <c r="DN423" s="192"/>
      <c r="DO423" s="192"/>
      <c r="DP423" s="192"/>
    </row>
    <row r="424" spans="1:120" hidden="1" x14ac:dyDescent="0.2">
      <c r="A424" s="78" t="s">
        <v>56</v>
      </c>
      <c r="F424" s="98"/>
      <c r="G424" s="83"/>
      <c r="H424" s="83"/>
      <c r="I424" s="83"/>
      <c r="J424" s="83"/>
      <c r="K424" s="83"/>
      <c r="L424" s="83"/>
      <c r="M424" s="83"/>
      <c r="N424" s="83"/>
      <c r="O424" s="83" t="e">
        <f>O421/J421-1</f>
        <v>#DIV/0!</v>
      </c>
      <c r="P424" s="83"/>
      <c r="Q424" s="83">
        <f t="shared" ref="Q424:BD424" si="340">Q421/L421-1</f>
        <v>-6.3999999999999946E-2</v>
      </c>
      <c r="R424" s="83">
        <f t="shared" si="340"/>
        <v>0.3325740318906607</v>
      </c>
      <c r="S424" s="83">
        <f t="shared" si="340"/>
        <v>2.9962546816479474E-2</v>
      </c>
      <c r="T424" s="83">
        <f t="shared" si="340"/>
        <v>-0.21711899791231726</v>
      </c>
      <c r="U424" s="83">
        <f t="shared" si="340"/>
        <v>8.6663456909004122E-3</v>
      </c>
      <c r="V424" s="83">
        <f t="shared" si="340"/>
        <v>-8.5470085470085166E-3</v>
      </c>
      <c r="W424" s="83">
        <f t="shared" si="340"/>
        <v>0.13675213675213671</v>
      </c>
      <c r="X424" s="83">
        <f t="shared" si="340"/>
        <v>-0.16363636363636369</v>
      </c>
      <c r="Y424" s="83">
        <f t="shared" si="340"/>
        <v>-0.28000000000000003</v>
      </c>
      <c r="Z424" s="83">
        <f t="shared" si="340"/>
        <v>-5.727923627684961E-2</v>
      </c>
      <c r="AA424" s="83">
        <f t="shared" si="340"/>
        <v>-4.31034482758621E-2</v>
      </c>
      <c r="AB424" s="83">
        <f t="shared" si="340"/>
        <v>-0.16541353383458646</v>
      </c>
      <c r="AC424" s="83">
        <f t="shared" si="340"/>
        <v>3.2608695652173836E-2</v>
      </c>
      <c r="AD424" s="83">
        <f t="shared" si="340"/>
        <v>0.33333333333333326</v>
      </c>
      <c r="AE424" s="83">
        <f t="shared" si="340"/>
        <v>-1.5189873417721489E-2</v>
      </c>
      <c r="AF424" s="83">
        <f t="shared" si="340"/>
        <v>0.14414414414414423</v>
      </c>
      <c r="AG424" s="83">
        <f t="shared" si="340"/>
        <v>0.23423423423423428</v>
      </c>
      <c r="AH424" s="83">
        <f t="shared" si="340"/>
        <v>9.473684210526323E-2</v>
      </c>
      <c r="AI424" s="83">
        <f t="shared" si="340"/>
        <v>0.30555555555555558</v>
      </c>
      <c r="AJ424" s="83">
        <f t="shared" si="340"/>
        <v>0.18766066838046269</v>
      </c>
      <c r="AK424" s="83">
        <f t="shared" si="340"/>
        <v>9.4488188976378007E-2</v>
      </c>
      <c r="AL424" s="83">
        <f t="shared" si="340"/>
        <v>-0.12408759124087587</v>
      </c>
      <c r="AM424" s="83">
        <f t="shared" si="340"/>
        <v>-0.11538461538461542</v>
      </c>
      <c r="AN424" s="83">
        <f t="shared" si="340"/>
        <v>-0.41489361702127658</v>
      </c>
      <c r="AO424" s="83">
        <f t="shared" si="340"/>
        <v>-0.12121212121212122</v>
      </c>
      <c r="AP424" s="83">
        <f t="shared" si="340"/>
        <v>7.1942446043165464E-2</v>
      </c>
      <c r="AQ424" s="83">
        <f t="shared" si="340"/>
        <v>-9.9999999999999978E-2</v>
      </c>
      <c r="AR424" s="83">
        <f t="shared" si="340"/>
        <v>-7.6086956521739135E-2</v>
      </c>
      <c r="AS424" s="83">
        <f t="shared" si="340"/>
        <v>0.1454545454545455</v>
      </c>
      <c r="AT424" s="83">
        <f t="shared" si="340"/>
        <v>-2.4630541871921707E-3</v>
      </c>
      <c r="AU424" s="83">
        <f t="shared" si="340"/>
        <v>-0.26174496644295298</v>
      </c>
      <c r="AV424" s="83">
        <f t="shared" si="340"/>
        <v>0.22222222222222232</v>
      </c>
      <c r="AW424" s="83">
        <f t="shared" si="340"/>
        <v>8.2352941176470518E-2</v>
      </c>
      <c r="AX424" s="83">
        <f t="shared" si="340"/>
        <v>6.3492063492063489E-2</v>
      </c>
      <c r="AY424" s="83">
        <f t="shared" si="340"/>
        <v>-9.8765432098765205E-3</v>
      </c>
      <c r="AZ424" s="83">
        <f t="shared" si="340"/>
        <v>0.50909090909090904</v>
      </c>
      <c r="BA424" s="83">
        <f t="shared" si="340"/>
        <v>1.5151515151515138E-2</v>
      </c>
      <c r="BB424" s="83">
        <f t="shared" si="340"/>
        <v>0.46739130434782616</v>
      </c>
      <c r="BC424" s="83">
        <f t="shared" si="340"/>
        <v>0.37313432835820892</v>
      </c>
      <c r="BD424" s="83">
        <f t="shared" si="340"/>
        <v>0.31421446384039897</v>
      </c>
      <c r="BE424" s="80">
        <f t="shared" si="339"/>
        <v>2.4096385542168752E-2</v>
      </c>
      <c r="BF424" s="80">
        <f t="shared" si="339"/>
        <v>8.9552238805970186E-2</v>
      </c>
      <c r="BG424" s="80">
        <f t="shared" si="339"/>
        <v>-0.12592592592592589</v>
      </c>
      <c r="BH424" s="80">
        <f>BH421/BC421-1</f>
        <v>8.6956521739130377E-2</v>
      </c>
      <c r="BI424" s="80">
        <f t="shared" si="339"/>
        <v>1.3282732447817747E-2</v>
      </c>
      <c r="BJ424" s="80">
        <f t="shared" si="339"/>
        <v>4.117647058823537E-2</v>
      </c>
      <c r="BK424" s="80">
        <f>BK421/BF421-1</f>
        <v>-0.45890410958904104</v>
      </c>
      <c r="BL424" s="80">
        <f>BL421/BG421-1</f>
        <v>4.2372881355932313E-2</v>
      </c>
      <c r="BM424" s="80">
        <f>BM421/BH421-1</f>
        <v>-7.999999999999996E-2</v>
      </c>
      <c r="BN424" s="80">
        <f>BN421/BI421-1</f>
        <v>-0.1179775280898876</v>
      </c>
      <c r="BO424" s="80">
        <f>BO421/BJ421-1</f>
        <v>-3.9548022598870025E-2</v>
      </c>
      <c r="BP424" s="80">
        <f>BP421/BK421-1</f>
        <v>0.94936708860759489</v>
      </c>
      <c r="BQ424" s="80">
        <f>BQ421/BL421-1</f>
        <v>-0.10569105691056913</v>
      </c>
      <c r="BR424" s="80">
        <f>BR421/BM421-1</f>
        <v>-0.98913043478260865</v>
      </c>
      <c r="BS424" s="83">
        <f>BS421/BN421-1</f>
        <v>-7.6433121019108263E-2</v>
      </c>
      <c r="BT424" s="80"/>
      <c r="BU424" s="80"/>
      <c r="BV424" s="80"/>
      <c r="BW424" s="80"/>
      <c r="BX424" s="83">
        <f>BX421/BS421-1</f>
        <v>-1</v>
      </c>
      <c r="BY424" s="83"/>
      <c r="BZ424" s="83"/>
      <c r="CA424" s="83"/>
      <c r="CB424" s="83"/>
      <c r="CC424" s="83" t="e">
        <f>CC421/BX421-1</f>
        <v>#DIV/0!</v>
      </c>
      <c r="CD424" s="83"/>
      <c r="CE424" s="83"/>
      <c r="CF424" s="83"/>
      <c r="CG424" s="83"/>
      <c r="CH424" s="83" t="e">
        <f>CH421/CC421-1</f>
        <v>#DIV/0!</v>
      </c>
      <c r="CI424" s="83"/>
      <c r="CJ424" s="83"/>
      <c r="CK424" s="83"/>
      <c r="CL424" s="83"/>
      <c r="CM424" s="83" t="e">
        <f>CM421/CH421-1</f>
        <v>#DIV/0!</v>
      </c>
      <c r="CN424" s="83"/>
      <c r="CO424" s="83"/>
      <c r="CP424" s="83"/>
      <c r="CQ424" s="83"/>
      <c r="CR424" s="83" t="e">
        <f>CR421/CM421-1</f>
        <v>#DIV/0!</v>
      </c>
      <c r="CS424" s="83"/>
      <c r="CT424" s="83"/>
      <c r="CU424" s="83"/>
      <c r="CV424" s="83"/>
      <c r="CW424" s="83"/>
      <c r="CX424" s="83"/>
      <c r="CY424" s="83"/>
      <c r="CZ424" s="83"/>
      <c r="DA424" s="83"/>
      <c r="DB424" s="83"/>
      <c r="DC424" s="83"/>
      <c r="DD424" s="83"/>
      <c r="DE424" s="83"/>
      <c r="DF424" s="83"/>
      <c r="DG424" s="83"/>
      <c r="DH424" s="83"/>
      <c r="DI424" s="83"/>
      <c r="DJ424" s="83"/>
      <c r="DK424" s="83"/>
      <c r="DL424" s="193"/>
      <c r="DM424" s="193"/>
      <c r="DN424" s="193"/>
      <c r="DO424" s="193"/>
      <c r="DP424" s="193"/>
    </row>
    <row r="425" spans="1:120" hidden="1" x14ac:dyDescent="0.2">
      <c r="A425" s="36" t="s">
        <v>272</v>
      </c>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c r="AR425" s="67"/>
      <c r="AS425" s="67"/>
      <c r="AT425" s="67"/>
      <c r="AU425" s="120">
        <f t="shared" ref="AU425:AX426" si="341">AU431-AU419</f>
        <v>236</v>
      </c>
      <c r="AV425" s="120">
        <f t="shared" si="341"/>
        <v>257</v>
      </c>
      <c r="AW425" s="120">
        <f t="shared" si="341"/>
        <v>176</v>
      </c>
      <c r="AX425" s="120">
        <f t="shared" si="341"/>
        <v>167</v>
      </c>
      <c r="AY425" s="36">
        <f>AX425+AW425+AV425+AU425</f>
        <v>836</v>
      </c>
      <c r="AZ425" s="120">
        <f t="shared" ref="AZ425:BC426" si="342">AZ431-AZ419</f>
        <v>225</v>
      </c>
      <c r="BA425" s="120">
        <f t="shared" si="342"/>
        <v>271</v>
      </c>
      <c r="BB425" s="120">
        <f t="shared" si="342"/>
        <v>169</v>
      </c>
      <c r="BC425" s="120">
        <f t="shared" si="342"/>
        <v>166</v>
      </c>
      <c r="BD425" s="107">
        <f>BC425+BB425+BA425+AZ425</f>
        <v>831</v>
      </c>
      <c r="BE425" s="36">
        <f t="shared" ref="BE425:BG426" si="343">BE431-BE419</f>
        <v>246</v>
      </c>
      <c r="BF425" s="36">
        <f t="shared" si="343"/>
        <v>282</v>
      </c>
      <c r="BG425" s="36">
        <f t="shared" si="343"/>
        <v>209</v>
      </c>
      <c r="BH425" s="36">
        <f>BH431-BH419</f>
        <v>182</v>
      </c>
      <c r="BI425" s="36">
        <f>SUM(BE425:BH425)</f>
        <v>919</v>
      </c>
      <c r="BJ425" s="36">
        <f t="shared" ref="BJ425:BL426" si="344">BJ431-BJ419</f>
        <v>254</v>
      </c>
      <c r="BK425" s="36">
        <f t="shared" si="344"/>
        <v>282</v>
      </c>
      <c r="BL425" s="36">
        <f>BL431-BL419</f>
        <v>192</v>
      </c>
      <c r="BM425" s="36">
        <f>BM431-BM419</f>
        <v>188</v>
      </c>
      <c r="BN425" s="36">
        <f>SUM(BJ425:BM425)</f>
        <v>916</v>
      </c>
      <c r="BO425" s="36">
        <f t="shared" ref="BO425:BQ426" si="345">BO431-BO419</f>
        <v>251</v>
      </c>
      <c r="BP425" s="36">
        <f t="shared" si="345"/>
        <v>296</v>
      </c>
      <c r="BQ425" s="36">
        <f t="shared" si="345"/>
        <v>187</v>
      </c>
      <c r="BR425" s="36">
        <f>BR431-BR419</f>
        <v>0</v>
      </c>
      <c r="BS425" s="36">
        <f>SUM(BO425:BR425)</f>
        <v>734</v>
      </c>
      <c r="BT425" s="36"/>
      <c r="BU425" s="36"/>
      <c r="BV425" s="36"/>
      <c r="BW425" s="36"/>
      <c r="BX425" s="36">
        <f>SUM(BT425:BW425)</f>
        <v>0</v>
      </c>
      <c r="BY425" s="36"/>
      <c r="BZ425" s="36"/>
      <c r="CA425" s="36"/>
      <c r="CB425" s="36"/>
      <c r="CC425" s="36">
        <f>SUM(BY425:CB425)</f>
        <v>0</v>
      </c>
      <c r="CD425" s="36"/>
      <c r="CE425" s="36"/>
      <c r="CF425" s="36"/>
      <c r="CG425" s="36"/>
      <c r="CH425" s="36">
        <f>SUM(CD425:CG425)</f>
        <v>0</v>
      </c>
      <c r="CI425" s="36"/>
      <c r="CJ425" s="36"/>
      <c r="CK425" s="36"/>
      <c r="CL425" s="36"/>
      <c r="CM425" s="36">
        <f>SUM(CI425:CL425)</f>
        <v>0</v>
      </c>
      <c r="CN425" s="36"/>
      <c r="CO425" s="36"/>
      <c r="CP425" s="36"/>
      <c r="CQ425" s="36"/>
      <c r="CR425" s="36">
        <f>SUM(CN425:CQ425)</f>
        <v>0</v>
      </c>
      <c r="CS425" s="36"/>
      <c r="CT425" s="36"/>
      <c r="CU425" s="36"/>
      <c r="CV425" s="36"/>
      <c r="CW425" s="36"/>
      <c r="CX425" s="36"/>
      <c r="CY425" s="36"/>
      <c r="CZ425" s="36"/>
      <c r="DA425" s="36"/>
      <c r="DB425" s="36"/>
      <c r="DC425" s="36"/>
      <c r="DD425" s="36"/>
      <c r="DE425" s="36"/>
      <c r="DF425" s="36"/>
      <c r="DG425" s="36"/>
      <c r="DH425" s="36"/>
      <c r="DI425" s="36"/>
      <c r="DJ425" s="36"/>
      <c r="DK425" s="36"/>
      <c r="DL425" s="183"/>
      <c r="DM425" s="183"/>
      <c r="DN425" s="183"/>
      <c r="DO425" s="183"/>
      <c r="DP425" s="183"/>
    </row>
    <row r="426" spans="1:120" hidden="1" x14ac:dyDescent="0.2">
      <c r="A426" s="36" t="s">
        <v>273</v>
      </c>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c r="AR426" s="67"/>
      <c r="AS426" s="67"/>
      <c r="AT426" s="67"/>
      <c r="AU426" s="120">
        <f t="shared" si="341"/>
        <v>33</v>
      </c>
      <c r="AV426" s="120">
        <f t="shared" si="341"/>
        <v>33</v>
      </c>
      <c r="AW426" s="120">
        <f t="shared" si="341"/>
        <v>23</v>
      </c>
      <c r="AX426" s="120">
        <f t="shared" si="341"/>
        <v>16</v>
      </c>
      <c r="AY426" s="36">
        <f>AX426+AW426+AV426+AU426</f>
        <v>105</v>
      </c>
      <c r="AZ426" s="120">
        <f t="shared" si="342"/>
        <v>127</v>
      </c>
      <c r="BA426" s="120">
        <f t="shared" si="342"/>
        <v>136</v>
      </c>
      <c r="BB426" s="120">
        <f t="shared" si="342"/>
        <v>117</v>
      </c>
      <c r="BC426" s="120">
        <f t="shared" si="342"/>
        <v>103</v>
      </c>
      <c r="BD426" s="107">
        <f>BC426+BB426+BA426+AZ426</f>
        <v>483</v>
      </c>
      <c r="BE426" s="36">
        <f t="shared" si="343"/>
        <v>138</v>
      </c>
      <c r="BF426" s="36">
        <f t="shared" si="343"/>
        <v>124</v>
      </c>
      <c r="BG426" s="36">
        <f t="shared" si="343"/>
        <v>124</v>
      </c>
      <c r="BH426" s="36">
        <f>BH432-BH420</f>
        <v>113</v>
      </c>
      <c r="BI426" s="36">
        <f>SUM(BE426:BH426)</f>
        <v>499</v>
      </c>
      <c r="BJ426" s="36">
        <f t="shared" si="344"/>
        <v>140</v>
      </c>
      <c r="BK426" s="36">
        <f t="shared" si="344"/>
        <v>128</v>
      </c>
      <c r="BL426" s="36">
        <f t="shared" si="344"/>
        <v>127</v>
      </c>
      <c r="BM426" s="36">
        <f>BM432-BM420</f>
        <v>111</v>
      </c>
      <c r="BN426" s="36">
        <f>SUM(BJ426:BM426)</f>
        <v>506</v>
      </c>
      <c r="BO426" s="36">
        <f t="shared" si="345"/>
        <v>125</v>
      </c>
      <c r="BP426" s="36">
        <f t="shared" si="345"/>
        <v>133</v>
      </c>
      <c r="BQ426" s="36">
        <f t="shared" si="345"/>
        <v>104</v>
      </c>
      <c r="BR426" s="36">
        <f>BR432-BR420</f>
        <v>15</v>
      </c>
      <c r="BS426" s="36">
        <f>SUM(BO426:BR426)</f>
        <v>377</v>
      </c>
      <c r="BT426" s="36"/>
      <c r="BU426" s="36"/>
      <c r="BV426" s="36"/>
      <c r="BW426" s="36"/>
      <c r="BX426" s="36">
        <f>SUM(BT426:BW426)</f>
        <v>0</v>
      </c>
      <c r="BY426" s="36"/>
      <c r="BZ426" s="36"/>
      <c r="CA426" s="36"/>
      <c r="CB426" s="36"/>
      <c r="CC426" s="36">
        <f>SUM(BY426:CB426)</f>
        <v>0</v>
      </c>
      <c r="CD426" s="36"/>
      <c r="CE426" s="36"/>
      <c r="CF426" s="36"/>
      <c r="CG426" s="36"/>
      <c r="CH426" s="36">
        <f>SUM(CD426:CG426)</f>
        <v>0</v>
      </c>
      <c r="CI426" s="36"/>
      <c r="CJ426" s="36"/>
      <c r="CK426" s="36"/>
      <c r="CL426" s="36"/>
      <c r="CM426" s="36">
        <f>SUM(CI426:CL426)</f>
        <v>0</v>
      </c>
      <c r="CN426" s="36"/>
      <c r="CO426" s="36"/>
      <c r="CP426" s="36"/>
      <c r="CQ426" s="36"/>
      <c r="CR426" s="36">
        <f>SUM(CN426:CQ426)</f>
        <v>0</v>
      </c>
      <c r="CS426" s="36"/>
      <c r="CT426" s="36"/>
      <c r="CU426" s="36"/>
      <c r="CV426" s="36"/>
      <c r="CW426" s="36"/>
      <c r="CX426" s="36"/>
      <c r="CY426" s="36"/>
      <c r="CZ426" s="36"/>
      <c r="DA426" s="36"/>
      <c r="DB426" s="36"/>
      <c r="DC426" s="36"/>
      <c r="DD426" s="36"/>
      <c r="DE426" s="36"/>
      <c r="DF426" s="36"/>
      <c r="DG426" s="36"/>
      <c r="DH426" s="36"/>
      <c r="DI426" s="36"/>
      <c r="DJ426" s="36"/>
      <c r="DK426" s="36"/>
      <c r="DL426" s="183"/>
      <c r="DM426" s="183"/>
      <c r="DN426" s="183"/>
      <c r="DO426" s="183"/>
      <c r="DP426" s="183"/>
    </row>
    <row r="427" spans="1:120" hidden="1" x14ac:dyDescent="0.2">
      <c r="A427" s="39" t="s">
        <v>274</v>
      </c>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c r="AR427" s="67"/>
      <c r="AS427" s="67"/>
      <c r="AT427" s="67"/>
      <c r="AU427" s="94">
        <f>AU426+AU425</f>
        <v>269</v>
      </c>
      <c r="AV427" s="94">
        <f>AV426+AV425</f>
        <v>290</v>
      </c>
      <c r="AW427" s="94">
        <f>AW426+AW425</f>
        <v>199</v>
      </c>
      <c r="AX427" s="94">
        <f>AX426+AX425</f>
        <v>183</v>
      </c>
      <c r="AY427" s="39">
        <f>AX427+AW427+AV427+AU427</f>
        <v>941</v>
      </c>
      <c r="AZ427" s="165">
        <f>AZ426+AZ425</f>
        <v>352</v>
      </c>
      <c r="BA427" s="165">
        <f>BA426+BA425</f>
        <v>407</v>
      </c>
      <c r="BB427" s="165">
        <f>BB426+BB425</f>
        <v>286</v>
      </c>
      <c r="BC427" s="165">
        <f>BC426+BC425</f>
        <v>269</v>
      </c>
      <c r="BD427" s="165">
        <f>BD426+BD425</f>
        <v>1314</v>
      </c>
      <c r="BE427" s="39">
        <f>BE425+BE426</f>
        <v>384</v>
      </c>
      <c r="BF427" s="39">
        <f>BF425+BF426</f>
        <v>406</v>
      </c>
      <c r="BG427" s="39">
        <f>BG425+BG426</f>
        <v>333</v>
      </c>
      <c r="BH427" s="39">
        <f>BH425+BH426</f>
        <v>295</v>
      </c>
      <c r="BI427" s="39">
        <f>BI426+BI425</f>
        <v>1418</v>
      </c>
      <c r="BJ427" s="39">
        <f>BJ425+BJ426</f>
        <v>394</v>
      </c>
      <c r="BK427" s="39">
        <f t="shared" ref="BK427:BS427" si="346">BK426+BK425</f>
        <v>410</v>
      </c>
      <c r="BL427" s="39">
        <f t="shared" si="346"/>
        <v>319</v>
      </c>
      <c r="BM427" s="39">
        <f t="shared" si="346"/>
        <v>299</v>
      </c>
      <c r="BN427" s="39">
        <f t="shared" si="346"/>
        <v>1422</v>
      </c>
      <c r="BO427" s="39">
        <f t="shared" si="346"/>
        <v>376</v>
      </c>
      <c r="BP427" s="39">
        <f t="shared" si="346"/>
        <v>429</v>
      </c>
      <c r="BQ427" s="39">
        <f t="shared" si="346"/>
        <v>291</v>
      </c>
      <c r="BR427" s="39">
        <f>BR426+BR425</f>
        <v>15</v>
      </c>
      <c r="BS427" s="39">
        <f t="shared" si="346"/>
        <v>1111</v>
      </c>
      <c r="BT427" s="39"/>
      <c r="BU427" s="39"/>
      <c r="BV427" s="39"/>
      <c r="BW427" s="39"/>
      <c r="BX427" s="39">
        <f>BX426+BX425</f>
        <v>0</v>
      </c>
      <c r="BY427" s="39"/>
      <c r="BZ427" s="39"/>
      <c r="CA427" s="39"/>
      <c r="CB427" s="39"/>
      <c r="CC427" s="39">
        <f>CC426+CC425</f>
        <v>0</v>
      </c>
      <c r="CD427" s="39"/>
      <c r="CE427" s="39"/>
      <c r="CF427" s="39"/>
      <c r="CG427" s="39"/>
      <c r="CH427" s="39">
        <f>CH426+CH425</f>
        <v>0</v>
      </c>
      <c r="CI427" s="39"/>
      <c r="CJ427" s="39"/>
      <c r="CK427" s="39"/>
      <c r="CL427" s="39"/>
      <c r="CM427" s="39">
        <f>CM426+CM425</f>
        <v>0</v>
      </c>
      <c r="CN427" s="39"/>
      <c r="CO427" s="39"/>
      <c r="CP427" s="39"/>
      <c r="CQ427" s="39"/>
      <c r="CR427" s="39">
        <f>CR426+CR425</f>
        <v>0</v>
      </c>
      <c r="CS427" s="39"/>
      <c r="CT427" s="39"/>
      <c r="CU427" s="39"/>
      <c r="CV427" s="39"/>
      <c r="CW427" s="39"/>
      <c r="CX427" s="39"/>
      <c r="CY427" s="39"/>
      <c r="CZ427" s="39"/>
      <c r="DA427" s="39"/>
      <c r="DB427" s="39"/>
      <c r="DC427" s="39"/>
      <c r="DD427" s="39"/>
      <c r="DE427" s="39"/>
      <c r="DF427" s="39"/>
      <c r="DG427" s="39"/>
      <c r="DH427" s="39"/>
      <c r="DI427" s="39"/>
      <c r="DJ427" s="39"/>
      <c r="DK427" s="39"/>
      <c r="DL427" s="187"/>
      <c r="DM427" s="187"/>
      <c r="DN427" s="187"/>
      <c r="DO427" s="187"/>
      <c r="DP427" s="187"/>
    </row>
    <row r="428" spans="1:120" hidden="1" x14ac:dyDescent="0.2">
      <c r="A428" s="68" t="s">
        <v>54</v>
      </c>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c r="AR428" s="67"/>
      <c r="AS428" s="67"/>
      <c r="AT428" s="67"/>
      <c r="AU428" s="67"/>
      <c r="AV428" s="67"/>
      <c r="AW428" s="67"/>
      <c r="AX428" s="67"/>
      <c r="AY428" s="75"/>
      <c r="AZ428" s="75"/>
      <c r="BA428" s="75"/>
      <c r="BB428" s="75"/>
      <c r="BC428" s="75"/>
      <c r="BD428" s="75">
        <f t="shared" ref="BD428:BR430" si="347">BD425/AY425-1</f>
        <v>-5.9808612440190867E-3</v>
      </c>
      <c r="BE428" s="76">
        <f t="shared" si="347"/>
        <v>9.3333333333333268E-2</v>
      </c>
      <c r="BF428" s="76">
        <f t="shared" si="347"/>
        <v>4.0590405904058935E-2</v>
      </c>
      <c r="BG428" s="76">
        <f t="shared" si="347"/>
        <v>0.23668639053254448</v>
      </c>
      <c r="BH428" s="76">
        <f t="shared" si="347"/>
        <v>9.6385542168674787E-2</v>
      </c>
      <c r="BI428" s="90">
        <f t="shared" si="347"/>
        <v>0.10589651022864022</v>
      </c>
      <c r="BJ428" s="76">
        <f t="shared" si="347"/>
        <v>3.2520325203251987E-2</v>
      </c>
      <c r="BK428" s="76">
        <f t="shared" si="347"/>
        <v>0</v>
      </c>
      <c r="BL428" s="76">
        <f t="shared" si="347"/>
        <v>-8.1339712918660267E-2</v>
      </c>
      <c r="BM428" s="76">
        <f t="shared" si="347"/>
        <v>3.2967032967033072E-2</v>
      </c>
      <c r="BN428" s="90">
        <f>BN425/BI425-1</f>
        <v>-3.2644178454842576E-3</v>
      </c>
      <c r="BO428" s="76">
        <f t="shared" si="347"/>
        <v>-1.1811023622047223E-2</v>
      </c>
      <c r="BP428" s="76">
        <f t="shared" si="347"/>
        <v>4.9645390070921946E-2</v>
      </c>
      <c r="BQ428" s="76">
        <f t="shared" si="347"/>
        <v>-2.604166666666663E-2</v>
      </c>
      <c r="BR428" s="76">
        <f t="shared" si="347"/>
        <v>-1</v>
      </c>
      <c r="BS428" s="75">
        <f>BS425/BN425-1</f>
        <v>-0.19868995633187769</v>
      </c>
      <c r="BT428" s="76"/>
      <c r="BU428" s="76"/>
      <c r="BV428" s="76"/>
      <c r="BW428" s="76"/>
      <c r="BX428" s="75">
        <f>BX425/BS425-1</f>
        <v>-1</v>
      </c>
      <c r="BY428" s="75"/>
      <c r="BZ428" s="75"/>
      <c r="CA428" s="75"/>
      <c r="CB428" s="75"/>
      <c r="CC428" s="75" t="e">
        <f>CC425/BX425-1</f>
        <v>#DIV/0!</v>
      </c>
      <c r="CD428" s="75"/>
      <c r="CE428" s="75"/>
      <c r="CF428" s="75"/>
      <c r="CG428" s="75"/>
      <c r="CH428" s="75" t="e">
        <f>CH425/CC425-1</f>
        <v>#DIV/0!</v>
      </c>
      <c r="CI428" s="75"/>
      <c r="CJ428" s="75"/>
      <c r="CK428" s="75"/>
      <c r="CL428" s="75"/>
      <c r="CM428" s="75" t="e">
        <f>CM425/CH425-1</f>
        <v>#DIV/0!</v>
      </c>
      <c r="CN428" s="75"/>
      <c r="CO428" s="75"/>
      <c r="CP428" s="75"/>
      <c r="CQ428" s="75"/>
      <c r="CR428" s="75" t="e">
        <f>CR425/CM425-1</f>
        <v>#DIV/0!</v>
      </c>
      <c r="CS428" s="75"/>
      <c r="CT428" s="75"/>
      <c r="CU428" s="75"/>
      <c r="CV428" s="75"/>
      <c r="CW428" s="75"/>
      <c r="CX428" s="75"/>
      <c r="CY428" s="75"/>
      <c r="CZ428" s="75"/>
      <c r="DA428" s="75"/>
      <c r="DB428" s="75"/>
      <c r="DC428" s="75"/>
      <c r="DD428" s="75"/>
      <c r="DE428" s="75"/>
      <c r="DF428" s="75"/>
      <c r="DG428" s="75"/>
      <c r="DH428" s="75"/>
      <c r="DI428" s="75"/>
      <c r="DJ428" s="75"/>
      <c r="DK428" s="75"/>
      <c r="DL428" s="192"/>
      <c r="DM428" s="192"/>
      <c r="DN428" s="192"/>
      <c r="DO428" s="192"/>
      <c r="DP428" s="192"/>
    </row>
    <row r="429" spans="1:120" hidden="1" x14ac:dyDescent="0.2">
      <c r="A429" s="68" t="s">
        <v>55</v>
      </c>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c r="AR429" s="67"/>
      <c r="AS429" s="67"/>
      <c r="AT429" s="67"/>
      <c r="AU429" s="67"/>
      <c r="AV429" s="67"/>
      <c r="AW429" s="67"/>
      <c r="AX429" s="67"/>
      <c r="AY429" s="75"/>
      <c r="AZ429" s="75"/>
      <c r="BA429" s="75"/>
      <c r="BB429" s="75"/>
      <c r="BC429" s="75"/>
      <c r="BD429" s="75">
        <f t="shared" si="347"/>
        <v>3.5999999999999996</v>
      </c>
      <c r="BE429" s="76">
        <f t="shared" si="347"/>
        <v>8.6614173228346525E-2</v>
      </c>
      <c r="BF429" s="76">
        <f t="shared" si="347"/>
        <v>-8.8235294117647078E-2</v>
      </c>
      <c r="BG429" s="76">
        <f t="shared" si="347"/>
        <v>5.9829059829059839E-2</v>
      </c>
      <c r="BH429" s="76">
        <f t="shared" si="347"/>
        <v>9.7087378640776656E-2</v>
      </c>
      <c r="BI429" s="90">
        <f t="shared" si="347"/>
        <v>3.3126293995859202E-2</v>
      </c>
      <c r="BJ429" s="76">
        <f t="shared" si="347"/>
        <v>1.449275362318847E-2</v>
      </c>
      <c r="BK429" s="76">
        <f t="shared" si="347"/>
        <v>3.2258064516129004E-2</v>
      </c>
      <c r="BL429" s="76">
        <f t="shared" si="347"/>
        <v>2.4193548387096753E-2</v>
      </c>
      <c r="BM429" s="76">
        <f t="shared" si="347"/>
        <v>-1.7699115044247815E-2</v>
      </c>
      <c r="BN429" s="90">
        <f>BN426/BI426-1</f>
        <v>1.4028056112224352E-2</v>
      </c>
      <c r="BO429" s="76">
        <f t="shared" si="347"/>
        <v>-0.1071428571428571</v>
      </c>
      <c r="BP429" s="76">
        <f t="shared" si="347"/>
        <v>3.90625E-2</v>
      </c>
      <c r="BQ429" s="76">
        <f t="shared" si="347"/>
        <v>-0.18110236220472442</v>
      </c>
      <c r="BR429" s="76">
        <f t="shared" si="347"/>
        <v>-0.86486486486486491</v>
      </c>
      <c r="BS429" s="75">
        <f>BS426/BN426-1</f>
        <v>-0.25494071146245056</v>
      </c>
      <c r="BT429" s="76"/>
      <c r="BU429" s="76"/>
      <c r="BV429" s="76"/>
      <c r="BW429" s="76"/>
      <c r="BX429" s="75">
        <f>BX426/BS426-1</f>
        <v>-1</v>
      </c>
      <c r="BY429" s="75"/>
      <c r="BZ429" s="75"/>
      <c r="CA429" s="75"/>
      <c r="CB429" s="75"/>
      <c r="CC429" s="75" t="e">
        <f>CC426/BX426-1</f>
        <v>#DIV/0!</v>
      </c>
      <c r="CD429" s="75"/>
      <c r="CE429" s="75"/>
      <c r="CF429" s="75"/>
      <c r="CG429" s="75"/>
      <c r="CH429" s="75" t="e">
        <f>CH426/CC426-1</f>
        <v>#DIV/0!</v>
      </c>
      <c r="CI429" s="75"/>
      <c r="CJ429" s="75"/>
      <c r="CK429" s="75"/>
      <c r="CL429" s="75"/>
      <c r="CM429" s="75" t="e">
        <f>CM426/CH426-1</f>
        <v>#DIV/0!</v>
      </c>
      <c r="CN429" s="75"/>
      <c r="CO429" s="75"/>
      <c r="CP429" s="75"/>
      <c r="CQ429" s="75"/>
      <c r="CR429" s="75" t="e">
        <f>CR426/CM426-1</f>
        <v>#DIV/0!</v>
      </c>
      <c r="CS429" s="75"/>
      <c r="CT429" s="75"/>
      <c r="CU429" s="75"/>
      <c r="CV429" s="75"/>
      <c r="CW429" s="75"/>
      <c r="CX429" s="75"/>
      <c r="CY429" s="75"/>
      <c r="CZ429" s="75"/>
      <c r="DA429" s="75"/>
      <c r="DB429" s="75"/>
      <c r="DC429" s="75"/>
      <c r="DD429" s="75"/>
      <c r="DE429" s="75"/>
      <c r="DF429" s="75"/>
      <c r="DG429" s="75"/>
      <c r="DH429" s="75"/>
      <c r="DI429" s="75"/>
      <c r="DJ429" s="75"/>
      <c r="DK429" s="75"/>
      <c r="DL429" s="192"/>
      <c r="DM429" s="192"/>
      <c r="DN429" s="192"/>
      <c r="DO429" s="192"/>
      <c r="DP429" s="192"/>
    </row>
    <row r="430" spans="1:120" hidden="1" x14ac:dyDescent="0.2">
      <c r="A430" s="78" t="s">
        <v>56</v>
      </c>
      <c r="B430" s="98"/>
      <c r="C430" s="98"/>
      <c r="D430" s="98"/>
      <c r="E430" s="98"/>
      <c r="F430" s="98"/>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3"/>
      <c r="AH430" s="83"/>
      <c r="AI430" s="83"/>
      <c r="AJ430" s="83"/>
      <c r="AK430" s="83"/>
      <c r="AL430" s="83"/>
      <c r="AM430" s="83"/>
      <c r="AN430" s="83"/>
      <c r="AO430" s="83"/>
      <c r="AP430" s="83"/>
      <c r="AQ430" s="83"/>
      <c r="AR430" s="83"/>
      <c r="AS430" s="83"/>
      <c r="AT430" s="83"/>
      <c r="AU430" s="83"/>
      <c r="AV430" s="83"/>
      <c r="AW430" s="83"/>
      <c r="AX430" s="83"/>
      <c r="AY430" s="83"/>
      <c r="AZ430" s="83">
        <f>AZ427/AU427-1</f>
        <v>0.30855018587360594</v>
      </c>
      <c r="BA430" s="83">
        <f>BA427/AV427-1</f>
        <v>0.40344827586206899</v>
      </c>
      <c r="BB430" s="83">
        <f>BB427/AW427-1</f>
        <v>0.43718592964824121</v>
      </c>
      <c r="BC430" s="83">
        <f>BC427/AX427-1</f>
        <v>0.46994535519125691</v>
      </c>
      <c r="BD430" s="83">
        <f t="shared" si="347"/>
        <v>0.39638682252922419</v>
      </c>
      <c r="BE430" s="80">
        <f t="shared" si="347"/>
        <v>9.0909090909090828E-2</v>
      </c>
      <c r="BF430" s="80">
        <f t="shared" si="347"/>
        <v>-2.4570024570024218E-3</v>
      </c>
      <c r="BG430" s="80">
        <f>BG427/BB427-1</f>
        <v>0.16433566433566438</v>
      </c>
      <c r="BH430" s="80">
        <f>BH427/BC427-1</f>
        <v>9.6654275092936892E-2</v>
      </c>
      <c r="BI430" s="80">
        <f t="shared" si="347"/>
        <v>7.9147640791476404E-2</v>
      </c>
      <c r="BJ430" s="80">
        <f t="shared" si="347"/>
        <v>2.6041666666666741E-2</v>
      </c>
      <c r="BK430" s="80">
        <f>BK427/BF427-1</f>
        <v>9.8522167487684609E-3</v>
      </c>
      <c r="BL430" s="80">
        <f>BL427/BG427-1</f>
        <v>-4.2042042042042094E-2</v>
      </c>
      <c r="BM430" s="80">
        <f>BM427/BH427-1</f>
        <v>1.3559322033898313E-2</v>
      </c>
      <c r="BN430" s="80">
        <f>BN427/BI427-1</f>
        <v>2.8208744710860323E-3</v>
      </c>
      <c r="BO430" s="80">
        <f>BO427/BJ427-1</f>
        <v>-4.5685279187817285E-2</v>
      </c>
      <c r="BP430" s="80">
        <f>BP427/BK427-1</f>
        <v>4.6341463414634188E-2</v>
      </c>
      <c r="BQ430" s="80">
        <f>BQ427/BL427-1</f>
        <v>-8.7774294670846409E-2</v>
      </c>
      <c r="BR430" s="80">
        <f>BR427/BM427-1</f>
        <v>-0.94983277591973247</v>
      </c>
      <c r="BS430" s="83">
        <f>BS427/BN427-1</f>
        <v>-0.21870604781997183</v>
      </c>
      <c r="BT430" s="80"/>
      <c r="BU430" s="80"/>
      <c r="BV430" s="80"/>
      <c r="BW430" s="80"/>
      <c r="BX430" s="83">
        <f>BX427/BS427-1</f>
        <v>-1</v>
      </c>
      <c r="BY430" s="83"/>
      <c r="BZ430" s="83"/>
      <c r="CA430" s="83"/>
      <c r="CB430" s="83"/>
      <c r="CC430" s="83" t="e">
        <f>CC427/BX427-1</f>
        <v>#DIV/0!</v>
      </c>
      <c r="CD430" s="83"/>
      <c r="CE430" s="83"/>
      <c r="CF430" s="83"/>
      <c r="CG430" s="83"/>
      <c r="CH430" s="83" t="e">
        <f>CH427/CC427-1</f>
        <v>#DIV/0!</v>
      </c>
      <c r="CI430" s="83"/>
      <c r="CJ430" s="83"/>
      <c r="CK430" s="83"/>
      <c r="CL430" s="83"/>
      <c r="CM430" s="83" t="e">
        <f>CM427/CH427-1</f>
        <v>#DIV/0!</v>
      </c>
      <c r="CN430" s="83"/>
      <c r="CO430" s="83"/>
      <c r="CP430" s="83"/>
      <c r="CQ430" s="83"/>
      <c r="CR430" s="83" t="e">
        <f>CR427/CM427-1</f>
        <v>#DIV/0!</v>
      </c>
      <c r="CS430" s="83"/>
      <c r="CT430" s="83"/>
      <c r="CU430" s="83"/>
      <c r="CV430" s="83"/>
      <c r="CW430" s="83"/>
      <c r="CX430" s="83"/>
      <c r="CY430" s="83"/>
      <c r="CZ430" s="83"/>
      <c r="DA430" s="83"/>
      <c r="DB430" s="83"/>
      <c r="DC430" s="83"/>
      <c r="DD430" s="83"/>
      <c r="DE430" s="83"/>
      <c r="DF430" s="83"/>
      <c r="DG430" s="83"/>
      <c r="DH430" s="83"/>
      <c r="DI430" s="83"/>
      <c r="DJ430" s="83"/>
      <c r="DK430" s="83"/>
      <c r="DL430" s="193"/>
      <c r="DM430" s="193"/>
      <c r="DN430" s="193"/>
      <c r="DO430" s="193"/>
      <c r="DP430" s="193"/>
    </row>
    <row r="431" spans="1:120" hidden="1" x14ac:dyDescent="0.2">
      <c r="A431" s="36" t="s">
        <v>275</v>
      </c>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c r="AS431" s="67"/>
      <c r="AT431" s="67"/>
      <c r="AU431" s="120">
        <v>338</v>
      </c>
      <c r="AV431" s="120">
        <v>381</v>
      </c>
      <c r="AW431" s="120">
        <v>263</v>
      </c>
      <c r="AX431" s="120">
        <v>232</v>
      </c>
      <c r="AY431" s="36">
        <f>AX431+AW431+AV431+AU431</f>
        <v>1214</v>
      </c>
      <c r="AZ431" s="120">
        <v>357</v>
      </c>
      <c r="BA431" s="120">
        <v>364</v>
      </c>
      <c r="BB431" s="120">
        <v>265</v>
      </c>
      <c r="BC431" s="120">
        <v>225</v>
      </c>
      <c r="BD431" s="36">
        <f>BC431+BB431+BA431+AZ431</f>
        <v>1211</v>
      </c>
      <c r="BE431" s="36">
        <v>383</v>
      </c>
      <c r="BF431" s="36">
        <v>383</v>
      </c>
      <c r="BG431" s="36">
        <v>290</v>
      </c>
      <c r="BH431" s="36">
        <v>250</v>
      </c>
      <c r="BI431" s="36">
        <f>BI419+BI425</f>
        <v>1306</v>
      </c>
      <c r="BJ431" s="36">
        <v>400</v>
      </c>
      <c r="BK431" s="36">
        <v>390</v>
      </c>
      <c r="BL431" s="36">
        <v>282</v>
      </c>
      <c r="BM431" s="36">
        <v>254</v>
      </c>
      <c r="BN431" s="36">
        <f>BN419+BN425</f>
        <v>1326</v>
      </c>
      <c r="BO431" s="36">
        <v>390</v>
      </c>
      <c r="BP431" s="36">
        <v>406</v>
      </c>
      <c r="BQ431" s="36">
        <v>262</v>
      </c>
      <c r="BR431" s="36">
        <v>0</v>
      </c>
      <c r="BS431" s="36">
        <f>BS419+BS425</f>
        <v>1058</v>
      </c>
      <c r="BT431" s="36"/>
      <c r="BU431" s="36"/>
      <c r="BV431" s="36"/>
      <c r="BW431" s="36"/>
      <c r="BX431" s="36">
        <f>BX419+BX425</f>
        <v>0</v>
      </c>
      <c r="BY431" s="36"/>
      <c r="BZ431" s="36"/>
      <c r="CA431" s="36"/>
      <c r="CB431" s="36"/>
      <c r="CC431" s="36">
        <f>CC419+CC425</f>
        <v>0</v>
      </c>
      <c r="CD431" s="36"/>
      <c r="CE431" s="36"/>
      <c r="CF431" s="36"/>
      <c r="CG431" s="36"/>
      <c r="CH431" s="36">
        <f>CH419+CH425</f>
        <v>0</v>
      </c>
      <c r="CI431" s="36"/>
      <c r="CJ431" s="36"/>
      <c r="CK431" s="36"/>
      <c r="CL431" s="36"/>
      <c r="CM431" s="36">
        <f>CM419+CM425</f>
        <v>0</v>
      </c>
      <c r="CN431" s="36"/>
      <c r="CO431" s="36"/>
      <c r="CP431" s="36"/>
      <c r="CQ431" s="36"/>
      <c r="CR431" s="36">
        <f>CR419+CR425</f>
        <v>0</v>
      </c>
      <c r="CS431" s="36"/>
      <c r="CT431" s="36"/>
      <c r="CU431" s="36"/>
      <c r="CV431" s="36"/>
      <c r="CW431" s="36"/>
      <c r="CX431" s="36"/>
      <c r="CY431" s="36"/>
      <c r="CZ431" s="36"/>
      <c r="DA431" s="36"/>
      <c r="DB431" s="36"/>
      <c r="DC431" s="36"/>
      <c r="DD431" s="36"/>
      <c r="DE431" s="36"/>
      <c r="DF431" s="36"/>
      <c r="DG431" s="36"/>
      <c r="DH431" s="36"/>
      <c r="DI431" s="36"/>
      <c r="DJ431" s="36"/>
      <c r="DK431" s="36"/>
      <c r="DL431" s="183"/>
      <c r="DM431" s="183"/>
      <c r="DN431" s="183"/>
      <c r="DO431" s="183"/>
      <c r="DP431" s="183"/>
    </row>
    <row r="432" spans="1:120" hidden="1" x14ac:dyDescent="0.2">
      <c r="A432" s="36" t="s">
        <v>276</v>
      </c>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c r="AR432" s="67"/>
      <c r="AS432" s="67"/>
      <c r="AT432" s="67"/>
      <c r="AU432" s="120">
        <v>41</v>
      </c>
      <c r="AV432" s="120">
        <v>41</v>
      </c>
      <c r="AW432" s="120">
        <v>28</v>
      </c>
      <c r="AX432" s="120">
        <v>18</v>
      </c>
      <c r="AY432" s="36">
        <f>AX432+AW432+AV432+AU432</f>
        <v>128</v>
      </c>
      <c r="AZ432" s="120">
        <v>161</v>
      </c>
      <c r="BA432" s="120">
        <v>177</v>
      </c>
      <c r="BB432" s="120">
        <v>156</v>
      </c>
      <c r="BC432" s="120">
        <v>136</v>
      </c>
      <c r="BD432" s="36">
        <f>BC432+BB432+BA432+AZ432</f>
        <v>630</v>
      </c>
      <c r="BE432" s="36">
        <v>171</v>
      </c>
      <c r="BF432" s="36">
        <v>169</v>
      </c>
      <c r="BG432" s="36">
        <v>161</v>
      </c>
      <c r="BH432" s="36">
        <v>145</v>
      </c>
      <c r="BI432" s="36">
        <f>BI420+BI426</f>
        <v>646</v>
      </c>
      <c r="BJ432" s="36">
        <v>171</v>
      </c>
      <c r="BK432" s="36">
        <v>99</v>
      </c>
      <c r="BL432" s="36">
        <v>160</v>
      </c>
      <c r="BM432" s="36">
        <v>137</v>
      </c>
      <c r="BN432" s="36">
        <f>BN420+BN426</f>
        <v>567</v>
      </c>
      <c r="BO432" s="36">
        <v>156</v>
      </c>
      <c r="BP432" s="36">
        <v>177</v>
      </c>
      <c r="BQ432" s="36">
        <v>139</v>
      </c>
      <c r="BR432" s="36">
        <v>16</v>
      </c>
      <c r="BS432" s="36">
        <f>BS420+BS426</f>
        <v>488</v>
      </c>
      <c r="BT432" s="36"/>
      <c r="BU432" s="36"/>
      <c r="BV432" s="36"/>
      <c r="BW432" s="36"/>
      <c r="BX432" s="36">
        <f>BX420+BX426</f>
        <v>0</v>
      </c>
      <c r="BY432" s="36"/>
      <c r="BZ432" s="36"/>
      <c r="CA432" s="36"/>
      <c r="CB432" s="36"/>
      <c r="CC432" s="36">
        <f>CC420+CC426</f>
        <v>0</v>
      </c>
      <c r="CD432" s="36"/>
      <c r="CE432" s="36"/>
      <c r="CF432" s="36"/>
      <c r="CG432" s="36"/>
      <c r="CH432" s="36">
        <f>CH420+CH426</f>
        <v>0</v>
      </c>
      <c r="CI432" s="36"/>
      <c r="CJ432" s="36"/>
      <c r="CK432" s="36"/>
      <c r="CL432" s="36"/>
      <c r="CM432" s="36">
        <f>CM420+CM426</f>
        <v>0</v>
      </c>
      <c r="CN432" s="36"/>
      <c r="CO432" s="36"/>
      <c r="CP432" s="36"/>
      <c r="CQ432" s="36"/>
      <c r="CR432" s="36">
        <f>CR420+CR426</f>
        <v>0</v>
      </c>
      <c r="CS432" s="36"/>
      <c r="CT432" s="36"/>
      <c r="CU432" s="36"/>
      <c r="CV432" s="36"/>
      <c r="CW432" s="36"/>
      <c r="CX432" s="36"/>
      <c r="CY432" s="36"/>
      <c r="CZ432" s="36"/>
      <c r="DA432" s="36"/>
      <c r="DB432" s="36"/>
      <c r="DC432" s="36"/>
      <c r="DD432" s="36"/>
      <c r="DE432" s="36"/>
      <c r="DF432" s="36"/>
      <c r="DG432" s="36"/>
      <c r="DH432" s="36"/>
      <c r="DI432" s="36"/>
      <c r="DJ432" s="36"/>
      <c r="DK432" s="36"/>
      <c r="DL432" s="183"/>
      <c r="DM432" s="183"/>
      <c r="DN432" s="183"/>
      <c r="DO432" s="183"/>
      <c r="DP432" s="183"/>
    </row>
    <row r="433" spans="1:120" hidden="1" x14ac:dyDescent="0.2">
      <c r="A433" s="39" t="s">
        <v>277</v>
      </c>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c r="AR433" s="67"/>
      <c r="AS433" s="67"/>
      <c r="AT433" s="67"/>
      <c r="AU433" s="165">
        <f>AU432+AU431</f>
        <v>379</v>
      </c>
      <c r="AV433" s="165">
        <f>AV432+AV431</f>
        <v>422</v>
      </c>
      <c r="AW433" s="165">
        <f>AW432+AW431</f>
        <v>291</v>
      </c>
      <c r="AX433" s="165">
        <f>AX432+AX431</f>
        <v>250</v>
      </c>
      <c r="AY433" s="39">
        <f>AX433+AW433+AV433+AU433</f>
        <v>1342</v>
      </c>
      <c r="AZ433" s="165">
        <f>AZ432+AZ431</f>
        <v>518</v>
      </c>
      <c r="BA433" s="165">
        <f>BA432+BA431</f>
        <v>541</v>
      </c>
      <c r="BB433" s="165">
        <f>BB432+BB431</f>
        <v>421</v>
      </c>
      <c r="BC433" s="165">
        <f>BC432+BC431</f>
        <v>361</v>
      </c>
      <c r="BD433" s="39">
        <f>BC433+BB433+BA433+AZ433</f>
        <v>1841</v>
      </c>
      <c r="BE433" s="39">
        <f>BE431+BE432</f>
        <v>554</v>
      </c>
      <c r="BF433" s="39">
        <f>BF431+BF432</f>
        <v>552</v>
      </c>
      <c r="BG433" s="39">
        <f>BG431+BG432</f>
        <v>451</v>
      </c>
      <c r="BH433" s="39">
        <f>BH431+BH432</f>
        <v>395</v>
      </c>
      <c r="BI433" s="39">
        <f t="shared" ref="BI433:BS433" si="348">BI432+BI431</f>
        <v>1952</v>
      </c>
      <c r="BJ433" s="39">
        <f t="shared" si="348"/>
        <v>571</v>
      </c>
      <c r="BK433" s="39">
        <f t="shared" si="348"/>
        <v>489</v>
      </c>
      <c r="BL433" s="39">
        <f t="shared" si="348"/>
        <v>442</v>
      </c>
      <c r="BM433" s="39">
        <f t="shared" si="348"/>
        <v>391</v>
      </c>
      <c r="BN433" s="39">
        <f t="shared" si="348"/>
        <v>1893</v>
      </c>
      <c r="BO433" s="39">
        <f t="shared" si="348"/>
        <v>546</v>
      </c>
      <c r="BP433" s="39">
        <f t="shared" si="348"/>
        <v>583</v>
      </c>
      <c r="BQ433" s="39">
        <f t="shared" si="348"/>
        <v>401</v>
      </c>
      <c r="BR433" s="39">
        <f t="shared" si="348"/>
        <v>16</v>
      </c>
      <c r="BS433" s="39">
        <f t="shared" si="348"/>
        <v>1546</v>
      </c>
      <c r="BT433" s="39"/>
      <c r="BU433" s="39"/>
      <c r="BV433" s="39"/>
      <c r="BW433" s="39"/>
      <c r="BX433" s="39">
        <f>BX432+BX431</f>
        <v>0</v>
      </c>
      <c r="BY433" s="39"/>
      <c r="BZ433" s="39"/>
      <c r="CA433" s="39"/>
      <c r="CB433" s="39"/>
      <c r="CC433" s="39">
        <f>CC432+CC431</f>
        <v>0</v>
      </c>
      <c r="CD433" s="39"/>
      <c r="CE433" s="39"/>
      <c r="CF433" s="39"/>
      <c r="CG433" s="39"/>
      <c r="CH433" s="39">
        <f>CH432+CH431</f>
        <v>0</v>
      </c>
      <c r="CI433" s="39"/>
      <c r="CJ433" s="39"/>
      <c r="CK433" s="39"/>
      <c r="CL433" s="39"/>
      <c r="CM433" s="39">
        <f>CM432+CM431</f>
        <v>0</v>
      </c>
      <c r="CN433" s="39"/>
      <c r="CO433" s="39"/>
      <c r="CP433" s="39"/>
      <c r="CQ433" s="39"/>
      <c r="CR433" s="39">
        <f>CR432+CR431</f>
        <v>0</v>
      </c>
      <c r="CS433" s="39"/>
      <c r="CT433" s="39"/>
      <c r="CU433" s="39"/>
      <c r="CV433" s="39"/>
      <c r="CW433" s="39"/>
      <c r="CX433" s="39"/>
      <c r="CY433" s="39"/>
      <c r="CZ433" s="39"/>
      <c r="DA433" s="39"/>
      <c r="DB433" s="39"/>
      <c r="DC433" s="39"/>
      <c r="DD433" s="39"/>
      <c r="DE433" s="39"/>
      <c r="DF433" s="39"/>
      <c r="DG433" s="39"/>
      <c r="DH433" s="39"/>
      <c r="DI433" s="39"/>
      <c r="DJ433" s="39"/>
      <c r="DK433" s="39"/>
      <c r="DL433" s="187"/>
      <c r="DM433" s="187"/>
      <c r="DN433" s="187"/>
      <c r="DO433" s="187"/>
      <c r="DP433" s="187"/>
    </row>
    <row r="434" spans="1:120" hidden="1" x14ac:dyDescent="0.2">
      <c r="A434" s="68" t="s">
        <v>54</v>
      </c>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c r="AR434" s="67"/>
      <c r="AS434" s="67"/>
      <c r="AT434" s="67"/>
      <c r="AU434" s="67"/>
      <c r="AV434" s="67"/>
      <c r="AW434" s="67"/>
      <c r="AX434" s="67"/>
      <c r="AY434" s="75"/>
      <c r="AZ434" s="75">
        <f t="shared" ref="AZ434:BS436" si="349">AZ431/AU431-1</f>
        <v>5.6213017751479244E-2</v>
      </c>
      <c r="BA434" s="75">
        <f t="shared" si="349"/>
        <v>-4.4619422572178435E-2</v>
      </c>
      <c r="BB434" s="75">
        <f t="shared" si="349"/>
        <v>7.6045627376426506E-3</v>
      </c>
      <c r="BC434" s="75">
        <f t="shared" si="349"/>
        <v>-3.0172413793103425E-2</v>
      </c>
      <c r="BD434" s="75">
        <f t="shared" si="349"/>
        <v>-2.4711696869851307E-3</v>
      </c>
      <c r="BE434" s="75">
        <f t="shared" si="349"/>
        <v>7.2829131652661028E-2</v>
      </c>
      <c r="BF434" s="75">
        <f t="shared" si="349"/>
        <v>5.2197802197802234E-2</v>
      </c>
      <c r="BG434" s="75">
        <f t="shared" si="349"/>
        <v>9.4339622641509413E-2</v>
      </c>
      <c r="BH434" s="75">
        <f t="shared" si="349"/>
        <v>0.11111111111111116</v>
      </c>
      <c r="BI434" s="75">
        <f t="shared" si="349"/>
        <v>7.8447563996696834E-2</v>
      </c>
      <c r="BJ434" s="76">
        <f t="shared" si="349"/>
        <v>4.4386422976501416E-2</v>
      </c>
      <c r="BK434" s="75">
        <f t="shared" si="349"/>
        <v>1.8276762402088753E-2</v>
      </c>
      <c r="BL434" s="75">
        <f t="shared" si="349"/>
        <v>-2.7586206896551779E-2</v>
      </c>
      <c r="BM434" s="75">
        <f t="shared" si="349"/>
        <v>1.6000000000000014E-2</v>
      </c>
      <c r="BN434" s="75">
        <f t="shared" si="349"/>
        <v>1.5313935681470214E-2</v>
      </c>
      <c r="BO434" s="76">
        <f t="shared" si="349"/>
        <v>-2.5000000000000022E-2</v>
      </c>
      <c r="BP434" s="76">
        <f t="shared" si="349"/>
        <v>4.1025641025641102E-2</v>
      </c>
      <c r="BQ434" s="76">
        <f t="shared" si="349"/>
        <v>-7.0921985815602828E-2</v>
      </c>
      <c r="BR434" s="76">
        <f t="shared" si="349"/>
        <v>-1</v>
      </c>
      <c r="BS434" s="75">
        <f t="shared" si="349"/>
        <v>-0.20211161387631971</v>
      </c>
      <c r="BT434" s="76"/>
      <c r="BU434" s="76"/>
      <c r="BV434" s="76"/>
      <c r="BW434" s="76"/>
      <c r="BX434" s="75">
        <f>BX431/BS431-1</f>
        <v>-1</v>
      </c>
      <c r="BY434" s="75"/>
      <c r="BZ434" s="75"/>
      <c r="CA434" s="75"/>
      <c r="CB434" s="75"/>
      <c r="CC434" s="75" t="e">
        <f>CC431/BX431-1</f>
        <v>#DIV/0!</v>
      </c>
      <c r="CD434" s="75"/>
      <c r="CE434" s="75"/>
      <c r="CF434" s="75"/>
      <c r="CG434" s="75"/>
      <c r="CH434" s="75" t="e">
        <f>CH431/CC431-1</f>
        <v>#DIV/0!</v>
      </c>
      <c r="CI434" s="75"/>
      <c r="CJ434" s="75"/>
      <c r="CK434" s="75"/>
      <c r="CL434" s="75"/>
      <c r="CM434" s="75" t="e">
        <f>CM431/CH431-1</f>
        <v>#DIV/0!</v>
      </c>
      <c r="CN434" s="75"/>
      <c r="CO434" s="75"/>
      <c r="CP434" s="75"/>
      <c r="CQ434" s="75"/>
      <c r="CR434" s="75" t="e">
        <f>CR431/CM431-1</f>
        <v>#DIV/0!</v>
      </c>
      <c r="CS434" s="75"/>
      <c r="CT434" s="75"/>
      <c r="CU434" s="75"/>
      <c r="CV434" s="75"/>
      <c r="CW434" s="75"/>
      <c r="CX434" s="75"/>
      <c r="CY434" s="75"/>
      <c r="CZ434" s="75"/>
      <c r="DA434" s="75"/>
      <c r="DB434" s="75"/>
      <c r="DC434" s="75"/>
      <c r="DD434" s="75"/>
      <c r="DE434" s="75"/>
      <c r="DF434" s="75"/>
      <c r="DG434" s="75"/>
      <c r="DH434" s="75"/>
      <c r="DI434" s="75"/>
      <c r="DJ434" s="75"/>
      <c r="DK434" s="75"/>
      <c r="DL434" s="192"/>
      <c r="DM434" s="192"/>
      <c r="DN434" s="192"/>
      <c r="DO434" s="192"/>
      <c r="DP434" s="192"/>
    </row>
    <row r="435" spans="1:120" hidden="1" x14ac:dyDescent="0.2">
      <c r="A435" s="68" t="s">
        <v>55</v>
      </c>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c r="AR435" s="67"/>
      <c r="AS435" s="67"/>
      <c r="AT435" s="67"/>
      <c r="AU435" s="67"/>
      <c r="AV435" s="67"/>
      <c r="AW435" s="67"/>
      <c r="AX435" s="67"/>
      <c r="AY435" s="75"/>
      <c r="AZ435" s="75">
        <f t="shared" si="349"/>
        <v>2.9268292682926829</v>
      </c>
      <c r="BA435" s="75">
        <f t="shared" si="349"/>
        <v>3.3170731707317076</v>
      </c>
      <c r="BB435" s="75">
        <f t="shared" si="349"/>
        <v>4.5714285714285712</v>
      </c>
      <c r="BC435" s="75">
        <f t="shared" si="349"/>
        <v>6.5555555555555554</v>
      </c>
      <c r="BD435" s="75">
        <f t="shared" si="349"/>
        <v>3.921875</v>
      </c>
      <c r="BE435" s="75">
        <f t="shared" si="349"/>
        <v>6.211180124223592E-2</v>
      </c>
      <c r="BF435" s="75">
        <f t="shared" si="349"/>
        <v>-4.5197740112994378E-2</v>
      </c>
      <c r="BG435" s="75">
        <f t="shared" si="349"/>
        <v>3.2051282051282159E-2</v>
      </c>
      <c r="BH435" s="75">
        <f t="shared" si="349"/>
        <v>6.6176470588235281E-2</v>
      </c>
      <c r="BI435" s="75">
        <f t="shared" si="349"/>
        <v>2.5396825396825307E-2</v>
      </c>
      <c r="BJ435" s="76">
        <f t="shared" si="349"/>
        <v>0</v>
      </c>
      <c r="BK435" s="75">
        <f t="shared" si="349"/>
        <v>-0.41420118343195267</v>
      </c>
      <c r="BL435" s="75">
        <f t="shared" si="349"/>
        <v>-6.2111801242236142E-3</v>
      </c>
      <c r="BM435" s="75">
        <f t="shared" si="349"/>
        <v>-5.5172413793103448E-2</v>
      </c>
      <c r="BN435" s="75">
        <f t="shared" si="349"/>
        <v>-0.12229102167182659</v>
      </c>
      <c r="BO435" s="76">
        <f t="shared" si="349"/>
        <v>-8.7719298245614086E-2</v>
      </c>
      <c r="BP435" s="76">
        <f t="shared" si="349"/>
        <v>0.78787878787878785</v>
      </c>
      <c r="BQ435" s="76">
        <f t="shared" si="349"/>
        <v>-0.13124999999999998</v>
      </c>
      <c r="BR435" s="76">
        <f t="shared" si="349"/>
        <v>-0.88321167883211682</v>
      </c>
      <c r="BS435" s="75">
        <f t="shared" si="349"/>
        <v>-0.13932980599647271</v>
      </c>
      <c r="BT435" s="76"/>
      <c r="BU435" s="76"/>
      <c r="BV435" s="76"/>
      <c r="BW435" s="76"/>
      <c r="BX435" s="75">
        <f>BX432/BS432-1</f>
        <v>-1</v>
      </c>
      <c r="BY435" s="75"/>
      <c r="BZ435" s="75"/>
      <c r="CA435" s="75"/>
      <c r="CB435" s="75"/>
      <c r="CC435" s="75" t="e">
        <f>CC432/BX432-1</f>
        <v>#DIV/0!</v>
      </c>
      <c r="CD435" s="75"/>
      <c r="CE435" s="75"/>
      <c r="CF435" s="75"/>
      <c r="CG435" s="75"/>
      <c r="CH435" s="75" t="e">
        <f>CH432/CC432-1</f>
        <v>#DIV/0!</v>
      </c>
      <c r="CI435" s="75"/>
      <c r="CJ435" s="75"/>
      <c r="CK435" s="75"/>
      <c r="CL435" s="75"/>
      <c r="CM435" s="75" t="e">
        <f>CM432/CH432-1</f>
        <v>#DIV/0!</v>
      </c>
      <c r="CN435" s="75"/>
      <c r="CO435" s="75"/>
      <c r="CP435" s="75"/>
      <c r="CQ435" s="75"/>
      <c r="CR435" s="75" t="e">
        <f>CR432/CM432-1</f>
        <v>#DIV/0!</v>
      </c>
      <c r="CS435" s="75"/>
      <c r="CT435" s="75"/>
      <c r="CU435" s="75"/>
      <c r="CV435" s="75"/>
      <c r="CW435" s="75"/>
      <c r="CX435" s="75"/>
      <c r="CY435" s="75"/>
      <c r="CZ435" s="75"/>
      <c r="DA435" s="75"/>
      <c r="DB435" s="75"/>
      <c r="DC435" s="75"/>
      <c r="DD435" s="75"/>
      <c r="DE435" s="75"/>
      <c r="DF435" s="75"/>
      <c r="DG435" s="75"/>
      <c r="DH435" s="75"/>
      <c r="DI435" s="75"/>
      <c r="DJ435" s="75"/>
      <c r="DK435" s="75"/>
      <c r="DL435" s="192"/>
      <c r="DM435" s="192"/>
      <c r="DN435" s="192"/>
      <c r="DO435" s="192"/>
      <c r="DP435" s="192"/>
    </row>
    <row r="436" spans="1:120" hidden="1" x14ac:dyDescent="0.2">
      <c r="A436" s="78" t="s">
        <v>56</v>
      </c>
      <c r="B436" s="98"/>
      <c r="C436" s="98"/>
      <c r="D436" s="98"/>
      <c r="E436" s="98"/>
      <c r="F436" s="98"/>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3"/>
      <c r="AH436" s="83"/>
      <c r="AI436" s="83"/>
      <c r="AJ436" s="83"/>
      <c r="AK436" s="83"/>
      <c r="AL436" s="83"/>
      <c r="AM436" s="83"/>
      <c r="AN436" s="83"/>
      <c r="AO436" s="83"/>
      <c r="AP436" s="83"/>
      <c r="AQ436" s="83"/>
      <c r="AR436" s="83"/>
      <c r="AS436" s="83"/>
      <c r="AT436" s="83"/>
      <c r="AU436" s="83"/>
      <c r="AV436" s="83"/>
      <c r="AW436" s="83"/>
      <c r="AX436" s="83"/>
      <c r="AY436" s="83"/>
      <c r="AZ436" s="83">
        <f t="shared" si="349"/>
        <v>0.36675461741424797</v>
      </c>
      <c r="BA436" s="83">
        <f t="shared" si="349"/>
        <v>0.28199052132701419</v>
      </c>
      <c r="BB436" s="83">
        <f t="shared" si="349"/>
        <v>0.4467353951890034</v>
      </c>
      <c r="BC436" s="83">
        <f t="shared" si="349"/>
        <v>0.44399999999999995</v>
      </c>
      <c r="BD436" s="83">
        <f t="shared" si="349"/>
        <v>0.37183308494783907</v>
      </c>
      <c r="BE436" s="83">
        <f t="shared" si="349"/>
        <v>6.9498069498069581E-2</v>
      </c>
      <c r="BF436" s="83">
        <f t="shared" si="349"/>
        <v>2.0332717190388205E-2</v>
      </c>
      <c r="BG436" s="83">
        <f t="shared" si="349"/>
        <v>7.1258907363420443E-2</v>
      </c>
      <c r="BH436" s="83">
        <f t="shared" si="349"/>
        <v>9.4182825484764532E-2</v>
      </c>
      <c r="BI436" s="83">
        <f t="shared" si="349"/>
        <v>6.0293318848452016E-2</v>
      </c>
      <c r="BJ436" s="83">
        <f t="shared" si="349"/>
        <v>3.0685920577617321E-2</v>
      </c>
      <c r="BK436" s="83">
        <f t="shared" si="349"/>
        <v>-0.11413043478260865</v>
      </c>
      <c r="BL436" s="83">
        <f t="shared" si="349"/>
        <v>-1.9955654101995512E-2</v>
      </c>
      <c r="BM436" s="83">
        <f t="shared" si="349"/>
        <v>-1.0126582278481067E-2</v>
      </c>
      <c r="BN436" s="83">
        <f t="shared" si="349"/>
        <v>-3.0225409836065587E-2</v>
      </c>
      <c r="BO436" s="83">
        <f t="shared" si="349"/>
        <v>-4.3782837127845919E-2</v>
      </c>
      <c r="BP436" s="83">
        <f t="shared" si="349"/>
        <v>0.1922290388548058</v>
      </c>
      <c r="BQ436" s="83">
        <f t="shared" si="349"/>
        <v>-9.2760180995475117E-2</v>
      </c>
      <c r="BR436" s="83">
        <f t="shared" si="349"/>
        <v>-0.95907928388746799</v>
      </c>
      <c r="BS436" s="83">
        <f t="shared" si="349"/>
        <v>-0.18330692023243533</v>
      </c>
      <c r="BT436" s="83"/>
      <c r="BU436" s="83"/>
      <c r="BV436" s="83"/>
      <c r="BW436" s="83"/>
      <c r="BX436" s="83">
        <f>BX433/BS433-1</f>
        <v>-1</v>
      </c>
      <c r="BY436" s="83"/>
      <c r="BZ436" s="83"/>
      <c r="CA436" s="83"/>
      <c r="CB436" s="83"/>
      <c r="CC436" s="83" t="e">
        <f>CC433/BX433-1</f>
        <v>#DIV/0!</v>
      </c>
      <c r="CD436" s="83"/>
      <c r="CE436" s="83"/>
      <c r="CF436" s="83"/>
      <c r="CG436" s="83"/>
      <c r="CH436" s="83" t="e">
        <f>CH433/CC433-1</f>
        <v>#DIV/0!</v>
      </c>
      <c r="CI436" s="83"/>
      <c r="CJ436" s="83"/>
      <c r="CK436" s="83"/>
      <c r="CL436" s="83"/>
      <c r="CM436" s="83" t="e">
        <f>CM433/CH433-1</f>
        <v>#DIV/0!</v>
      </c>
      <c r="CN436" s="83"/>
      <c r="CO436" s="83"/>
      <c r="CP436" s="83"/>
      <c r="CQ436" s="83"/>
      <c r="CR436" s="83" t="e">
        <f>CR433/CM433-1</f>
        <v>#DIV/0!</v>
      </c>
      <c r="CS436" s="83"/>
      <c r="CT436" s="83"/>
      <c r="CU436" s="83"/>
      <c r="CV436" s="83"/>
      <c r="CW436" s="83"/>
      <c r="CX436" s="83"/>
      <c r="CY436" s="83"/>
      <c r="CZ436" s="83"/>
      <c r="DA436" s="83"/>
      <c r="DB436" s="83"/>
      <c r="DC436" s="83"/>
      <c r="DD436" s="83"/>
      <c r="DE436" s="83"/>
      <c r="DF436" s="83"/>
      <c r="DG436" s="83"/>
      <c r="DH436" s="83"/>
      <c r="DI436" s="83"/>
      <c r="DJ436" s="83"/>
      <c r="DK436" s="83"/>
      <c r="DL436" s="193"/>
      <c r="DM436" s="193"/>
      <c r="DN436" s="193"/>
      <c r="DO436" s="193"/>
      <c r="DP436" s="193"/>
    </row>
    <row r="437" spans="1:120" hidden="1" x14ac:dyDescent="0.2">
      <c r="A437" s="36" t="s">
        <v>278</v>
      </c>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c r="AR437" s="67"/>
      <c r="AS437" s="67"/>
      <c r="AT437" s="67"/>
      <c r="AU437" s="120">
        <v>364</v>
      </c>
      <c r="AV437" s="120">
        <v>241</v>
      </c>
      <c r="AW437" s="120">
        <v>345</v>
      </c>
      <c r="AX437" s="120">
        <v>302</v>
      </c>
      <c r="AY437" s="36">
        <f>AX437+AW437+AV437+AU437</f>
        <v>1252</v>
      </c>
      <c r="AZ437" s="120">
        <v>322</v>
      </c>
      <c r="BA437" s="120">
        <v>306</v>
      </c>
      <c r="BB437" s="120">
        <v>299</v>
      </c>
      <c r="BC437" s="120">
        <v>256</v>
      </c>
      <c r="BD437" s="36">
        <f>BC437+BB437+BA437+AZ437</f>
        <v>1183</v>
      </c>
      <c r="BE437" s="36">
        <v>186</v>
      </c>
      <c r="BF437" s="36">
        <v>223</v>
      </c>
      <c r="BG437" s="36">
        <v>255</v>
      </c>
      <c r="BH437" s="36">
        <v>251</v>
      </c>
      <c r="BI437" s="36">
        <f>SUM(BE437:BH437)</f>
        <v>915</v>
      </c>
      <c r="BJ437" s="36">
        <v>262</v>
      </c>
      <c r="BK437" s="36">
        <v>245</v>
      </c>
      <c r="BL437" s="36">
        <v>220</v>
      </c>
      <c r="BM437" s="36">
        <v>193</v>
      </c>
      <c r="BN437" s="36">
        <f>SUM(BJ437:BM437)</f>
        <v>920</v>
      </c>
      <c r="BO437" s="36">
        <v>147</v>
      </c>
      <c r="BP437" s="36">
        <v>316</v>
      </c>
      <c r="BQ437" s="36">
        <v>1</v>
      </c>
      <c r="BR437" s="36">
        <v>0</v>
      </c>
      <c r="BS437" s="36">
        <f>SUM(BO437:BR437)</f>
        <v>464</v>
      </c>
      <c r="BT437" s="36">
        <f t="shared" ref="BT437:BW438" si="350">BO437*(1+BT440)</f>
        <v>0</v>
      </c>
      <c r="BU437" s="36">
        <f t="shared" si="350"/>
        <v>0</v>
      </c>
      <c r="BV437" s="36">
        <f t="shared" si="350"/>
        <v>0</v>
      </c>
      <c r="BW437" s="36">
        <f t="shared" si="350"/>
        <v>0</v>
      </c>
      <c r="BX437" s="36">
        <f>SUM(BT437:BW437)</f>
        <v>0</v>
      </c>
      <c r="BY437" s="36">
        <f t="shared" ref="BY437:CB438" si="351">BT437*(1+BY440)</f>
        <v>0</v>
      </c>
      <c r="BZ437" s="36">
        <f t="shared" si="351"/>
        <v>0</v>
      </c>
      <c r="CA437" s="36">
        <f t="shared" si="351"/>
        <v>0</v>
      </c>
      <c r="CB437" s="36">
        <f t="shared" si="351"/>
        <v>0</v>
      </c>
      <c r="CC437" s="36">
        <f>SUM(BY437:CB437)</f>
        <v>0</v>
      </c>
      <c r="CD437" s="36">
        <f t="shared" ref="CD437:CG438" si="352">BY437*(1+CD440)</f>
        <v>0</v>
      </c>
      <c r="CE437" s="36">
        <f t="shared" si="352"/>
        <v>0</v>
      </c>
      <c r="CF437" s="36">
        <f t="shared" si="352"/>
        <v>0</v>
      </c>
      <c r="CG437" s="36">
        <f t="shared" si="352"/>
        <v>0</v>
      </c>
      <c r="CH437" s="36">
        <f>SUM(CD437:CG437)</f>
        <v>0</v>
      </c>
      <c r="CI437" s="36">
        <f t="shared" ref="CI437:CL438" si="353">CD437*(1+CI440)</f>
        <v>0</v>
      </c>
      <c r="CJ437" s="36">
        <f t="shared" si="353"/>
        <v>0</v>
      </c>
      <c r="CK437" s="36">
        <f t="shared" si="353"/>
        <v>0</v>
      </c>
      <c r="CL437" s="36">
        <f t="shared" si="353"/>
        <v>0</v>
      </c>
      <c r="CM437" s="36">
        <f>SUM(CI437:CL437)</f>
        <v>0</v>
      </c>
      <c r="CN437" s="36">
        <f t="shared" ref="CN437:CQ438" si="354">CI437*(1+CN440)</f>
        <v>0</v>
      </c>
      <c r="CO437" s="36">
        <f t="shared" si="354"/>
        <v>0</v>
      </c>
      <c r="CP437" s="36">
        <f t="shared" si="354"/>
        <v>0</v>
      </c>
      <c r="CQ437" s="36">
        <f t="shared" si="354"/>
        <v>0</v>
      </c>
      <c r="CR437" s="36">
        <f>SUM(CN437:CQ437)</f>
        <v>0</v>
      </c>
      <c r="CS437" s="36"/>
      <c r="CT437" s="36"/>
      <c r="CU437" s="36"/>
      <c r="CV437" s="36"/>
      <c r="CW437" s="36">
        <f>CR437*(1+CW440)</f>
        <v>0</v>
      </c>
      <c r="CX437" s="36"/>
      <c r="CY437" s="36"/>
      <c r="CZ437" s="36"/>
      <c r="DA437" s="36"/>
      <c r="DB437" s="36">
        <f t="shared" ref="DB437:DL438" si="355">CW437*(1+DB440)</f>
        <v>0</v>
      </c>
      <c r="DC437" s="36">
        <f t="shared" si="355"/>
        <v>0</v>
      </c>
      <c r="DD437" s="36">
        <f t="shared" si="355"/>
        <v>0</v>
      </c>
      <c r="DE437" s="36">
        <f t="shared" si="355"/>
        <v>0</v>
      </c>
      <c r="DF437" s="36">
        <f t="shared" si="355"/>
        <v>0</v>
      </c>
      <c r="DG437" s="36">
        <f t="shared" si="355"/>
        <v>0</v>
      </c>
      <c r="DH437" s="36">
        <f t="shared" si="355"/>
        <v>0</v>
      </c>
      <c r="DI437" s="36">
        <f t="shared" si="355"/>
        <v>0</v>
      </c>
      <c r="DJ437" s="36">
        <f t="shared" si="355"/>
        <v>0</v>
      </c>
      <c r="DK437" s="36">
        <f t="shared" si="355"/>
        <v>0</v>
      </c>
      <c r="DL437" s="183">
        <f t="shared" si="355"/>
        <v>0</v>
      </c>
      <c r="DM437" s="183">
        <f t="shared" ref="DM437:DP438" si="356">DL437*(1+DM440)</f>
        <v>0</v>
      </c>
      <c r="DN437" s="183">
        <f t="shared" si="356"/>
        <v>0</v>
      </c>
      <c r="DO437" s="183">
        <f t="shared" si="356"/>
        <v>0</v>
      </c>
      <c r="DP437" s="183">
        <f t="shared" si="356"/>
        <v>0</v>
      </c>
    </row>
    <row r="438" spans="1:120" hidden="1" x14ac:dyDescent="0.2">
      <c r="A438" s="36" t="s">
        <v>279</v>
      </c>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c r="AR438" s="67"/>
      <c r="AS438" s="67"/>
      <c r="AT438" s="67"/>
      <c r="AU438" s="67"/>
      <c r="AV438" s="67"/>
      <c r="AW438" s="67"/>
      <c r="AX438" s="67"/>
      <c r="AY438" s="36">
        <f>AX438+AW438+AV438+AU438</f>
        <v>0</v>
      </c>
      <c r="AZ438" s="67"/>
      <c r="BA438" s="67"/>
      <c r="BB438" s="67"/>
      <c r="BC438" s="67"/>
      <c r="BD438" s="36">
        <v>0</v>
      </c>
      <c r="BE438" s="36"/>
      <c r="BF438" s="36">
        <v>0</v>
      </c>
      <c r="BG438" s="36">
        <v>0</v>
      </c>
      <c r="BH438" s="36">
        <f>BC438*(1+BH441)</f>
        <v>0</v>
      </c>
      <c r="BI438" s="36">
        <f>BD438*(1+BI441)</f>
        <v>0</v>
      </c>
      <c r="BJ438" s="36">
        <f>BE438*(1+BJ441)</f>
        <v>0</v>
      </c>
      <c r="BK438" s="36">
        <v>0</v>
      </c>
      <c r="BL438" s="36">
        <v>0</v>
      </c>
      <c r="BM438" s="36">
        <v>0</v>
      </c>
      <c r="BN438" s="36">
        <f>BI438*(1+BN441)</f>
        <v>0</v>
      </c>
      <c r="BO438" s="36">
        <v>0</v>
      </c>
      <c r="BP438" s="36">
        <v>0</v>
      </c>
      <c r="BQ438" s="36">
        <v>0</v>
      </c>
      <c r="BR438" s="36">
        <v>0</v>
      </c>
      <c r="BS438" s="36">
        <f>BN438*(1+BS441)</f>
        <v>0</v>
      </c>
      <c r="BT438" s="36">
        <f t="shared" si="350"/>
        <v>0</v>
      </c>
      <c r="BU438" s="36">
        <f t="shared" si="350"/>
        <v>0</v>
      </c>
      <c r="BV438" s="36">
        <f t="shared" si="350"/>
        <v>0</v>
      </c>
      <c r="BW438" s="36">
        <f t="shared" si="350"/>
        <v>0</v>
      </c>
      <c r="BX438" s="36">
        <f>BS438*(1+BX441)</f>
        <v>0</v>
      </c>
      <c r="BY438" s="36">
        <f t="shared" si="351"/>
        <v>0</v>
      </c>
      <c r="BZ438" s="36">
        <f t="shared" si="351"/>
        <v>0</v>
      </c>
      <c r="CA438" s="36">
        <f t="shared" si="351"/>
        <v>0</v>
      </c>
      <c r="CB438" s="36">
        <f t="shared" si="351"/>
        <v>0</v>
      </c>
      <c r="CC438" s="36">
        <f>BX438*(1+CC441)</f>
        <v>0</v>
      </c>
      <c r="CD438" s="36">
        <f t="shared" si="352"/>
        <v>0</v>
      </c>
      <c r="CE438" s="36">
        <f t="shared" si="352"/>
        <v>0</v>
      </c>
      <c r="CF438" s="36">
        <f t="shared" si="352"/>
        <v>0</v>
      </c>
      <c r="CG438" s="36">
        <f t="shared" si="352"/>
        <v>0</v>
      </c>
      <c r="CH438" s="36">
        <f>CC438*(1+CH441)</f>
        <v>0</v>
      </c>
      <c r="CI438" s="36">
        <f t="shared" si="353"/>
        <v>0</v>
      </c>
      <c r="CJ438" s="36">
        <f t="shared" si="353"/>
        <v>0</v>
      </c>
      <c r="CK438" s="36">
        <f t="shared" si="353"/>
        <v>0</v>
      </c>
      <c r="CL438" s="36">
        <f t="shared" si="353"/>
        <v>0</v>
      </c>
      <c r="CM438" s="36">
        <f>CH438*(1+CM441)</f>
        <v>0</v>
      </c>
      <c r="CN438" s="36">
        <f t="shared" si="354"/>
        <v>0</v>
      </c>
      <c r="CO438" s="36">
        <f t="shared" si="354"/>
        <v>0</v>
      </c>
      <c r="CP438" s="36">
        <f t="shared" si="354"/>
        <v>0</v>
      </c>
      <c r="CQ438" s="36">
        <f t="shared" si="354"/>
        <v>0</v>
      </c>
      <c r="CR438" s="36">
        <f>CM438*(1+CR441)</f>
        <v>0</v>
      </c>
      <c r="CS438" s="36"/>
      <c r="CT438" s="36"/>
      <c r="CU438" s="36"/>
      <c r="CV438" s="36"/>
      <c r="CW438" s="36">
        <f>CR438*(1+CW441)</f>
        <v>0</v>
      </c>
      <c r="CX438" s="36"/>
      <c r="CY438" s="36"/>
      <c r="CZ438" s="36"/>
      <c r="DA438" s="36"/>
      <c r="DB438" s="36">
        <f t="shared" si="355"/>
        <v>0</v>
      </c>
      <c r="DC438" s="36">
        <f t="shared" si="355"/>
        <v>0</v>
      </c>
      <c r="DD438" s="36">
        <f t="shared" si="355"/>
        <v>0</v>
      </c>
      <c r="DE438" s="36">
        <f t="shared" si="355"/>
        <v>0</v>
      </c>
      <c r="DF438" s="36">
        <f t="shared" si="355"/>
        <v>0</v>
      </c>
      <c r="DG438" s="36">
        <f t="shared" si="355"/>
        <v>0</v>
      </c>
      <c r="DH438" s="36">
        <f>DC438*(1+DH441)</f>
        <v>0</v>
      </c>
      <c r="DI438" s="36">
        <f>DD438*(1+DI441)</f>
        <v>0</v>
      </c>
      <c r="DJ438" s="36">
        <f>DE438*(1+DJ441)</f>
        <v>0</v>
      </c>
      <c r="DK438" s="36">
        <f>DF438*(1+DK441)</f>
        <v>0</v>
      </c>
      <c r="DL438" s="183">
        <f t="shared" si="355"/>
        <v>0</v>
      </c>
      <c r="DM438" s="183">
        <f t="shared" si="356"/>
        <v>0</v>
      </c>
      <c r="DN438" s="183">
        <f t="shared" si="356"/>
        <v>0</v>
      </c>
      <c r="DO438" s="183">
        <f t="shared" si="356"/>
        <v>0</v>
      </c>
      <c r="DP438" s="183">
        <f t="shared" si="356"/>
        <v>0</v>
      </c>
    </row>
    <row r="439" spans="1:120" hidden="1" x14ac:dyDescent="0.2">
      <c r="A439" s="39" t="s">
        <v>280</v>
      </c>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c r="AR439" s="67"/>
      <c r="AS439" s="67"/>
      <c r="AT439" s="67"/>
      <c r="AU439" s="94">
        <f>AU438+AU437</f>
        <v>364</v>
      </c>
      <c r="AV439" s="94">
        <f>AV438+AV437</f>
        <v>241</v>
      </c>
      <c r="AW439" s="94">
        <f>AW438+AW437</f>
        <v>345</v>
      </c>
      <c r="AX439" s="94">
        <f>AX438+AX437</f>
        <v>302</v>
      </c>
      <c r="AY439" s="39">
        <f>AX439+AW439+AV439+AU439</f>
        <v>1252</v>
      </c>
      <c r="AZ439" s="94">
        <f>AZ438+AZ437</f>
        <v>322</v>
      </c>
      <c r="BA439" s="94">
        <f>BA438+BA437</f>
        <v>306</v>
      </c>
      <c r="BB439" s="94">
        <f>BB438+BB437</f>
        <v>299</v>
      </c>
      <c r="BC439" s="94">
        <f>BC438+BC437</f>
        <v>256</v>
      </c>
      <c r="BD439" s="39">
        <f>BC439+BB439+BA439+AZ439</f>
        <v>1183</v>
      </c>
      <c r="BE439" s="39">
        <f>BE437+BE438</f>
        <v>186</v>
      </c>
      <c r="BF439" s="39">
        <f>BF437+BF438</f>
        <v>223</v>
      </c>
      <c r="BG439" s="39">
        <f>BG437+BG438</f>
        <v>255</v>
      </c>
      <c r="BH439" s="39">
        <f>BH437+BH438</f>
        <v>251</v>
      </c>
      <c r="BI439" s="39">
        <f t="shared" ref="BI439:DP439" si="357">BI438+BI437</f>
        <v>915</v>
      </c>
      <c r="BJ439" s="39">
        <f t="shared" si="357"/>
        <v>262</v>
      </c>
      <c r="BK439" s="39">
        <f t="shared" si="357"/>
        <v>245</v>
      </c>
      <c r="BL439" s="39">
        <f t="shared" si="357"/>
        <v>220</v>
      </c>
      <c r="BM439" s="39">
        <f t="shared" si="357"/>
        <v>193</v>
      </c>
      <c r="BN439" s="39">
        <f t="shared" si="357"/>
        <v>920</v>
      </c>
      <c r="BO439" s="39">
        <f t="shared" si="357"/>
        <v>147</v>
      </c>
      <c r="BP439" s="39">
        <f t="shared" si="357"/>
        <v>316</v>
      </c>
      <c r="BQ439" s="39">
        <f t="shared" si="357"/>
        <v>1</v>
      </c>
      <c r="BR439" s="39">
        <f t="shared" si="357"/>
        <v>0</v>
      </c>
      <c r="BS439" s="39">
        <f t="shared" si="357"/>
        <v>464</v>
      </c>
      <c r="BT439" s="39">
        <f t="shared" si="357"/>
        <v>0</v>
      </c>
      <c r="BU439" s="39">
        <f t="shared" si="357"/>
        <v>0</v>
      </c>
      <c r="BV439" s="39">
        <f t="shared" si="357"/>
        <v>0</v>
      </c>
      <c r="BW439" s="39">
        <f t="shared" si="357"/>
        <v>0</v>
      </c>
      <c r="BX439" s="39">
        <f t="shared" si="357"/>
        <v>0</v>
      </c>
      <c r="BY439" s="39">
        <f t="shared" si="357"/>
        <v>0</v>
      </c>
      <c r="BZ439" s="39">
        <f t="shared" si="357"/>
        <v>0</v>
      </c>
      <c r="CA439" s="39">
        <f t="shared" si="357"/>
        <v>0</v>
      </c>
      <c r="CB439" s="39">
        <f t="shared" si="357"/>
        <v>0</v>
      </c>
      <c r="CC439" s="39">
        <f t="shared" si="357"/>
        <v>0</v>
      </c>
      <c r="CD439" s="39">
        <f t="shared" si="357"/>
        <v>0</v>
      </c>
      <c r="CE439" s="39">
        <f t="shared" si="357"/>
        <v>0</v>
      </c>
      <c r="CF439" s="39">
        <f t="shared" si="357"/>
        <v>0</v>
      </c>
      <c r="CG439" s="39">
        <f t="shared" si="357"/>
        <v>0</v>
      </c>
      <c r="CH439" s="39">
        <f t="shared" si="357"/>
        <v>0</v>
      </c>
      <c r="CI439" s="39">
        <f t="shared" si="357"/>
        <v>0</v>
      </c>
      <c r="CJ439" s="39">
        <f t="shared" si="357"/>
        <v>0</v>
      </c>
      <c r="CK439" s="39">
        <f t="shared" si="357"/>
        <v>0</v>
      </c>
      <c r="CL439" s="39">
        <f t="shared" si="357"/>
        <v>0</v>
      </c>
      <c r="CM439" s="39">
        <f t="shared" si="357"/>
        <v>0</v>
      </c>
      <c r="CN439" s="39">
        <f t="shared" si="357"/>
        <v>0</v>
      </c>
      <c r="CO439" s="39">
        <f t="shared" si="357"/>
        <v>0</v>
      </c>
      <c r="CP439" s="39">
        <f t="shared" si="357"/>
        <v>0</v>
      </c>
      <c r="CQ439" s="39">
        <f t="shared" si="357"/>
        <v>0</v>
      </c>
      <c r="CR439" s="39">
        <f>CR438+CR437</f>
        <v>0</v>
      </c>
      <c r="CS439" s="39"/>
      <c r="CT439" s="39"/>
      <c r="CU439" s="39"/>
      <c r="CV439" s="39"/>
      <c r="CW439" s="39">
        <f t="shared" si="357"/>
        <v>0</v>
      </c>
      <c r="CX439" s="39"/>
      <c r="CY439" s="39"/>
      <c r="CZ439" s="39"/>
      <c r="DA439" s="39"/>
      <c r="DB439" s="39">
        <f t="shared" si="357"/>
        <v>0</v>
      </c>
      <c r="DC439" s="39">
        <f t="shared" si="357"/>
        <v>0</v>
      </c>
      <c r="DD439" s="39">
        <f t="shared" si="357"/>
        <v>0</v>
      </c>
      <c r="DE439" s="39">
        <f t="shared" si="357"/>
        <v>0</v>
      </c>
      <c r="DF439" s="39">
        <f t="shared" si="357"/>
        <v>0</v>
      </c>
      <c r="DG439" s="39">
        <f t="shared" si="357"/>
        <v>0</v>
      </c>
      <c r="DH439" s="39">
        <f t="shared" si="357"/>
        <v>0</v>
      </c>
      <c r="DI439" s="39">
        <f t="shared" si="357"/>
        <v>0</v>
      </c>
      <c r="DJ439" s="39">
        <f t="shared" si="357"/>
        <v>0</v>
      </c>
      <c r="DK439" s="39">
        <f t="shared" si="357"/>
        <v>0</v>
      </c>
      <c r="DL439" s="187">
        <f t="shared" si="357"/>
        <v>0</v>
      </c>
      <c r="DM439" s="187">
        <f t="shared" si="357"/>
        <v>0</v>
      </c>
      <c r="DN439" s="187">
        <f t="shared" si="357"/>
        <v>0</v>
      </c>
      <c r="DO439" s="187">
        <f t="shared" si="357"/>
        <v>0</v>
      </c>
      <c r="DP439" s="187">
        <f t="shared" si="357"/>
        <v>0</v>
      </c>
    </row>
    <row r="440" spans="1:120" hidden="1" x14ac:dyDescent="0.2">
      <c r="A440" s="68" t="s">
        <v>54</v>
      </c>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c r="AR440" s="67"/>
      <c r="AS440" s="67"/>
      <c r="AT440" s="67"/>
      <c r="AU440" s="67"/>
      <c r="AV440" s="67"/>
      <c r="AW440" s="67"/>
      <c r="AX440" s="67"/>
      <c r="AY440" s="75"/>
      <c r="AZ440" s="67"/>
      <c r="BA440" s="67"/>
      <c r="BB440" s="67"/>
      <c r="BC440" s="67"/>
      <c r="BD440" s="75"/>
      <c r="BE440" s="76">
        <f t="shared" ref="BE440:BR440" si="358">BE437/AZ437-1</f>
        <v>-0.42236024844720499</v>
      </c>
      <c r="BF440" s="76">
        <f t="shared" si="358"/>
        <v>-0.27124183006535951</v>
      </c>
      <c r="BG440" s="76">
        <f t="shared" si="358"/>
        <v>-0.14715719063545152</v>
      </c>
      <c r="BH440" s="76">
        <f t="shared" si="358"/>
        <v>-1.953125E-2</v>
      </c>
      <c r="BI440" s="75">
        <f t="shared" si="358"/>
        <v>-0.22654268808114963</v>
      </c>
      <c r="BJ440" s="76">
        <f t="shared" si="358"/>
        <v>0.40860215053763449</v>
      </c>
      <c r="BK440" s="76">
        <f t="shared" si="358"/>
        <v>9.8654708520179435E-2</v>
      </c>
      <c r="BL440" s="76">
        <f t="shared" si="358"/>
        <v>-0.13725490196078427</v>
      </c>
      <c r="BM440" s="76">
        <f t="shared" si="358"/>
        <v>-0.2310756972111554</v>
      </c>
      <c r="BN440" s="75">
        <f>BN437/BI437-1</f>
        <v>5.464480874316946E-3</v>
      </c>
      <c r="BO440" s="76">
        <f t="shared" si="358"/>
        <v>-0.43893129770992367</v>
      </c>
      <c r="BP440" s="76">
        <f t="shared" si="358"/>
        <v>0.28979591836734686</v>
      </c>
      <c r="BQ440" s="76">
        <f t="shared" si="358"/>
        <v>-0.99545454545454548</v>
      </c>
      <c r="BR440" s="76">
        <f t="shared" si="358"/>
        <v>-1</v>
      </c>
      <c r="BS440" s="75">
        <f>BS437/BN437-1</f>
        <v>-0.4956521739130435</v>
      </c>
      <c r="BT440" s="76">
        <v>-1</v>
      </c>
      <c r="BU440" s="76">
        <v>-1</v>
      </c>
      <c r="BV440" s="76">
        <v>-1</v>
      </c>
      <c r="BW440" s="76">
        <v>-1</v>
      </c>
      <c r="BX440" s="75">
        <f>BX437/BS437-1</f>
        <v>-1</v>
      </c>
      <c r="BY440" s="75"/>
      <c r="BZ440" s="75"/>
      <c r="CA440" s="75"/>
      <c r="CB440" s="75"/>
      <c r="CC440" s="75" t="e">
        <f>CC437/BX437-1</f>
        <v>#DIV/0!</v>
      </c>
      <c r="CD440" s="75"/>
      <c r="CE440" s="75"/>
      <c r="CF440" s="75"/>
      <c r="CG440" s="75"/>
      <c r="CH440" s="75" t="e">
        <f>CH437/CC437-1</f>
        <v>#DIV/0!</v>
      </c>
      <c r="CI440" s="75"/>
      <c r="CJ440" s="75"/>
      <c r="CK440" s="75"/>
      <c r="CL440" s="75"/>
      <c r="CM440" s="75" t="e">
        <f>CM437/CH437-1</f>
        <v>#DIV/0!</v>
      </c>
      <c r="CN440" s="75"/>
      <c r="CO440" s="75"/>
      <c r="CP440" s="75"/>
      <c r="CQ440" s="75"/>
      <c r="CR440" s="75" t="e">
        <f>CR437/CM437-1</f>
        <v>#DIV/0!</v>
      </c>
      <c r="CS440" s="75"/>
      <c r="CT440" s="75"/>
      <c r="CU440" s="75"/>
      <c r="CV440" s="75"/>
      <c r="CW440" s="75"/>
      <c r="CX440" s="75"/>
      <c r="CY440" s="75"/>
      <c r="CZ440" s="75"/>
      <c r="DA440" s="75"/>
      <c r="DB440" s="75"/>
      <c r="DC440" s="75"/>
      <c r="DD440" s="75"/>
      <c r="DE440" s="75"/>
      <c r="DF440" s="75"/>
      <c r="DG440" s="75"/>
      <c r="DH440" s="75"/>
      <c r="DI440" s="75"/>
      <c r="DJ440" s="75"/>
      <c r="DK440" s="75"/>
      <c r="DL440" s="192"/>
      <c r="DM440" s="192"/>
      <c r="DN440" s="192"/>
      <c r="DO440" s="192"/>
      <c r="DP440" s="192"/>
    </row>
    <row r="441" spans="1:120" hidden="1" x14ac:dyDescent="0.2">
      <c r="A441" s="68" t="s">
        <v>55</v>
      </c>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75"/>
      <c r="AZ441" s="67"/>
      <c r="BA441" s="67"/>
      <c r="BB441" s="67"/>
      <c r="BC441" s="67"/>
      <c r="BD441" s="75"/>
      <c r="BE441" s="76"/>
      <c r="BF441" s="76"/>
      <c r="BG441" s="76"/>
      <c r="BH441" s="76"/>
      <c r="BI441" s="75"/>
      <c r="BJ441" s="76"/>
      <c r="BK441" s="75"/>
      <c r="BL441" s="75"/>
      <c r="BM441" s="75"/>
      <c r="BN441" s="75"/>
      <c r="BO441" s="76"/>
      <c r="BP441" s="75"/>
      <c r="BQ441" s="75"/>
      <c r="BR441" s="75"/>
      <c r="BS441" s="75"/>
      <c r="BT441" s="76"/>
      <c r="BU441" s="75"/>
      <c r="BV441" s="75"/>
      <c r="BW441" s="75"/>
      <c r="BX441" s="75"/>
      <c r="BY441" s="75"/>
      <c r="BZ441" s="75"/>
      <c r="CA441" s="75"/>
      <c r="CB441" s="75"/>
      <c r="CC441" s="75"/>
      <c r="CD441" s="75"/>
      <c r="CE441" s="75"/>
      <c r="CF441" s="75"/>
      <c r="CG441" s="75"/>
      <c r="CH441" s="75"/>
      <c r="CI441" s="75"/>
      <c r="CJ441" s="75"/>
      <c r="CK441" s="75"/>
      <c r="CL441" s="75"/>
      <c r="CM441" s="75"/>
      <c r="CN441" s="75"/>
      <c r="CO441" s="75"/>
      <c r="CP441" s="75"/>
      <c r="CQ441" s="75"/>
      <c r="CR441" s="75"/>
      <c r="CS441" s="75"/>
      <c r="CT441" s="75"/>
      <c r="CU441" s="75"/>
      <c r="CV441" s="75"/>
      <c r="CW441" s="75"/>
      <c r="CX441" s="75"/>
      <c r="CY441" s="75"/>
      <c r="CZ441" s="75"/>
      <c r="DA441" s="75"/>
      <c r="DB441" s="75"/>
      <c r="DC441" s="75"/>
      <c r="DD441" s="75"/>
      <c r="DE441" s="75"/>
      <c r="DF441" s="75"/>
      <c r="DG441" s="75"/>
      <c r="DH441" s="75"/>
      <c r="DI441" s="75"/>
      <c r="DJ441" s="75"/>
      <c r="DK441" s="75"/>
      <c r="DL441" s="192"/>
      <c r="DM441" s="192"/>
      <c r="DN441" s="192"/>
      <c r="DO441" s="192"/>
      <c r="DP441" s="192"/>
    </row>
    <row r="442" spans="1:120" hidden="1" x14ac:dyDescent="0.2">
      <c r="A442" s="78" t="s">
        <v>56</v>
      </c>
      <c r="B442" s="98"/>
      <c r="C442" s="98"/>
      <c r="D442" s="98"/>
      <c r="E442" s="98"/>
      <c r="F442" s="98"/>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3"/>
      <c r="AH442" s="83"/>
      <c r="AI442" s="83"/>
      <c r="AJ442" s="83"/>
      <c r="AK442" s="83"/>
      <c r="AL442" s="83"/>
      <c r="AM442" s="83"/>
      <c r="AN442" s="83"/>
      <c r="AO442" s="83"/>
      <c r="AP442" s="83"/>
      <c r="AQ442" s="83"/>
      <c r="AR442" s="83"/>
      <c r="AS442" s="83"/>
      <c r="AT442" s="83"/>
      <c r="AU442" s="83"/>
      <c r="AV442" s="83"/>
      <c r="AW442" s="83"/>
      <c r="AX442" s="83"/>
      <c r="AY442" s="83"/>
      <c r="AZ442" s="83"/>
      <c r="BA442" s="83"/>
      <c r="BB442" s="83"/>
      <c r="BC442" s="83"/>
      <c r="BD442" s="83"/>
      <c r="BE442" s="80">
        <f t="shared" ref="BE442:BN442" si="359">BE439/AZ439-1</f>
        <v>-0.42236024844720499</v>
      </c>
      <c r="BF442" s="80">
        <f t="shared" si="359"/>
        <v>-0.27124183006535951</v>
      </c>
      <c r="BG442" s="80">
        <f t="shared" si="359"/>
        <v>-0.14715719063545152</v>
      </c>
      <c r="BH442" s="80">
        <f t="shared" si="359"/>
        <v>-1.953125E-2</v>
      </c>
      <c r="BI442" s="83">
        <f t="shared" si="359"/>
        <v>-0.22654268808114963</v>
      </c>
      <c r="BJ442" s="83">
        <f t="shared" si="359"/>
        <v>0.40860215053763449</v>
      </c>
      <c r="BK442" s="83">
        <f t="shared" si="359"/>
        <v>9.8654708520179435E-2</v>
      </c>
      <c r="BL442" s="83">
        <f t="shared" si="359"/>
        <v>-0.13725490196078427</v>
      </c>
      <c r="BM442" s="83">
        <f t="shared" si="359"/>
        <v>-0.2310756972111554</v>
      </c>
      <c r="BN442" s="83">
        <f t="shared" si="359"/>
        <v>5.464480874316946E-3</v>
      </c>
      <c r="BO442" s="83"/>
      <c r="BP442" s="83"/>
      <c r="BQ442" s="83"/>
      <c r="BR442" s="83"/>
      <c r="BS442" s="83">
        <f>BS439/BN439-1</f>
        <v>-0.4956521739130435</v>
      </c>
      <c r="BT442" s="83"/>
      <c r="BU442" s="83"/>
      <c r="BV442" s="83"/>
      <c r="BW442" s="83"/>
      <c r="BX442" s="83">
        <f>BX439/BS439-1</f>
        <v>-1</v>
      </c>
      <c r="BY442" s="83"/>
      <c r="BZ442" s="83"/>
      <c r="CA442" s="83"/>
      <c r="CB442" s="83"/>
      <c r="CC442" s="83" t="e">
        <f>CC439/BX439-1</f>
        <v>#DIV/0!</v>
      </c>
      <c r="CD442" s="83"/>
      <c r="CE442" s="83"/>
      <c r="CF442" s="83"/>
      <c r="CG442" s="83"/>
      <c r="CH442" s="83" t="e">
        <f>CH439/CC439-1</f>
        <v>#DIV/0!</v>
      </c>
      <c r="CI442" s="83"/>
      <c r="CJ442" s="83"/>
      <c r="CK442" s="83"/>
      <c r="CL442" s="83"/>
      <c r="CM442" s="83" t="e">
        <f>CM439/CH439-1</f>
        <v>#DIV/0!</v>
      </c>
      <c r="CN442" s="83"/>
      <c r="CO442" s="83"/>
      <c r="CP442" s="83"/>
      <c r="CQ442" s="83"/>
      <c r="CR442" s="83" t="e">
        <f>CR439/CM439-1</f>
        <v>#DIV/0!</v>
      </c>
      <c r="CS442" s="83"/>
      <c r="CT442" s="83"/>
      <c r="CU442" s="83"/>
      <c r="CV442" s="83"/>
      <c r="CW442" s="83"/>
      <c r="CX442" s="83"/>
      <c r="CY442" s="83"/>
      <c r="CZ442" s="83"/>
      <c r="DA442" s="83"/>
      <c r="DB442" s="83"/>
      <c r="DC442" s="83"/>
      <c r="DD442" s="83"/>
      <c r="DE442" s="83"/>
      <c r="DF442" s="83"/>
      <c r="DG442" s="83"/>
      <c r="DH442" s="83"/>
      <c r="DI442" s="83"/>
      <c r="DJ442" s="83"/>
      <c r="DK442" s="83"/>
      <c r="DL442" s="193"/>
      <c r="DM442" s="193"/>
      <c r="DN442" s="193"/>
      <c r="DO442" s="193"/>
      <c r="DP442" s="193"/>
    </row>
    <row r="443" spans="1:120" x14ac:dyDescent="0.2">
      <c r="A443" s="36" t="s">
        <v>281</v>
      </c>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c r="AR443" s="67"/>
      <c r="AS443" s="67"/>
      <c r="AT443" s="67"/>
      <c r="AU443" s="166">
        <f>AU449-AU437</f>
        <v>67</v>
      </c>
      <c r="AV443" s="166">
        <f>AV449-AV437</f>
        <v>49</v>
      </c>
      <c r="AW443" s="166">
        <f>AW449-AW437</f>
        <v>97</v>
      </c>
      <c r="AX443" s="166">
        <f>AX449-AX437</f>
        <v>121</v>
      </c>
      <c r="AY443" s="36">
        <f>AX443+AW443+AV443+AU443</f>
        <v>334</v>
      </c>
      <c r="AZ443" s="166">
        <f>AZ449-AZ437</f>
        <v>99</v>
      </c>
      <c r="BA443" s="166">
        <f>BA449-BA437</f>
        <v>87</v>
      </c>
      <c r="BB443" s="166">
        <f>BB449-BB437</f>
        <v>71</v>
      </c>
      <c r="BC443" s="166">
        <f>BC449-BC437</f>
        <v>17.300000000000011</v>
      </c>
      <c r="BD443" s="36">
        <f>BC443+BB443+BA443+AZ443</f>
        <v>274.3</v>
      </c>
      <c r="BE443" s="166">
        <f>BE449-BE437</f>
        <v>57.300000000000011</v>
      </c>
      <c r="BF443" s="166">
        <f>BF449-BF437</f>
        <v>78</v>
      </c>
      <c r="BG443" s="166">
        <f>BG449-BG437</f>
        <v>51</v>
      </c>
      <c r="BH443" s="166">
        <f>BH449-BH437</f>
        <v>64</v>
      </c>
      <c r="BI443" s="36">
        <f>SUM(BE443:BH443)</f>
        <v>250.3</v>
      </c>
      <c r="BJ443" s="36">
        <f t="shared" ref="BJ443:BM444" si="360">BJ449-BJ437</f>
        <v>66</v>
      </c>
      <c r="BK443" s="36">
        <f t="shared" si="360"/>
        <v>65</v>
      </c>
      <c r="BL443" s="36">
        <f t="shared" si="360"/>
        <v>46</v>
      </c>
      <c r="BM443" s="36">
        <f t="shared" si="360"/>
        <v>114</v>
      </c>
      <c r="BN443" s="36">
        <f>SUM(BJ443:BM443)</f>
        <v>291</v>
      </c>
      <c r="BO443" s="36">
        <f t="shared" ref="BO443:BQ444" si="361">BO449-BO437</f>
        <v>301</v>
      </c>
      <c r="BP443" s="36">
        <f t="shared" si="361"/>
        <v>60</v>
      </c>
      <c r="BQ443" s="36">
        <f t="shared" si="361"/>
        <v>93</v>
      </c>
      <c r="BR443" s="36">
        <f>BR449-BR437</f>
        <v>92</v>
      </c>
      <c r="BS443" s="36">
        <f>SUM(BO443:BR443)</f>
        <v>546</v>
      </c>
      <c r="BT443" s="36">
        <v>113</v>
      </c>
      <c r="BU443" s="36">
        <v>117</v>
      </c>
      <c r="BV443" s="36">
        <v>141</v>
      </c>
      <c r="BW443" s="36">
        <v>90</v>
      </c>
      <c r="BX443" s="36">
        <f>SUM(BT443:BW443)</f>
        <v>461</v>
      </c>
      <c r="BY443" s="36">
        <v>76</v>
      </c>
      <c r="BZ443" s="36">
        <v>82</v>
      </c>
      <c r="CA443" s="36">
        <v>116</v>
      </c>
      <c r="CB443" s="36">
        <v>141</v>
      </c>
      <c r="CC443" s="36">
        <f>SUM(BY443:CB443)</f>
        <v>415</v>
      </c>
      <c r="CD443" s="36">
        <v>151</v>
      </c>
      <c r="CE443" s="36">
        <f>109+1</f>
        <v>110</v>
      </c>
      <c r="CF443" s="36">
        <v>107</v>
      </c>
      <c r="CG443" s="36">
        <v>113</v>
      </c>
      <c r="CH443" s="36">
        <f>SUM(CD443:CG443)</f>
        <v>481</v>
      </c>
      <c r="CI443" s="36">
        <v>110</v>
      </c>
      <c r="CJ443" s="36">
        <v>110</v>
      </c>
      <c r="CK443" s="36">
        <f>CF443*(1+CK446)</f>
        <v>115.56</v>
      </c>
      <c r="CL443" s="36">
        <f>CG443*(1+CL446)</f>
        <v>122.04</v>
      </c>
      <c r="CM443" s="36">
        <f>SUM(CI443:CL443)</f>
        <v>457.6</v>
      </c>
      <c r="CN443" s="36">
        <v>46</v>
      </c>
      <c r="CO443" s="36">
        <v>51</v>
      </c>
      <c r="CP443" s="36">
        <v>56</v>
      </c>
      <c r="CQ443" s="36">
        <v>107</v>
      </c>
      <c r="CR443" s="36">
        <f>SUM(CN443:CQ443)</f>
        <v>260</v>
      </c>
      <c r="CS443" s="36">
        <v>39</v>
      </c>
      <c r="CT443" s="36">
        <v>22</v>
      </c>
      <c r="CU443" s="36">
        <v>9</v>
      </c>
      <c r="CV443" s="36">
        <v>23</v>
      </c>
      <c r="CW443" s="36">
        <f>SUM(CS443:CV443)</f>
        <v>93</v>
      </c>
      <c r="CX443" s="36">
        <v>58</v>
      </c>
      <c r="CY443" s="36">
        <v>-6</v>
      </c>
      <c r="CZ443" s="36">
        <v>139</v>
      </c>
      <c r="DA443" s="36">
        <v>74</v>
      </c>
      <c r="DB443" s="72">
        <f>SUM(CX443:DA443)</f>
        <v>265</v>
      </c>
      <c r="DC443" s="72">
        <v>93</v>
      </c>
      <c r="DD443" s="72">
        <v>35</v>
      </c>
      <c r="DE443" s="72">
        <v>227</v>
      </c>
      <c r="DF443" s="72">
        <v>12</v>
      </c>
      <c r="DG443" s="36">
        <f>SUM(DC443:DF443)</f>
        <v>367</v>
      </c>
      <c r="DH443" s="36">
        <f t="shared" ref="DH443:DK444" si="362">DC443*(1+DH446)</f>
        <v>90.21</v>
      </c>
      <c r="DI443" s="36">
        <f t="shared" si="362"/>
        <v>33.949999999999996</v>
      </c>
      <c r="DJ443" s="36">
        <f t="shared" si="362"/>
        <v>220.19</v>
      </c>
      <c r="DK443" s="36">
        <f t="shared" si="362"/>
        <v>11.64</v>
      </c>
      <c r="DL443" s="183">
        <f>SUM(DH443:DK443)</f>
        <v>355.99</v>
      </c>
      <c r="DM443" s="183">
        <f t="shared" ref="DM443:DP444" si="363">DL443*(1+DM446)</f>
        <v>345.31029999999998</v>
      </c>
      <c r="DN443" s="183">
        <f t="shared" si="363"/>
        <v>334.95099099999999</v>
      </c>
      <c r="DO443" s="183">
        <f t="shared" si="363"/>
        <v>324.90246127</v>
      </c>
      <c r="DP443" s="183">
        <f t="shared" si="363"/>
        <v>315.15538743190001</v>
      </c>
    </row>
    <row r="444" spans="1:120" x14ac:dyDescent="0.2">
      <c r="A444" s="36" t="s">
        <v>282</v>
      </c>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c r="AR444" s="67"/>
      <c r="AS444" s="67"/>
      <c r="AT444" s="67"/>
      <c r="AU444" s="166">
        <f>AU450</f>
        <v>110</v>
      </c>
      <c r="AV444" s="166">
        <f>AV450</f>
        <v>127</v>
      </c>
      <c r="AW444" s="166">
        <f>AW450</f>
        <v>45</v>
      </c>
      <c r="AX444" s="166">
        <f>AX450</f>
        <v>24</v>
      </c>
      <c r="AY444" s="36">
        <f>AX444+AW444+AV444+AU444</f>
        <v>306</v>
      </c>
      <c r="AZ444" s="166">
        <f>AZ450</f>
        <v>65</v>
      </c>
      <c r="BA444" s="166">
        <f>BA450</f>
        <v>55</v>
      </c>
      <c r="BB444" s="166">
        <f>BB450</f>
        <v>50</v>
      </c>
      <c r="BC444" s="166">
        <f>BC450</f>
        <v>37</v>
      </c>
      <c r="BD444" s="36">
        <f>BC444+BB444+BA444+AZ444</f>
        <v>207</v>
      </c>
      <c r="BE444" s="166">
        <f>BE450</f>
        <v>31</v>
      </c>
      <c r="BF444" s="166">
        <f>BF450-BF438</f>
        <v>32</v>
      </c>
      <c r="BG444" s="166">
        <f>BG450-BG438</f>
        <v>41</v>
      </c>
      <c r="BH444" s="166">
        <f>BH450-BH438</f>
        <v>45</v>
      </c>
      <c r="BI444" s="36">
        <f>SUM(BE444:BH444)</f>
        <v>149</v>
      </c>
      <c r="BJ444" s="36">
        <f t="shared" si="360"/>
        <v>41</v>
      </c>
      <c r="BK444" s="36">
        <f t="shared" si="360"/>
        <v>48</v>
      </c>
      <c r="BL444" s="36">
        <f t="shared" si="360"/>
        <v>48</v>
      </c>
      <c r="BM444" s="36">
        <f t="shared" si="360"/>
        <v>-9</v>
      </c>
      <c r="BN444" s="36">
        <f>SUM(BJ444:BM444)</f>
        <v>128</v>
      </c>
      <c r="BO444" s="36">
        <f t="shared" si="361"/>
        <v>6</v>
      </c>
      <c r="BP444" s="36">
        <f t="shared" si="361"/>
        <v>16</v>
      </c>
      <c r="BQ444" s="36">
        <f t="shared" si="361"/>
        <v>43</v>
      </c>
      <c r="BR444" s="36">
        <f>BR450-BR438</f>
        <v>119</v>
      </c>
      <c r="BS444" s="36">
        <f>SUM(BO444:BR444)</f>
        <v>184</v>
      </c>
      <c r="BT444" s="36">
        <v>215</v>
      </c>
      <c r="BU444" s="36">
        <v>264</v>
      </c>
      <c r="BV444" s="36">
        <v>182</v>
      </c>
      <c r="BW444" s="36">
        <v>267</v>
      </c>
      <c r="BX444" s="36">
        <f>SUM(BT444:BW444)</f>
        <v>928</v>
      </c>
      <c r="BY444" s="36">
        <v>303</v>
      </c>
      <c r="BZ444" s="36">
        <v>163</v>
      </c>
      <c r="CA444" s="36">
        <v>113</v>
      </c>
      <c r="CB444" s="36">
        <v>186</v>
      </c>
      <c r="CC444" s="36">
        <f>SUM(BY444:CB444)</f>
        <v>765</v>
      </c>
      <c r="CD444" s="36">
        <v>159</v>
      </c>
      <c r="CE444" s="36">
        <v>106</v>
      </c>
      <c r="CF444" s="36">
        <v>63</v>
      </c>
      <c r="CG444" s="36">
        <v>49</v>
      </c>
      <c r="CH444" s="36">
        <f>SUM(CD444:CG444)</f>
        <v>377</v>
      </c>
      <c r="CI444" s="36">
        <v>-56</v>
      </c>
      <c r="CJ444" s="36">
        <v>-18</v>
      </c>
      <c r="CK444" s="36"/>
      <c r="CL444" s="36"/>
      <c r="CM444" s="36">
        <f>SUM(CI444:CL444)</f>
        <v>-74</v>
      </c>
      <c r="CN444" s="36">
        <v>82</v>
      </c>
      <c r="CO444" s="36">
        <v>125</v>
      </c>
      <c r="CP444" s="36">
        <v>125</v>
      </c>
      <c r="CQ444" s="36">
        <v>106</v>
      </c>
      <c r="CR444" s="36">
        <f>SUM(CN444:CQ444)</f>
        <v>438</v>
      </c>
      <c r="CS444" s="36">
        <v>149</v>
      </c>
      <c r="CT444" s="36">
        <v>70</v>
      </c>
      <c r="CU444" s="36">
        <v>2</v>
      </c>
      <c r="CV444" s="36">
        <v>-45</v>
      </c>
      <c r="CW444" s="36">
        <f>SUM(CS444:CV444)</f>
        <v>176</v>
      </c>
      <c r="CX444" s="36">
        <v>-72</v>
      </c>
      <c r="CY444" s="36">
        <v>-44</v>
      </c>
      <c r="CZ444" s="36">
        <v>101</v>
      </c>
      <c r="DA444" s="36">
        <v>147</v>
      </c>
      <c r="DB444" s="72">
        <f>SUM(CX444:DA444)</f>
        <v>132</v>
      </c>
      <c r="DC444" s="72">
        <v>220</v>
      </c>
      <c r="DD444" s="72">
        <v>335</v>
      </c>
      <c r="DE444" s="72">
        <v>398</v>
      </c>
      <c r="DF444" s="72">
        <v>408</v>
      </c>
      <c r="DG444" s="36">
        <f>SUM(DC444:DF444)</f>
        <v>1361</v>
      </c>
      <c r="DH444" s="36">
        <f t="shared" si="362"/>
        <v>43.999999999999993</v>
      </c>
      <c r="DI444" s="36">
        <f t="shared" si="362"/>
        <v>66.999999999999986</v>
      </c>
      <c r="DJ444" s="36">
        <f t="shared" si="362"/>
        <v>79.59999999999998</v>
      </c>
      <c r="DK444" s="36">
        <f t="shared" si="362"/>
        <v>81.59999999999998</v>
      </c>
      <c r="DL444" s="183">
        <f>SUM(DH444:DK444)</f>
        <v>272.19999999999993</v>
      </c>
      <c r="DM444" s="183">
        <f t="shared" si="363"/>
        <v>264.03399999999993</v>
      </c>
      <c r="DN444" s="183">
        <f t="shared" si="363"/>
        <v>256.11297999999994</v>
      </c>
      <c r="DO444" s="183">
        <f t="shared" si="363"/>
        <v>248.42959059999993</v>
      </c>
      <c r="DP444" s="183">
        <f t="shared" si="363"/>
        <v>240.97670288199993</v>
      </c>
    </row>
    <row r="445" spans="1:120" x14ac:dyDescent="0.2">
      <c r="A445" s="39" t="s">
        <v>283</v>
      </c>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c r="AR445" s="67"/>
      <c r="AS445" s="67"/>
      <c r="AT445" s="67"/>
      <c r="AU445" s="165">
        <f>AU444+AU443</f>
        <v>177</v>
      </c>
      <c r="AV445" s="165">
        <f>AV444+AV443</f>
        <v>176</v>
      </c>
      <c r="AW445" s="165">
        <f>AW444+AW443</f>
        <v>142</v>
      </c>
      <c r="AX445" s="165">
        <f>AX444+AX443</f>
        <v>145</v>
      </c>
      <c r="AY445" s="39">
        <f>AX445+AW445+AV445+AU445</f>
        <v>640</v>
      </c>
      <c r="AZ445" s="165">
        <f>AZ444+AZ443</f>
        <v>164</v>
      </c>
      <c r="BA445" s="165">
        <f>BA444+BA443</f>
        <v>142</v>
      </c>
      <c r="BB445" s="165">
        <f>BB444+BB443</f>
        <v>121</v>
      </c>
      <c r="BC445" s="165">
        <f>BC444+BC443</f>
        <v>54.300000000000011</v>
      </c>
      <c r="BD445" s="39">
        <f>BC445+BB445+BA445+AZ445</f>
        <v>481.3</v>
      </c>
      <c r="BE445" s="39">
        <f>BE443+BE444</f>
        <v>88.300000000000011</v>
      </c>
      <c r="BF445" s="39">
        <f>BF443+BF444</f>
        <v>110</v>
      </c>
      <c r="BG445" s="39">
        <f>BG443+BG444</f>
        <v>92</v>
      </c>
      <c r="BH445" s="39">
        <f>BH443+BH444</f>
        <v>109</v>
      </c>
      <c r="BI445" s="39">
        <f>BI444+BI443</f>
        <v>399.3</v>
      </c>
      <c r="BJ445" s="39">
        <f>BJ443+BJ444</f>
        <v>107</v>
      </c>
      <c r="BK445" s="39">
        <f t="shared" ref="BK445:CR445" si="364">BK444+BK443</f>
        <v>113</v>
      </c>
      <c r="BL445" s="39">
        <f t="shared" si="364"/>
        <v>94</v>
      </c>
      <c r="BM445" s="39">
        <f t="shared" si="364"/>
        <v>105</v>
      </c>
      <c r="BN445" s="39">
        <f t="shared" si="364"/>
        <v>419</v>
      </c>
      <c r="BO445" s="39">
        <f t="shared" si="364"/>
        <v>307</v>
      </c>
      <c r="BP445" s="39">
        <f t="shared" si="364"/>
        <v>76</v>
      </c>
      <c r="BQ445" s="39">
        <f t="shared" si="364"/>
        <v>136</v>
      </c>
      <c r="BR445" s="39">
        <f t="shared" si="364"/>
        <v>211</v>
      </c>
      <c r="BS445" s="39">
        <f t="shared" si="364"/>
        <v>730</v>
      </c>
      <c r="BT445" s="39">
        <f t="shared" si="364"/>
        <v>328</v>
      </c>
      <c r="BU445" s="39">
        <f t="shared" si="364"/>
        <v>381</v>
      </c>
      <c r="BV445" s="39">
        <f t="shared" si="364"/>
        <v>323</v>
      </c>
      <c r="BW445" s="39">
        <f t="shared" si="364"/>
        <v>357</v>
      </c>
      <c r="BX445" s="39">
        <f t="shared" si="364"/>
        <v>1389</v>
      </c>
      <c r="BY445" s="39">
        <f t="shared" si="364"/>
        <v>379</v>
      </c>
      <c r="BZ445" s="39">
        <f t="shared" si="364"/>
        <v>245</v>
      </c>
      <c r="CA445" s="39">
        <f t="shared" si="364"/>
        <v>229</v>
      </c>
      <c r="CB445" s="39">
        <f t="shared" si="364"/>
        <v>327</v>
      </c>
      <c r="CC445" s="39">
        <f t="shared" si="364"/>
        <v>1180</v>
      </c>
      <c r="CD445" s="39">
        <f t="shared" si="364"/>
        <v>310</v>
      </c>
      <c r="CE445" s="39">
        <f t="shared" si="364"/>
        <v>216</v>
      </c>
      <c r="CF445" s="39">
        <f t="shared" si="364"/>
        <v>170</v>
      </c>
      <c r="CG445" s="39">
        <f t="shared" si="364"/>
        <v>162</v>
      </c>
      <c r="CH445" s="39">
        <f t="shared" si="364"/>
        <v>858</v>
      </c>
      <c r="CI445" s="39">
        <f t="shared" si="364"/>
        <v>54</v>
      </c>
      <c r="CJ445" s="39">
        <f t="shared" si="364"/>
        <v>92</v>
      </c>
      <c r="CK445" s="39">
        <f t="shared" si="364"/>
        <v>115.56</v>
      </c>
      <c r="CL445" s="39">
        <f t="shared" si="364"/>
        <v>122.04</v>
      </c>
      <c r="CM445" s="39">
        <f t="shared" si="364"/>
        <v>383.6</v>
      </c>
      <c r="CN445" s="39">
        <f t="shared" si="364"/>
        <v>128</v>
      </c>
      <c r="CO445" s="39">
        <f t="shared" si="364"/>
        <v>176</v>
      </c>
      <c r="CP445" s="39">
        <f t="shared" si="364"/>
        <v>181</v>
      </c>
      <c r="CQ445" s="39">
        <f t="shared" si="364"/>
        <v>213</v>
      </c>
      <c r="CR445" s="39">
        <f t="shared" si="364"/>
        <v>698</v>
      </c>
      <c r="CS445" s="39">
        <f>CS444+CS443</f>
        <v>188</v>
      </c>
      <c r="CT445" s="39">
        <f>CT444+CT443</f>
        <v>92</v>
      </c>
      <c r="CU445" s="39">
        <f>CU444+CU443</f>
        <v>11</v>
      </c>
      <c r="CV445" s="39">
        <f>CV444+CV443+1</f>
        <v>-21</v>
      </c>
      <c r="CW445" s="39">
        <f>SUM(CS445:CV445)</f>
        <v>270</v>
      </c>
      <c r="CX445" s="39">
        <f>SUM(CX443:CX444)</f>
        <v>-14</v>
      </c>
      <c r="CY445" s="39">
        <f>SUM(CY443:CY444)</f>
        <v>-50</v>
      </c>
      <c r="CZ445" s="39">
        <f>SUM(CZ443:CZ444)</f>
        <v>240</v>
      </c>
      <c r="DA445" s="39">
        <f>SUM(DA443:DA444)</f>
        <v>221</v>
      </c>
      <c r="DB445" s="74">
        <f>SUM(CX445:DA445)</f>
        <v>397</v>
      </c>
      <c r="DC445" s="74">
        <f>DC444+DC443</f>
        <v>313</v>
      </c>
      <c r="DD445" s="74">
        <f>DD444+DD443</f>
        <v>370</v>
      </c>
      <c r="DE445" s="74">
        <f>DE444+DE443</f>
        <v>625</v>
      </c>
      <c r="DF445" s="74">
        <f>DF444+DF443</f>
        <v>420</v>
      </c>
      <c r="DG445" s="39">
        <f>SUM(DC445:DF445)</f>
        <v>1728</v>
      </c>
      <c r="DH445" s="39">
        <f>DH444+DH443</f>
        <v>134.20999999999998</v>
      </c>
      <c r="DI445" s="39">
        <f>DI444+DI443</f>
        <v>100.94999999999999</v>
      </c>
      <c r="DJ445" s="39">
        <f>DJ444+DJ443</f>
        <v>299.78999999999996</v>
      </c>
      <c r="DK445" s="39">
        <f>DK444+DK443</f>
        <v>93.239999999999981</v>
      </c>
      <c r="DL445" s="187">
        <f>SUM(DH445:DK445)</f>
        <v>628.18999999999994</v>
      </c>
      <c r="DM445" s="187">
        <f t="shared" ref="DM445:DP445" si="365">DM444+DM443</f>
        <v>609.34429999999998</v>
      </c>
      <c r="DN445" s="187">
        <f t="shared" si="365"/>
        <v>591.06397099999992</v>
      </c>
      <c r="DO445" s="187">
        <f t="shared" si="365"/>
        <v>573.33205186999999</v>
      </c>
      <c r="DP445" s="187">
        <f t="shared" si="365"/>
        <v>556.13209031389988</v>
      </c>
    </row>
    <row r="446" spans="1:120" x14ac:dyDescent="0.2">
      <c r="A446" s="68" t="s">
        <v>54</v>
      </c>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c r="AR446" s="67"/>
      <c r="AS446" s="67"/>
      <c r="AT446" s="67"/>
      <c r="AU446" s="67"/>
      <c r="AV446" s="67"/>
      <c r="AW446" s="67"/>
      <c r="AX446" s="67"/>
      <c r="AY446" s="75"/>
      <c r="AZ446" s="75"/>
      <c r="BA446" s="75"/>
      <c r="BB446" s="75"/>
      <c r="BC446" s="75"/>
      <c r="BD446" s="75"/>
      <c r="BE446" s="75">
        <f t="shared" ref="BE446:BT448" si="366">BE443/AZ443-1</f>
        <v>-0.42121212121212115</v>
      </c>
      <c r="BF446" s="75">
        <f t="shared" si="366"/>
        <v>-0.10344827586206895</v>
      </c>
      <c r="BG446" s="75">
        <f t="shared" si="366"/>
        <v>-0.28169014084507038</v>
      </c>
      <c r="BH446" s="75">
        <f t="shared" si="366"/>
        <v>2.6994219653179168</v>
      </c>
      <c r="BI446" s="75">
        <f>BI443/BD443-1</f>
        <v>-8.7495442945679902E-2</v>
      </c>
      <c r="BJ446" s="75">
        <f t="shared" si="366"/>
        <v>0.15183246073298395</v>
      </c>
      <c r="BK446" s="75">
        <f t="shared" si="366"/>
        <v>-0.16666666666666663</v>
      </c>
      <c r="BL446" s="75">
        <f t="shared" si="366"/>
        <v>-9.8039215686274495E-2</v>
      </c>
      <c r="BM446" s="75">
        <f t="shared" si="366"/>
        <v>0.78125</v>
      </c>
      <c r="BN446" s="75">
        <f>BN443/BI443-1</f>
        <v>0.16260487415101865</v>
      </c>
      <c r="BO446" s="75">
        <f t="shared" si="366"/>
        <v>3.5606060606060606</v>
      </c>
      <c r="BP446" s="75">
        <f t="shared" si="366"/>
        <v>-7.6923076923076872E-2</v>
      </c>
      <c r="BQ446" s="75">
        <f t="shared" si="366"/>
        <v>1.0217391304347827</v>
      </c>
      <c r="BR446" s="75">
        <f t="shared" si="366"/>
        <v>-0.19298245614035092</v>
      </c>
      <c r="BS446" s="75">
        <f>BS443/BN443-1</f>
        <v>0.87628865979381443</v>
      </c>
      <c r="BT446" s="75">
        <f t="shared" si="366"/>
        <v>-0.62458471760797341</v>
      </c>
      <c r="BU446" s="75">
        <v>-0.02</v>
      </c>
      <c r="BV446" s="75"/>
      <c r="BW446" s="75"/>
      <c r="BX446" s="75">
        <f t="shared" ref="BX446:CJ448" si="367">BX443/BS443-1</f>
        <v>-0.15567765567765568</v>
      </c>
      <c r="BY446" s="75">
        <f t="shared" si="367"/>
        <v>-0.32743362831858402</v>
      </c>
      <c r="BZ446" s="75">
        <f t="shared" si="367"/>
        <v>-0.29914529914529919</v>
      </c>
      <c r="CA446" s="75">
        <f t="shared" si="367"/>
        <v>-0.17730496453900713</v>
      </c>
      <c r="CB446" s="75">
        <f t="shared" si="367"/>
        <v>0.56666666666666665</v>
      </c>
      <c r="CC446" s="75">
        <f t="shared" si="367"/>
        <v>-9.9783080260303691E-2</v>
      </c>
      <c r="CD446" s="75">
        <f t="shared" si="367"/>
        <v>0.98684210526315796</v>
      </c>
      <c r="CE446" s="75">
        <f t="shared" si="367"/>
        <v>0.34146341463414642</v>
      </c>
      <c r="CF446" s="75">
        <f t="shared" si="367"/>
        <v>-7.7586206896551713E-2</v>
      </c>
      <c r="CG446" s="75">
        <f t="shared" si="367"/>
        <v>-0.1985815602836879</v>
      </c>
      <c r="CH446" s="75">
        <f>CH443/CC443-1</f>
        <v>0.15903614457831328</v>
      </c>
      <c r="CI446" s="75">
        <f t="shared" si="367"/>
        <v>-0.27152317880794707</v>
      </c>
      <c r="CJ446" s="75">
        <f t="shared" si="367"/>
        <v>0</v>
      </c>
      <c r="CK446" s="75">
        <v>0.08</v>
      </c>
      <c r="CL446" s="75">
        <v>0.08</v>
      </c>
      <c r="CM446" s="75">
        <f>CM443/CH443-1</f>
        <v>-4.8648648648648596E-2</v>
      </c>
      <c r="CN446" s="75"/>
      <c r="CO446" s="75"/>
      <c r="CP446" s="75"/>
      <c r="CQ446" s="75"/>
      <c r="CR446" s="75">
        <f t="shared" ref="CR446:CY448" si="368">CR443/CM443-1</f>
        <v>-0.43181818181818188</v>
      </c>
      <c r="CS446" s="75">
        <f t="shared" si="368"/>
        <v>-0.15217391304347827</v>
      </c>
      <c r="CT446" s="75">
        <f t="shared" si="368"/>
        <v>-0.56862745098039214</v>
      </c>
      <c r="CU446" s="75">
        <f t="shared" si="368"/>
        <v>-0.8392857142857143</v>
      </c>
      <c r="CV446" s="75">
        <f t="shared" si="368"/>
        <v>-0.78504672897196259</v>
      </c>
      <c r="CW446" s="90">
        <f>CW443/CR443-1</f>
        <v>-0.64230769230769225</v>
      </c>
      <c r="CX446" s="75">
        <f t="shared" si="368"/>
        <v>0.48717948717948723</v>
      </c>
      <c r="CY446" s="75">
        <f t="shared" si="368"/>
        <v>-1.2727272727272727</v>
      </c>
      <c r="CZ446" s="75">
        <f>CZ443/CU443-1</f>
        <v>14.444444444444445</v>
      </c>
      <c r="DA446" s="75">
        <f>DA443/CV443-1</f>
        <v>2.2173913043478262</v>
      </c>
      <c r="DB446" s="75"/>
      <c r="DC446" s="75"/>
      <c r="DD446" s="75"/>
      <c r="DE446" s="75"/>
      <c r="DF446" s="75"/>
      <c r="DG446" s="75"/>
      <c r="DH446" s="75">
        <v>-0.03</v>
      </c>
      <c r="DI446" s="75">
        <v>-0.03</v>
      </c>
      <c r="DJ446" s="75">
        <v>-0.03</v>
      </c>
      <c r="DK446" s="75">
        <v>-0.03</v>
      </c>
      <c r="DL446" s="192">
        <f>DL443/DG443-1</f>
        <v>-3.0000000000000027E-2</v>
      </c>
      <c r="DM446" s="192">
        <v>-0.03</v>
      </c>
      <c r="DN446" s="192">
        <v>-0.03</v>
      </c>
      <c r="DO446" s="192">
        <v>-0.03</v>
      </c>
      <c r="DP446" s="192">
        <v>-0.03</v>
      </c>
    </row>
    <row r="447" spans="1:120" x14ac:dyDescent="0.2">
      <c r="A447" s="68" t="s">
        <v>55</v>
      </c>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c r="AR447" s="67"/>
      <c r="AS447" s="67"/>
      <c r="AT447" s="67"/>
      <c r="AU447" s="67"/>
      <c r="AV447" s="67"/>
      <c r="AW447" s="67"/>
      <c r="AX447" s="67"/>
      <c r="AY447" s="75"/>
      <c r="AZ447" s="75"/>
      <c r="BA447" s="75"/>
      <c r="BB447" s="75"/>
      <c r="BC447" s="75"/>
      <c r="BD447" s="75"/>
      <c r="BE447" s="75">
        <f t="shared" si="366"/>
        <v>-0.52307692307692299</v>
      </c>
      <c r="BF447" s="75">
        <f t="shared" si="366"/>
        <v>-0.41818181818181821</v>
      </c>
      <c r="BG447" s="75">
        <f t="shared" si="366"/>
        <v>-0.18000000000000005</v>
      </c>
      <c r="BH447" s="75">
        <f t="shared" si="366"/>
        <v>0.21621621621621623</v>
      </c>
      <c r="BI447" s="75">
        <f>BI444/BD444-1</f>
        <v>-0.28019323671497587</v>
      </c>
      <c r="BJ447" s="75">
        <f t="shared" si="366"/>
        <v>0.32258064516129026</v>
      </c>
      <c r="BK447" s="75">
        <f t="shared" si="366"/>
        <v>0.5</v>
      </c>
      <c r="BL447" s="75">
        <f t="shared" si="366"/>
        <v>0.1707317073170731</v>
      </c>
      <c r="BM447" s="75">
        <f t="shared" si="366"/>
        <v>-1.2</v>
      </c>
      <c r="BN447" s="75">
        <f>BN444/BI444-1</f>
        <v>-0.14093959731543626</v>
      </c>
      <c r="BO447" s="75">
        <f t="shared" si="366"/>
        <v>-0.85365853658536583</v>
      </c>
      <c r="BP447" s="75">
        <f t="shared" si="366"/>
        <v>-0.66666666666666674</v>
      </c>
      <c r="BQ447" s="75">
        <f t="shared" si="366"/>
        <v>-0.10416666666666663</v>
      </c>
      <c r="BR447" s="75">
        <f t="shared" si="366"/>
        <v>-14.222222222222221</v>
      </c>
      <c r="BS447" s="75">
        <f>BS444/BN444-1</f>
        <v>0.4375</v>
      </c>
      <c r="BT447" s="75">
        <f t="shared" si="366"/>
        <v>34.833333333333336</v>
      </c>
      <c r="BU447" s="75">
        <v>-0.05</v>
      </c>
      <c r="BV447" s="75"/>
      <c r="BW447" s="75"/>
      <c r="BX447" s="75">
        <f t="shared" si="367"/>
        <v>4.0434782608695654</v>
      </c>
      <c r="BY447" s="75">
        <f t="shared" si="367"/>
        <v>0.40930232558139545</v>
      </c>
      <c r="BZ447" s="75">
        <f t="shared" si="367"/>
        <v>-0.38257575757575757</v>
      </c>
      <c r="CA447" s="75">
        <f t="shared" si="367"/>
        <v>-0.37912087912087911</v>
      </c>
      <c r="CB447" s="75">
        <f t="shared" si="367"/>
        <v>-0.3033707865168539</v>
      </c>
      <c r="CC447" s="75">
        <f t="shared" si="367"/>
        <v>-0.1756465517241379</v>
      </c>
      <c r="CD447" s="75">
        <f t="shared" si="367"/>
        <v>-0.47524752475247523</v>
      </c>
      <c r="CE447" s="75">
        <f t="shared" si="367"/>
        <v>-0.34969325153374231</v>
      </c>
      <c r="CF447" s="75">
        <f t="shared" si="367"/>
        <v>-0.44247787610619471</v>
      </c>
      <c r="CG447" s="75">
        <f t="shared" si="367"/>
        <v>-0.73655913978494625</v>
      </c>
      <c r="CH447" s="75">
        <f>CH444/CC444-1</f>
        <v>-0.50718954248366011</v>
      </c>
      <c r="CI447" s="75">
        <f t="shared" si="367"/>
        <v>-1.3522012578616351</v>
      </c>
      <c r="CJ447" s="75">
        <f t="shared" si="367"/>
        <v>-1.1698113207547169</v>
      </c>
      <c r="CK447" s="75">
        <v>0.08</v>
      </c>
      <c r="CL447" s="75">
        <v>0.08</v>
      </c>
      <c r="CM447" s="75">
        <f>CM444/CH444-1</f>
        <v>-1.1962864721485411</v>
      </c>
      <c r="CN447" s="75"/>
      <c r="CO447" s="75"/>
      <c r="CP447" s="75"/>
      <c r="CQ447" s="75"/>
      <c r="CR447" s="75">
        <f t="shared" si="368"/>
        <v>-6.9189189189189193</v>
      </c>
      <c r="CS447" s="75">
        <f t="shared" si="368"/>
        <v>0.81707317073170738</v>
      </c>
      <c r="CT447" s="75">
        <f t="shared" si="368"/>
        <v>-0.43999999999999995</v>
      </c>
      <c r="CU447" s="75">
        <f t="shared" si="368"/>
        <v>-0.98399999999999999</v>
      </c>
      <c r="CV447" s="75">
        <f t="shared" si="368"/>
        <v>-1.4245283018867925</v>
      </c>
      <c r="CW447" s="90">
        <f>CW444/CR444-1</f>
        <v>-0.59817351598173518</v>
      </c>
      <c r="CX447" s="75">
        <f t="shared" si="368"/>
        <v>-1.4832214765100671</v>
      </c>
      <c r="CY447" s="75">
        <f t="shared" si="368"/>
        <v>-1.6285714285714286</v>
      </c>
      <c r="CZ447" s="75">
        <f>CZ444/CU444-1</f>
        <v>49.5</v>
      </c>
      <c r="DA447" s="75">
        <f>DA444/CV444-1</f>
        <v>-4.2666666666666666</v>
      </c>
      <c r="DB447" s="75"/>
      <c r="DC447" s="75"/>
      <c r="DD447" s="75"/>
      <c r="DE447" s="75"/>
      <c r="DF447" s="75"/>
      <c r="DG447" s="75"/>
      <c r="DH447" s="75">
        <v>-0.8</v>
      </c>
      <c r="DI447" s="75">
        <v>-0.8</v>
      </c>
      <c r="DJ447" s="75">
        <v>-0.8</v>
      </c>
      <c r="DK447" s="75">
        <v>-0.8</v>
      </c>
      <c r="DL447" s="192">
        <f>DL444/DG444-1</f>
        <v>-0.8</v>
      </c>
      <c r="DM447" s="192">
        <v>-0.03</v>
      </c>
      <c r="DN447" s="192">
        <v>-0.03</v>
      </c>
      <c r="DO447" s="192">
        <v>-0.03</v>
      </c>
      <c r="DP447" s="192">
        <v>-0.03</v>
      </c>
    </row>
    <row r="448" spans="1:120" x14ac:dyDescent="0.2">
      <c r="A448" s="78" t="s">
        <v>56</v>
      </c>
      <c r="B448" s="98"/>
      <c r="C448" s="98"/>
      <c r="D448" s="98"/>
      <c r="E448" s="98"/>
      <c r="F448" s="98"/>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83"/>
      <c r="AI448" s="83"/>
      <c r="AJ448" s="83"/>
      <c r="AK448" s="83"/>
      <c r="AL448" s="83"/>
      <c r="AM448" s="83"/>
      <c r="AN448" s="83"/>
      <c r="AO448" s="83"/>
      <c r="AP448" s="83"/>
      <c r="AQ448" s="83"/>
      <c r="AR448" s="83"/>
      <c r="AS448" s="83"/>
      <c r="AT448" s="83"/>
      <c r="AU448" s="83"/>
      <c r="AV448" s="83"/>
      <c r="AW448" s="83"/>
      <c r="AX448" s="83"/>
      <c r="AY448" s="83"/>
      <c r="AZ448" s="83">
        <f>AZ445/AU445-1</f>
        <v>-7.3446327683615809E-2</v>
      </c>
      <c r="BA448" s="83">
        <f>BA445/AV445-1</f>
        <v>-0.19318181818181823</v>
      </c>
      <c r="BB448" s="83">
        <f>BB445/AW445-1</f>
        <v>-0.147887323943662</v>
      </c>
      <c r="BC448" s="83">
        <f>BC445/AX445-1</f>
        <v>-0.6255172413793102</v>
      </c>
      <c r="BD448" s="83"/>
      <c r="BE448" s="80">
        <f t="shared" si="366"/>
        <v>-0.4615853658536585</v>
      </c>
      <c r="BF448" s="80">
        <f t="shared" si="366"/>
        <v>-0.22535211267605637</v>
      </c>
      <c r="BG448" s="80">
        <f>BG445/BB445-1</f>
        <v>-0.23966942148760328</v>
      </c>
      <c r="BH448" s="80">
        <f>BH445/BC445-1</f>
        <v>1.0073664825046036</v>
      </c>
      <c r="BI448" s="83">
        <f>BI445/BD445-1</f>
        <v>-0.17037190941200919</v>
      </c>
      <c r="BJ448" s="83">
        <f>BJ445/BE445-1</f>
        <v>0.21177802944507351</v>
      </c>
      <c r="BK448" s="83">
        <f>BK445/BF445-1</f>
        <v>2.7272727272727337E-2</v>
      </c>
      <c r="BL448" s="83">
        <f>BL445/BG445-1</f>
        <v>2.1739130434782705E-2</v>
      </c>
      <c r="BM448" s="83">
        <f>BM445/BH445-1</f>
        <v>-3.669724770642202E-2</v>
      </c>
      <c r="BN448" s="83">
        <f>BN445/BI445-1</f>
        <v>4.9336338592536944E-2</v>
      </c>
      <c r="BO448" s="83">
        <f>BO445/BJ445-1</f>
        <v>1.8691588785046731</v>
      </c>
      <c r="BP448" s="83">
        <f>BP445/BK445-1</f>
        <v>-0.32743362831858402</v>
      </c>
      <c r="BQ448" s="83">
        <f>BQ445/BL445-1</f>
        <v>0.44680851063829796</v>
      </c>
      <c r="BR448" s="83">
        <f>BR445/BM445-1</f>
        <v>1.0095238095238095</v>
      </c>
      <c r="BS448" s="83">
        <f>BS445/BN445-1</f>
        <v>0.74224343675417659</v>
      </c>
      <c r="BT448" s="83">
        <f>BT445/BO445-1</f>
        <v>6.8403908794788304E-2</v>
      </c>
      <c r="BU448" s="83">
        <f>BU445/BP445-1</f>
        <v>4.0131578947368425</v>
      </c>
      <c r="BV448" s="83">
        <f>BV445/BQ445-1</f>
        <v>1.375</v>
      </c>
      <c r="BW448" s="83">
        <f>BW445/BR445-1</f>
        <v>0.69194312796208535</v>
      </c>
      <c r="BX448" s="83">
        <f t="shared" si="367"/>
        <v>0.90273972602739727</v>
      </c>
      <c r="BY448" s="83">
        <f t="shared" si="367"/>
        <v>0.15548780487804881</v>
      </c>
      <c r="BZ448" s="83">
        <f t="shared" si="367"/>
        <v>-0.35695538057742782</v>
      </c>
      <c r="CA448" s="83">
        <f t="shared" si="367"/>
        <v>-0.29102167182662542</v>
      </c>
      <c r="CB448" s="83">
        <f t="shared" si="367"/>
        <v>-8.4033613445378186E-2</v>
      </c>
      <c r="CC448" s="83">
        <f t="shared" si="367"/>
        <v>-0.15046796256299499</v>
      </c>
      <c r="CD448" s="83">
        <f>CD445/BY445-1</f>
        <v>-0.18205804749340371</v>
      </c>
      <c r="CE448" s="83">
        <f>CE445/BZ445-1</f>
        <v>-0.11836734693877549</v>
      </c>
      <c r="CF448" s="83">
        <f>CF445/CA445-1</f>
        <v>-0.25764192139737996</v>
      </c>
      <c r="CG448" s="83">
        <f>CG445/CB445-1</f>
        <v>-0.50458715596330272</v>
      </c>
      <c r="CH448" s="83">
        <f>CH445/CC445-1</f>
        <v>-0.27288135593220342</v>
      </c>
      <c r="CI448" s="83">
        <f>CI445/CD445-1</f>
        <v>-0.82580645161290323</v>
      </c>
      <c r="CJ448" s="83">
        <f>CJ445/CE445-1</f>
        <v>-0.57407407407407407</v>
      </c>
      <c r="CK448" s="83">
        <f>CK445/CF445-1</f>
        <v>-0.32023529411764706</v>
      </c>
      <c r="CL448" s="83">
        <f>CL445/CG445-1</f>
        <v>-0.24666666666666659</v>
      </c>
      <c r="CM448" s="83">
        <f>CM445/CH445-1</f>
        <v>-0.55291375291375289</v>
      </c>
      <c r="CN448" s="83"/>
      <c r="CO448" s="83"/>
      <c r="CP448" s="83"/>
      <c r="CQ448" s="83"/>
      <c r="CR448" s="83">
        <f t="shared" si="368"/>
        <v>0.81960375391032314</v>
      </c>
      <c r="CS448" s="83">
        <f t="shared" si="368"/>
        <v>0.46875</v>
      </c>
      <c r="CT448" s="83">
        <f t="shared" si="368"/>
        <v>-0.47727272727272729</v>
      </c>
      <c r="CU448" s="83">
        <f>CU445/CP445-1</f>
        <v>-0.93922651933701662</v>
      </c>
      <c r="CV448" s="83">
        <f>CV445/CQ445-1</f>
        <v>-1.0985915492957747</v>
      </c>
      <c r="CW448" s="83">
        <f>CW445/CR445-1</f>
        <v>-0.61318051575931232</v>
      </c>
      <c r="CX448" s="83">
        <f>CX445/CS445-1</f>
        <v>-1.074468085106383</v>
      </c>
      <c r="CY448" s="83">
        <f>CY445/CT445-1</f>
        <v>-1.5434782608695652</v>
      </c>
      <c r="CZ448" s="83">
        <f>CZ445/CU445-1</f>
        <v>20.818181818181817</v>
      </c>
      <c r="DA448" s="83">
        <v>-3.3592592592592618E-2</v>
      </c>
      <c r="DB448" s="83">
        <f>DB445/CW445-1</f>
        <v>0.47037037037037033</v>
      </c>
      <c r="DC448" s="83"/>
      <c r="DD448" s="83"/>
      <c r="DE448" s="83"/>
      <c r="DF448" s="83"/>
      <c r="DG448" s="83">
        <f>DG445/DB445-1</f>
        <v>3.3526448362720407</v>
      </c>
      <c r="DH448" s="83">
        <f>DH445/DC445-1</f>
        <v>-0.57121405750798726</v>
      </c>
      <c r="DI448" s="83">
        <f>DI445/DD445-1</f>
        <v>-0.72716216216216223</v>
      </c>
      <c r="DJ448" s="83">
        <f>DJ445/DE445-1</f>
        <v>-0.52033600000000013</v>
      </c>
      <c r="DK448" s="83">
        <f>DK445/DF445-1</f>
        <v>-0.77800000000000002</v>
      </c>
      <c r="DL448" s="193">
        <f>DL445/DG445-1</f>
        <v>-0.63646412037037048</v>
      </c>
      <c r="DM448" s="193">
        <f t="shared" ref="DM448:DP448" si="369">DM445/DL445-1</f>
        <v>-2.9999999999999916E-2</v>
      </c>
      <c r="DN448" s="193">
        <f t="shared" si="369"/>
        <v>-3.0000000000000138E-2</v>
      </c>
      <c r="DO448" s="193">
        <f t="shared" si="369"/>
        <v>-2.9999999999999916E-2</v>
      </c>
      <c r="DP448" s="193">
        <f t="shared" si="369"/>
        <v>-3.0000000000000138E-2</v>
      </c>
    </row>
    <row r="449" spans="1:120" x14ac:dyDescent="0.2">
      <c r="A449" s="36" t="s">
        <v>284</v>
      </c>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c r="AR449" s="67"/>
      <c r="AS449" s="67"/>
      <c r="AT449" s="67"/>
      <c r="AU449" s="120">
        <v>431</v>
      </c>
      <c r="AV449" s="120">
        <v>290</v>
      </c>
      <c r="AW449" s="120">
        <v>442</v>
      </c>
      <c r="AX449" s="120">
        <v>423</v>
      </c>
      <c r="AY449" s="36">
        <f>AX449+AW449+AV449+AU449</f>
        <v>1586</v>
      </c>
      <c r="AZ449" s="120">
        <v>421</v>
      </c>
      <c r="BA449" s="120">
        <v>393</v>
      </c>
      <c r="BB449" s="120">
        <v>370</v>
      </c>
      <c r="BC449" s="120">
        <f>274-0.7</f>
        <v>273.3</v>
      </c>
      <c r="BD449" s="36">
        <f>BC449+BB449+BA449+AZ449</f>
        <v>1457.3</v>
      </c>
      <c r="BE449" s="36">
        <f>243+0.3</f>
        <v>243.3</v>
      </c>
      <c r="BF449" s="36">
        <v>301</v>
      </c>
      <c r="BG449" s="36">
        <v>306</v>
      </c>
      <c r="BH449" s="36">
        <v>315</v>
      </c>
      <c r="BI449" s="36">
        <f>BI443+BI437</f>
        <v>1165.3</v>
      </c>
      <c r="BJ449" s="36">
        <v>328</v>
      </c>
      <c r="BK449" s="36">
        <v>310</v>
      </c>
      <c r="BL449" s="36">
        <v>266</v>
      </c>
      <c r="BM449" s="36">
        <v>307</v>
      </c>
      <c r="BN449" s="36">
        <f>BN443+BN437</f>
        <v>1211</v>
      </c>
      <c r="BO449" s="36">
        <v>448</v>
      </c>
      <c r="BP449" s="36">
        <v>376</v>
      </c>
      <c r="BQ449" s="36">
        <v>94</v>
      </c>
      <c r="BR449" s="36">
        <v>92</v>
      </c>
      <c r="BS449" s="36">
        <f>BS443+BS437</f>
        <v>1010</v>
      </c>
      <c r="BT449" s="36">
        <f t="shared" ref="BS449:BW450" si="370">BT443+BT437</f>
        <v>113</v>
      </c>
      <c r="BU449" s="36">
        <f t="shared" si="370"/>
        <v>117</v>
      </c>
      <c r="BV449" s="36">
        <f t="shared" si="370"/>
        <v>141</v>
      </c>
      <c r="BW449" s="36">
        <f t="shared" si="370"/>
        <v>90</v>
      </c>
      <c r="BX449" s="36">
        <f>SUM(BT449:BW449)</f>
        <v>461</v>
      </c>
      <c r="BY449" s="36">
        <f t="shared" ref="BY449:CB450" si="371">BY443+BY437</f>
        <v>76</v>
      </c>
      <c r="BZ449" s="36">
        <f t="shared" si="371"/>
        <v>82</v>
      </c>
      <c r="CA449" s="36">
        <f t="shared" si="371"/>
        <v>116</v>
      </c>
      <c r="CB449" s="36">
        <f t="shared" si="371"/>
        <v>141</v>
      </c>
      <c r="CC449" s="36">
        <f>SUM(BY449:CB449)</f>
        <v>415</v>
      </c>
      <c r="CD449" s="36">
        <f t="shared" ref="CD449:CG450" si="372">CD443+CD437</f>
        <v>151</v>
      </c>
      <c r="CE449" s="36">
        <f t="shared" si="372"/>
        <v>110</v>
      </c>
      <c r="CF449" s="36">
        <f t="shared" si="372"/>
        <v>107</v>
      </c>
      <c r="CG449" s="36">
        <f t="shared" si="372"/>
        <v>113</v>
      </c>
      <c r="CH449" s="36">
        <f>SUM(CD449:CG449)</f>
        <v>481</v>
      </c>
      <c r="CI449" s="36">
        <f>CI443+CI437</f>
        <v>110</v>
      </c>
      <c r="CJ449" s="36">
        <f>CJ443+CJ437</f>
        <v>110</v>
      </c>
      <c r="CK449" s="36">
        <v>75</v>
      </c>
      <c r="CL449" s="36">
        <v>71</v>
      </c>
      <c r="CM449" s="36">
        <f>SUM(CI449:CL449)</f>
        <v>366</v>
      </c>
      <c r="CN449" s="36">
        <f t="shared" ref="CN449:CQ450" si="373">CN443+CN437</f>
        <v>46</v>
      </c>
      <c r="CO449" s="36">
        <f t="shared" si="373"/>
        <v>51</v>
      </c>
      <c r="CP449" s="36">
        <f t="shared" si="373"/>
        <v>56</v>
      </c>
      <c r="CQ449" s="36">
        <f t="shared" si="373"/>
        <v>107</v>
      </c>
      <c r="CR449" s="36">
        <f>SUM(CN449:CQ449)</f>
        <v>260</v>
      </c>
      <c r="CS449" s="36">
        <f t="shared" ref="CS449:CV450" si="374">CS443+CS437</f>
        <v>39</v>
      </c>
      <c r="CT449" s="36">
        <f>CT443+CT437</f>
        <v>22</v>
      </c>
      <c r="CU449" s="36">
        <f>CU443+CU437</f>
        <v>9</v>
      </c>
      <c r="CV449" s="36">
        <f t="shared" si="374"/>
        <v>23</v>
      </c>
      <c r="CW449" s="36">
        <f>SUM(CS449:CV449)</f>
        <v>93</v>
      </c>
      <c r="CX449" s="36">
        <f t="shared" ref="CX449:DA450" si="375">CX443+CX437</f>
        <v>58</v>
      </c>
      <c r="CY449" s="36">
        <f t="shared" si="375"/>
        <v>-6</v>
      </c>
      <c r="CZ449" s="36">
        <f t="shared" si="375"/>
        <v>139</v>
      </c>
      <c r="DA449" s="36">
        <f t="shared" si="375"/>
        <v>74</v>
      </c>
      <c r="DB449" s="36">
        <f>SUM(CX449:DA449)</f>
        <v>265</v>
      </c>
      <c r="DC449" s="36">
        <f t="shared" ref="DC449:DF450" si="376">DC443+DC437</f>
        <v>93</v>
      </c>
      <c r="DD449" s="36">
        <f t="shared" si="376"/>
        <v>35</v>
      </c>
      <c r="DE449" s="36">
        <f t="shared" si="376"/>
        <v>227</v>
      </c>
      <c r="DF449" s="36">
        <f t="shared" si="376"/>
        <v>12</v>
      </c>
      <c r="DG449" s="36">
        <f>SUM(DC449:DF449)</f>
        <v>367</v>
      </c>
      <c r="DH449" s="36">
        <f t="shared" ref="DH449:DK450" si="377">DH443+DH437</f>
        <v>90.21</v>
      </c>
      <c r="DI449" s="36">
        <f t="shared" si="377"/>
        <v>33.949999999999996</v>
      </c>
      <c r="DJ449" s="36">
        <f t="shared" si="377"/>
        <v>220.19</v>
      </c>
      <c r="DK449" s="36">
        <f t="shared" si="377"/>
        <v>11.64</v>
      </c>
      <c r="DL449" s="183">
        <f>SUM(DH449:DK449)</f>
        <v>355.99</v>
      </c>
      <c r="DM449" s="183">
        <f t="shared" ref="DM449:DP450" si="378">DM443+DM437</f>
        <v>345.31029999999998</v>
      </c>
      <c r="DN449" s="183">
        <f t="shared" si="378"/>
        <v>334.95099099999999</v>
      </c>
      <c r="DO449" s="183">
        <f t="shared" si="378"/>
        <v>324.90246127</v>
      </c>
      <c r="DP449" s="183">
        <f t="shared" si="378"/>
        <v>315.15538743190001</v>
      </c>
    </row>
    <row r="450" spans="1:120" x14ac:dyDescent="0.2">
      <c r="A450" s="36" t="s">
        <v>285</v>
      </c>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c r="AR450" s="67"/>
      <c r="AS450" s="67"/>
      <c r="AT450" s="67"/>
      <c r="AU450" s="120">
        <v>110</v>
      </c>
      <c r="AV450" s="120">
        <v>127</v>
      </c>
      <c r="AW450" s="120">
        <v>45</v>
      </c>
      <c r="AX450" s="120">
        <v>24</v>
      </c>
      <c r="AY450" s="36">
        <f>AX450+AW450+AV450+AU450</f>
        <v>306</v>
      </c>
      <c r="AZ450" s="120">
        <v>65</v>
      </c>
      <c r="BA450" s="120">
        <v>55</v>
      </c>
      <c r="BB450" s="120">
        <v>50</v>
      </c>
      <c r="BC450" s="120">
        <v>37</v>
      </c>
      <c r="BD450" s="36">
        <f>BC450+BB450+BA450+AZ450</f>
        <v>207</v>
      </c>
      <c r="BE450" s="36">
        <v>31</v>
      </c>
      <c r="BF450" s="36">
        <v>32</v>
      </c>
      <c r="BG450" s="36">
        <v>41</v>
      </c>
      <c r="BH450" s="36">
        <v>45</v>
      </c>
      <c r="BI450" s="36">
        <f>BI444+BI438</f>
        <v>149</v>
      </c>
      <c r="BJ450" s="36">
        <v>41</v>
      </c>
      <c r="BK450" s="36">
        <v>48</v>
      </c>
      <c r="BL450" s="36">
        <v>48</v>
      </c>
      <c r="BM450" s="36">
        <v>-9</v>
      </c>
      <c r="BN450" s="36">
        <f>BN444+BN438</f>
        <v>128</v>
      </c>
      <c r="BO450" s="36">
        <v>6</v>
      </c>
      <c r="BP450" s="36">
        <v>16</v>
      </c>
      <c r="BQ450" s="36">
        <v>43</v>
      </c>
      <c r="BR450" s="36">
        <v>119</v>
      </c>
      <c r="BS450" s="36">
        <f t="shared" si="370"/>
        <v>184</v>
      </c>
      <c r="BT450" s="36">
        <f t="shared" si="370"/>
        <v>215</v>
      </c>
      <c r="BU450" s="36">
        <f t="shared" si="370"/>
        <v>264</v>
      </c>
      <c r="BV450" s="36">
        <f t="shared" si="370"/>
        <v>182</v>
      </c>
      <c r="BW450" s="36">
        <f t="shared" si="370"/>
        <v>267</v>
      </c>
      <c r="BX450" s="36">
        <f>SUM(BT450:BW450)</f>
        <v>928</v>
      </c>
      <c r="BY450" s="36">
        <f t="shared" si="371"/>
        <v>303</v>
      </c>
      <c r="BZ450" s="36">
        <f t="shared" si="371"/>
        <v>163</v>
      </c>
      <c r="CA450" s="36">
        <f t="shared" si="371"/>
        <v>113</v>
      </c>
      <c r="CB450" s="36">
        <f t="shared" si="371"/>
        <v>186</v>
      </c>
      <c r="CC450" s="36">
        <f>SUM(BY450:CB450)</f>
        <v>765</v>
      </c>
      <c r="CD450" s="36">
        <f t="shared" si="372"/>
        <v>159</v>
      </c>
      <c r="CE450" s="36">
        <f t="shared" si="372"/>
        <v>106</v>
      </c>
      <c r="CF450" s="36">
        <f t="shared" si="372"/>
        <v>63</v>
      </c>
      <c r="CG450" s="36">
        <f t="shared" si="372"/>
        <v>49</v>
      </c>
      <c r="CH450" s="36">
        <f>SUM(CD450:CG450)</f>
        <v>377</v>
      </c>
      <c r="CI450" s="36">
        <f>CI444+CI438</f>
        <v>-56</v>
      </c>
      <c r="CJ450" s="36">
        <f>CJ444+CJ438</f>
        <v>-18</v>
      </c>
      <c r="CK450" s="36">
        <v>39</v>
      </c>
      <c r="CL450" s="36">
        <v>62</v>
      </c>
      <c r="CM450" s="36">
        <f>SUM(CI450:CL450)</f>
        <v>27</v>
      </c>
      <c r="CN450" s="36">
        <f t="shared" si="373"/>
        <v>82</v>
      </c>
      <c r="CO450" s="36">
        <f t="shared" si="373"/>
        <v>125</v>
      </c>
      <c r="CP450" s="36">
        <f t="shared" si="373"/>
        <v>125</v>
      </c>
      <c r="CQ450" s="36">
        <f t="shared" si="373"/>
        <v>106</v>
      </c>
      <c r="CR450" s="36">
        <f>SUM(CN450:CQ450)</f>
        <v>438</v>
      </c>
      <c r="CS450" s="36">
        <f t="shared" si="374"/>
        <v>149</v>
      </c>
      <c r="CT450" s="36">
        <f>CT444+CT438</f>
        <v>70</v>
      </c>
      <c r="CU450" s="36">
        <f>CU444+CU438</f>
        <v>2</v>
      </c>
      <c r="CV450" s="36">
        <f t="shared" si="374"/>
        <v>-45</v>
      </c>
      <c r="CW450" s="36">
        <f>SUM(CS450:CV450)</f>
        <v>176</v>
      </c>
      <c r="CX450" s="36">
        <f t="shared" si="375"/>
        <v>-72</v>
      </c>
      <c r="CY450" s="36">
        <f t="shared" si="375"/>
        <v>-44</v>
      </c>
      <c r="CZ450" s="36">
        <f t="shared" si="375"/>
        <v>101</v>
      </c>
      <c r="DA450" s="36">
        <f t="shared" si="375"/>
        <v>147</v>
      </c>
      <c r="DB450" s="36">
        <f>SUM(CX450:DA450)</f>
        <v>132</v>
      </c>
      <c r="DC450" s="36">
        <f t="shared" si="376"/>
        <v>220</v>
      </c>
      <c r="DD450" s="36">
        <f t="shared" si="376"/>
        <v>335</v>
      </c>
      <c r="DE450" s="36">
        <f t="shared" si="376"/>
        <v>398</v>
      </c>
      <c r="DF450" s="36">
        <f t="shared" si="376"/>
        <v>408</v>
      </c>
      <c r="DG450" s="36">
        <f>SUM(DC450:DF450)</f>
        <v>1361</v>
      </c>
      <c r="DH450" s="36">
        <f t="shared" si="377"/>
        <v>43.999999999999993</v>
      </c>
      <c r="DI450" s="36">
        <f t="shared" si="377"/>
        <v>66.999999999999986</v>
      </c>
      <c r="DJ450" s="36">
        <f t="shared" si="377"/>
        <v>79.59999999999998</v>
      </c>
      <c r="DK450" s="36">
        <f t="shared" si="377"/>
        <v>81.59999999999998</v>
      </c>
      <c r="DL450" s="183">
        <f>SUM(DH450:DK450)</f>
        <v>272.19999999999993</v>
      </c>
      <c r="DM450" s="183">
        <f t="shared" si="378"/>
        <v>264.03399999999993</v>
      </c>
      <c r="DN450" s="183">
        <f t="shared" si="378"/>
        <v>256.11297999999994</v>
      </c>
      <c r="DO450" s="183">
        <f t="shared" si="378"/>
        <v>248.42959059999993</v>
      </c>
      <c r="DP450" s="183">
        <f t="shared" si="378"/>
        <v>240.97670288199993</v>
      </c>
    </row>
    <row r="451" spans="1:120" x14ac:dyDescent="0.2">
      <c r="A451" s="39" t="s">
        <v>286</v>
      </c>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c r="AR451" s="67"/>
      <c r="AS451" s="67"/>
      <c r="AT451" s="67"/>
      <c r="AU451" s="165">
        <f>AU450+AU449</f>
        <v>541</v>
      </c>
      <c r="AV451" s="165">
        <f>AV450+AV449</f>
        <v>417</v>
      </c>
      <c r="AW451" s="165">
        <f>AW450+AW449</f>
        <v>487</v>
      </c>
      <c r="AX451" s="165">
        <f>AX450+AX449</f>
        <v>447</v>
      </c>
      <c r="AY451" s="39">
        <f>AX451+AW451+AV451+AU451</f>
        <v>1892</v>
      </c>
      <c r="AZ451" s="165">
        <f>AZ450+AZ449</f>
        <v>486</v>
      </c>
      <c r="BA451" s="165">
        <f>BA450+BA449</f>
        <v>448</v>
      </c>
      <c r="BB451" s="165">
        <f>BB450+BB449</f>
        <v>420</v>
      </c>
      <c r="BC451" s="165">
        <f>BC450+BC449</f>
        <v>310.3</v>
      </c>
      <c r="BD451" s="39">
        <f>BC451+BB451+BA451+AZ451</f>
        <v>1664.3</v>
      </c>
      <c r="BE451" s="39">
        <f>BE449+BE450</f>
        <v>274.3</v>
      </c>
      <c r="BF451" s="39">
        <f>BF449+BF450</f>
        <v>333</v>
      </c>
      <c r="BG451" s="39">
        <f>BG449+BG450</f>
        <v>347</v>
      </c>
      <c r="BH451" s="39">
        <f>BH449+BH450</f>
        <v>360</v>
      </c>
      <c r="BI451" s="39">
        <f t="shared" ref="BI451:CQ451" si="379">BI450+BI449</f>
        <v>1314.3</v>
      </c>
      <c r="BJ451" s="39">
        <f t="shared" si="379"/>
        <v>369</v>
      </c>
      <c r="BK451" s="39">
        <f t="shared" si="379"/>
        <v>358</v>
      </c>
      <c r="BL451" s="39">
        <f t="shared" si="379"/>
        <v>314</v>
      </c>
      <c r="BM451" s="39">
        <f t="shared" si="379"/>
        <v>298</v>
      </c>
      <c r="BN451" s="39">
        <f t="shared" si="379"/>
        <v>1339</v>
      </c>
      <c r="BO451" s="39">
        <f t="shared" si="379"/>
        <v>454</v>
      </c>
      <c r="BP451" s="39">
        <f t="shared" si="379"/>
        <v>392</v>
      </c>
      <c r="BQ451" s="39">
        <f t="shared" si="379"/>
        <v>137</v>
      </c>
      <c r="BR451" s="39">
        <f t="shared" si="379"/>
        <v>211</v>
      </c>
      <c r="BS451" s="39">
        <f t="shared" si="379"/>
        <v>1194</v>
      </c>
      <c r="BT451" s="39">
        <f t="shared" si="379"/>
        <v>328</v>
      </c>
      <c r="BU451" s="39">
        <f t="shared" si="379"/>
        <v>381</v>
      </c>
      <c r="BV451" s="39">
        <f t="shared" si="379"/>
        <v>323</v>
      </c>
      <c r="BW451" s="39">
        <f t="shared" si="379"/>
        <v>357</v>
      </c>
      <c r="BX451" s="39">
        <f t="shared" si="379"/>
        <v>1389</v>
      </c>
      <c r="BY451" s="39">
        <f t="shared" si="379"/>
        <v>379</v>
      </c>
      <c r="BZ451" s="39">
        <f t="shared" si="379"/>
        <v>245</v>
      </c>
      <c r="CA451" s="39">
        <f t="shared" si="379"/>
        <v>229</v>
      </c>
      <c r="CB451" s="39">
        <f t="shared" si="379"/>
        <v>327</v>
      </c>
      <c r="CC451" s="39">
        <f t="shared" si="379"/>
        <v>1180</v>
      </c>
      <c r="CD451" s="39">
        <f t="shared" si="379"/>
        <v>310</v>
      </c>
      <c r="CE451" s="39">
        <f t="shared" si="379"/>
        <v>216</v>
      </c>
      <c r="CF451" s="39">
        <f t="shared" si="379"/>
        <v>170</v>
      </c>
      <c r="CG451" s="39">
        <f t="shared" si="379"/>
        <v>162</v>
      </c>
      <c r="CH451" s="39">
        <f t="shared" si="379"/>
        <v>858</v>
      </c>
      <c r="CI451" s="39">
        <f t="shared" si="379"/>
        <v>54</v>
      </c>
      <c r="CJ451" s="39">
        <f t="shared" si="379"/>
        <v>92</v>
      </c>
      <c r="CK451" s="39">
        <f t="shared" si="379"/>
        <v>114</v>
      </c>
      <c r="CL451" s="39">
        <f t="shared" si="379"/>
        <v>133</v>
      </c>
      <c r="CM451" s="39">
        <f t="shared" si="379"/>
        <v>393</v>
      </c>
      <c r="CN451" s="39">
        <f t="shared" si="379"/>
        <v>128</v>
      </c>
      <c r="CO451" s="39">
        <f>CO450+CO449</f>
        <v>176</v>
      </c>
      <c r="CP451" s="39">
        <f>CP450+CP449</f>
        <v>181</v>
      </c>
      <c r="CQ451" s="39">
        <f t="shared" si="379"/>
        <v>213</v>
      </c>
      <c r="CR451" s="39">
        <f>CR450+CR449</f>
        <v>698</v>
      </c>
      <c r="CS451" s="39">
        <f>CS450+CS449</f>
        <v>188</v>
      </c>
      <c r="CT451" s="39">
        <f>CT450+CT449</f>
        <v>92</v>
      </c>
      <c r="CU451" s="39">
        <f>CU450+CU449</f>
        <v>11</v>
      </c>
      <c r="CV451" s="39">
        <f>CV450+CV449+1</f>
        <v>-21</v>
      </c>
      <c r="CW451" s="39">
        <f>SUM(CS451:CV451)</f>
        <v>270</v>
      </c>
      <c r="CX451" s="39">
        <f>CX450+CX449</f>
        <v>-14</v>
      </c>
      <c r="CY451" s="39">
        <f>CY450+CY449</f>
        <v>-50</v>
      </c>
      <c r="CZ451" s="39">
        <f>CZ450+CZ449</f>
        <v>240</v>
      </c>
      <c r="DA451" s="39">
        <f>DA450+DA449</f>
        <v>221</v>
      </c>
      <c r="DB451" s="39">
        <f>SUM(CX451:DA451)</f>
        <v>397</v>
      </c>
      <c r="DC451" s="39">
        <f>DC450+DC449</f>
        <v>313</v>
      </c>
      <c r="DD451" s="39">
        <f>DD450+DD449</f>
        <v>370</v>
      </c>
      <c r="DE451" s="39">
        <f>DE450+DE449</f>
        <v>625</v>
      </c>
      <c r="DF451" s="39">
        <f>DF450+DF449</f>
        <v>420</v>
      </c>
      <c r="DG451" s="39">
        <f>SUM(DC451:DF451)</f>
        <v>1728</v>
      </c>
      <c r="DH451" s="39">
        <f>DH450+DH449</f>
        <v>134.20999999999998</v>
      </c>
      <c r="DI451" s="39">
        <f>DI450+DI449</f>
        <v>100.94999999999999</v>
      </c>
      <c r="DJ451" s="39">
        <f>DJ450+DJ449</f>
        <v>299.78999999999996</v>
      </c>
      <c r="DK451" s="39">
        <f>DK450+DK449</f>
        <v>93.239999999999981</v>
      </c>
      <c r="DL451" s="187">
        <f>SUM(DH451:DK451)</f>
        <v>628.18999999999994</v>
      </c>
      <c r="DM451" s="187">
        <f t="shared" ref="DM451:DP451" si="380">DM450+DM449</f>
        <v>609.34429999999998</v>
      </c>
      <c r="DN451" s="187">
        <f t="shared" si="380"/>
        <v>591.06397099999992</v>
      </c>
      <c r="DO451" s="187">
        <f t="shared" si="380"/>
        <v>573.33205186999999</v>
      </c>
      <c r="DP451" s="187">
        <f t="shared" si="380"/>
        <v>556.13209031389988</v>
      </c>
    </row>
    <row r="452" spans="1:120" x14ac:dyDescent="0.2">
      <c r="A452" s="68" t="s">
        <v>54</v>
      </c>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c r="AR452" s="67"/>
      <c r="AS452" s="67"/>
      <c r="AT452" s="67"/>
      <c r="AU452" s="67"/>
      <c r="AV452" s="67"/>
      <c r="AW452" s="67"/>
      <c r="AX452" s="67"/>
      <c r="AY452" s="75"/>
      <c r="AZ452" s="67"/>
      <c r="BA452" s="67"/>
      <c r="BB452" s="67"/>
      <c r="BC452" s="67"/>
      <c r="BD452" s="75"/>
      <c r="BE452" s="76">
        <f t="shared" ref="BE452:CM454" si="381">BE449/AZ449-1</f>
        <v>-0.42209026128266025</v>
      </c>
      <c r="BF452" s="76">
        <f t="shared" si="381"/>
        <v>-0.23409669211195927</v>
      </c>
      <c r="BG452" s="76">
        <f t="shared" si="381"/>
        <v>-0.17297297297297298</v>
      </c>
      <c r="BH452" s="76">
        <f t="shared" si="381"/>
        <v>0.15257958287596041</v>
      </c>
      <c r="BI452" s="75">
        <f t="shared" si="381"/>
        <v>-0.20037054827420575</v>
      </c>
      <c r="BJ452" s="75">
        <f t="shared" si="381"/>
        <v>0.34812988080558971</v>
      </c>
      <c r="BK452" s="75">
        <f t="shared" si="381"/>
        <v>2.9900332225913706E-2</v>
      </c>
      <c r="BL452" s="75">
        <f t="shared" si="381"/>
        <v>-0.13071895424836599</v>
      </c>
      <c r="BM452" s="75">
        <f t="shared" si="381"/>
        <v>-2.5396825396825418E-2</v>
      </c>
      <c r="BN452" s="75">
        <f t="shared" si="381"/>
        <v>3.9217368917875195E-2</v>
      </c>
      <c r="BO452" s="75">
        <f t="shared" si="381"/>
        <v>0.36585365853658547</v>
      </c>
      <c r="BP452" s="75">
        <f t="shared" si="381"/>
        <v>0.2129032258064516</v>
      </c>
      <c r="BQ452" s="75">
        <f t="shared" si="381"/>
        <v>-0.64661654135338353</v>
      </c>
      <c r="BR452" s="75">
        <f t="shared" si="381"/>
        <v>-0.70032573289902278</v>
      </c>
      <c r="BS452" s="75">
        <f t="shared" si="381"/>
        <v>-0.16597853014037989</v>
      </c>
      <c r="BT452" s="75">
        <f t="shared" si="381"/>
        <v>-0.74776785714285721</v>
      </c>
      <c r="BU452" s="75">
        <f t="shared" si="381"/>
        <v>-0.68882978723404253</v>
      </c>
      <c r="BV452" s="75">
        <f t="shared" si="381"/>
        <v>0.5</v>
      </c>
      <c r="BW452" s="75">
        <f t="shared" si="381"/>
        <v>-2.1739130434782594E-2</v>
      </c>
      <c r="BX452" s="75">
        <f t="shared" si="381"/>
        <v>-0.5435643564356436</v>
      </c>
      <c r="BY452" s="75">
        <f t="shared" si="381"/>
        <v>-0.32743362831858402</v>
      </c>
      <c r="BZ452" s="75">
        <f t="shared" si="381"/>
        <v>-0.29914529914529919</v>
      </c>
      <c r="CA452" s="75">
        <f t="shared" si="381"/>
        <v>-0.17730496453900713</v>
      </c>
      <c r="CB452" s="75">
        <f t="shared" si="381"/>
        <v>0.56666666666666665</v>
      </c>
      <c r="CC452" s="75">
        <f t="shared" si="381"/>
        <v>-9.9783080260303691E-2</v>
      </c>
      <c r="CD452" s="75">
        <f t="shared" si="381"/>
        <v>0.98684210526315796</v>
      </c>
      <c r="CE452" s="75">
        <f t="shared" si="381"/>
        <v>0.34146341463414642</v>
      </c>
      <c r="CF452" s="75">
        <f t="shared" si="381"/>
        <v>-7.7586206896551713E-2</v>
      </c>
      <c r="CG452" s="75">
        <f t="shared" si="381"/>
        <v>-0.1985815602836879</v>
      </c>
      <c r="CH452" s="75">
        <f t="shared" si="381"/>
        <v>0.15903614457831328</v>
      </c>
      <c r="CI452" s="75">
        <f t="shared" si="381"/>
        <v>-0.27152317880794707</v>
      </c>
      <c r="CJ452" s="75">
        <f t="shared" si="381"/>
        <v>0</v>
      </c>
      <c r="CK452" s="75">
        <f t="shared" si="381"/>
        <v>-0.2990654205607477</v>
      </c>
      <c r="CL452" s="75">
        <f t="shared" si="381"/>
        <v>-0.37168141592920356</v>
      </c>
      <c r="CM452" s="75">
        <f t="shared" si="381"/>
        <v>-0.23908523908523904</v>
      </c>
      <c r="CN452" s="75">
        <f>-(CN450/CI450-1)</f>
        <v>2.4642857142857144</v>
      </c>
      <c r="CO452" s="75">
        <f t="shared" ref="CO452:DL454" si="382">CO449/CJ449-1</f>
        <v>-0.53636363636363638</v>
      </c>
      <c r="CP452" s="75">
        <f t="shared" si="382"/>
        <v>-0.2533333333333333</v>
      </c>
      <c r="CQ452" s="75">
        <f t="shared" si="382"/>
        <v>0.50704225352112675</v>
      </c>
      <c r="CR452" s="75">
        <f t="shared" si="382"/>
        <v>-0.2896174863387978</v>
      </c>
      <c r="CS452" s="75">
        <f t="shared" si="382"/>
        <v>-0.15217391304347827</v>
      </c>
      <c r="CT452" s="75">
        <f t="shared" si="382"/>
        <v>-0.56862745098039214</v>
      </c>
      <c r="CU452" s="75">
        <f t="shared" si="382"/>
        <v>-0.8392857142857143</v>
      </c>
      <c r="CV452" s="75">
        <f t="shared" si="382"/>
        <v>-0.78504672897196259</v>
      </c>
      <c r="CW452" s="90">
        <f t="shared" si="382"/>
        <v>-0.64230769230769225</v>
      </c>
      <c r="CX452" s="75">
        <f t="shared" si="382"/>
        <v>0.48717948717948723</v>
      </c>
      <c r="CY452" s="75">
        <f t="shared" si="382"/>
        <v>-1.2727272727272727</v>
      </c>
      <c r="CZ452" s="75">
        <f t="shared" si="382"/>
        <v>14.444444444444445</v>
      </c>
      <c r="DA452" s="75">
        <f t="shared" si="382"/>
        <v>2.2173913043478262</v>
      </c>
      <c r="DB452" s="90">
        <f t="shared" si="382"/>
        <v>1.849462365591398</v>
      </c>
      <c r="DC452" s="90">
        <f t="shared" si="382"/>
        <v>0.60344827586206895</v>
      </c>
      <c r="DD452" s="90">
        <f t="shared" si="382"/>
        <v>-6.833333333333333</v>
      </c>
      <c r="DE452" s="90">
        <f t="shared" si="382"/>
        <v>0.63309352517985618</v>
      </c>
      <c r="DF452" s="90">
        <f t="shared" si="382"/>
        <v>-0.83783783783783783</v>
      </c>
      <c r="DG452" s="75">
        <f t="shared" si="382"/>
        <v>0.38490566037735841</v>
      </c>
      <c r="DH452" s="75">
        <f t="shared" si="382"/>
        <v>-3.0000000000000027E-2</v>
      </c>
      <c r="DI452" s="75">
        <f t="shared" si="382"/>
        <v>-3.0000000000000138E-2</v>
      </c>
      <c r="DJ452" s="75">
        <f t="shared" si="382"/>
        <v>-3.0000000000000027E-2</v>
      </c>
      <c r="DK452" s="75">
        <f t="shared" si="382"/>
        <v>-2.9999999999999916E-2</v>
      </c>
      <c r="DL452" s="192">
        <f t="shared" si="382"/>
        <v>-3.0000000000000027E-2</v>
      </c>
      <c r="DM452" s="192">
        <f t="shared" ref="DM452:DP454" si="383">DM449/DL449-1</f>
        <v>-3.0000000000000027E-2</v>
      </c>
      <c r="DN452" s="192">
        <f t="shared" si="383"/>
        <v>-3.0000000000000027E-2</v>
      </c>
      <c r="DO452" s="192">
        <f t="shared" si="383"/>
        <v>-2.9999999999999916E-2</v>
      </c>
      <c r="DP452" s="192">
        <f t="shared" si="383"/>
        <v>-3.0000000000000027E-2</v>
      </c>
    </row>
    <row r="453" spans="1:120" x14ac:dyDescent="0.2">
      <c r="A453" s="68" t="s">
        <v>55</v>
      </c>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c r="AR453" s="67"/>
      <c r="AS453" s="67"/>
      <c r="AT453" s="67"/>
      <c r="AU453" s="67"/>
      <c r="AV453" s="67"/>
      <c r="AW453" s="67"/>
      <c r="AX453" s="67"/>
      <c r="AY453" s="75"/>
      <c r="AZ453" s="67"/>
      <c r="BA453" s="67"/>
      <c r="BB453" s="67"/>
      <c r="BC453" s="67"/>
      <c r="BD453" s="75"/>
      <c r="BE453" s="76">
        <f t="shared" si="381"/>
        <v>-0.52307692307692299</v>
      </c>
      <c r="BF453" s="76">
        <f t="shared" si="381"/>
        <v>-0.41818181818181821</v>
      </c>
      <c r="BG453" s="76">
        <f t="shared" si="381"/>
        <v>-0.18000000000000005</v>
      </c>
      <c r="BH453" s="76">
        <f t="shared" si="381"/>
        <v>0.21621621621621623</v>
      </c>
      <c r="BI453" s="75">
        <f t="shared" si="381"/>
        <v>-0.28019323671497587</v>
      </c>
      <c r="BJ453" s="75">
        <f t="shared" si="381"/>
        <v>0.32258064516129026</v>
      </c>
      <c r="BK453" s="75">
        <f t="shared" si="381"/>
        <v>0.5</v>
      </c>
      <c r="BL453" s="75">
        <f t="shared" si="381"/>
        <v>0.1707317073170731</v>
      </c>
      <c r="BM453" s="75">
        <f t="shared" si="381"/>
        <v>-1.2</v>
      </c>
      <c r="BN453" s="75">
        <f t="shared" si="381"/>
        <v>-0.14093959731543626</v>
      </c>
      <c r="BO453" s="75">
        <f t="shared" si="381"/>
        <v>-0.85365853658536583</v>
      </c>
      <c r="BP453" s="75">
        <f t="shared" si="381"/>
        <v>-0.66666666666666674</v>
      </c>
      <c r="BQ453" s="75">
        <f t="shared" si="381"/>
        <v>-0.10416666666666663</v>
      </c>
      <c r="BR453" s="75">
        <f t="shared" si="381"/>
        <v>-14.222222222222221</v>
      </c>
      <c r="BS453" s="75">
        <f t="shared" si="381"/>
        <v>0.4375</v>
      </c>
      <c r="BT453" s="75">
        <f t="shared" si="381"/>
        <v>34.833333333333336</v>
      </c>
      <c r="BU453" s="75">
        <f t="shared" si="381"/>
        <v>15.5</v>
      </c>
      <c r="BV453" s="75">
        <f t="shared" si="381"/>
        <v>3.2325581395348841</v>
      </c>
      <c r="BW453" s="75">
        <f t="shared" si="381"/>
        <v>1.2436974789915967</v>
      </c>
      <c r="BX453" s="75">
        <f t="shared" si="381"/>
        <v>4.0434782608695654</v>
      </c>
      <c r="BY453" s="75">
        <f>BY450/BT450-1</f>
        <v>0.40930232558139545</v>
      </c>
      <c r="BZ453" s="75">
        <f>BZ450/BU450-1</f>
        <v>-0.38257575757575757</v>
      </c>
      <c r="CA453" s="75">
        <f t="shared" si="381"/>
        <v>-0.37912087912087911</v>
      </c>
      <c r="CB453" s="75">
        <f t="shared" si="381"/>
        <v>-0.3033707865168539</v>
      </c>
      <c r="CC453" s="75">
        <f t="shared" si="381"/>
        <v>-0.1756465517241379</v>
      </c>
      <c r="CD453" s="75">
        <f t="shared" si="381"/>
        <v>-0.47524752475247523</v>
      </c>
      <c r="CE453" s="75">
        <f t="shared" si="381"/>
        <v>-0.34969325153374231</v>
      </c>
      <c r="CF453" s="75">
        <f t="shared" si="381"/>
        <v>-0.44247787610619471</v>
      </c>
      <c r="CG453" s="75">
        <f t="shared" si="381"/>
        <v>-0.73655913978494625</v>
      </c>
      <c r="CH453" s="75">
        <f t="shared" si="381"/>
        <v>-0.50718954248366011</v>
      </c>
      <c r="CI453" s="75">
        <f t="shared" si="381"/>
        <v>-1.3522012578616351</v>
      </c>
      <c r="CJ453" s="75">
        <f t="shared" si="381"/>
        <v>-1.1698113207547169</v>
      </c>
      <c r="CK453" s="75">
        <f t="shared" si="381"/>
        <v>-0.38095238095238093</v>
      </c>
      <c r="CL453" s="75">
        <f t="shared" si="381"/>
        <v>0.26530612244897966</v>
      </c>
      <c r="CM453" s="75">
        <f t="shared" si="381"/>
        <v>-0.92838196286472152</v>
      </c>
      <c r="CN453" s="75">
        <f>((CN450-CI450)+CI450)/CN451</f>
        <v>0.640625</v>
      </c>
      <c r="CO453" s="75">
        <f t="shared" si="382"/>
        <v>-7.9444444444444446</v>
      </c>
      <c r="CP453" s="75">
        <f t="shared" si="382"/>
        <v>2.2051282051282053</v>
      </c>
      <c r="CQ453" s="75">
        <f t="shared" si="382"/>
        <v>0.70967741935483875</v>
      </c>
      <c r="CR453" s="75">
        <f>CR450/CM450-1</f>
        <v>15.222222222222221</v>
      </c>
      <c r="CS453" s="75">
        <f t="shared" si="382"/>
        <v>0.81707317073170738</v>
      </c>
      <c r="CT453" s="75">
        <f t="shared" si="382"/>
        <v>-0.43999999999999995</v>
      </c>
      <c r="CU453" s="75">
        <f t="shared" si="382"/>
        <v>-0.98399999999999999</v>
      </c>
      <c r="CV453" s="75">
        <f t="shared" si="382"/>
        <v>-1.4245283018867925</v>
      </c>
      <c r="CW453" s="90">
        <f t="shared" si="382"/>
        <v>-0.59817351598173518</v>
      </c>
      <c r="CX453" s="75">
        <f t="shared" si="382"/>
        <v>-1.4832214765100671</v>
      </c>
      <c r="CY453" s="75">
        <f t="shared" si="382"/>
        <v>-1.6285714285714286</v>
      </c>
      <c r="CZ453" s="75"/>
      <c r="DA453" s="75"/>
      <c r="DB453" s="90"/>
      <c r="DC453" s="90"/>
      <c r="DD453" s="90"/>
      <c r="DE453" s="90"/>
      <c r="DF453" s="90"/>
      <c r="DG453" s="75"/>
      <c r="DH453" s="75"/>
      <c r="DI453" s="75"/>
      <c r="DJ453" s="75"/>
      <c r="DK453" s="75"/>
      <c r="DL453" s="192"/>
      <c r="DM453" s="192"/>
      <c r="DN453" s="192"/>
      <c r="DO453" s="192"/>
      <c r="DP453" s="192"/>
    </row>
    <row r="454" spans="1:120" x14ac:dyDescent="0.2">
      <c r="A454" s="78" t="s">
        <v>56</v>
      </c>
      <c r="B454" s="98"/>
      <c r="C454" s="98"/>
      <c r="D454" s="98"/>
      <c r="E454" s="98"/>
      <c r="F454" s="98"/>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83"/>
      <c r="AI454" s="83"/>
      <c r="AJ454" s="83"/>
      <c r="AK454" s="83"/>
      <c r="AL454" s="83"/>
      <c r="AM454" s="83"/>
      <c r="AN454" s="83"/>
      <c r="AO454" s="83"/>
      <c r="AP454" s="83"/>
      <c r="AQ454" s="83"/>
      <c r="AR454" s="83"/>
      <c r="AS454" s="83"/>
      <c r="AT454" s="83"/>
      <c r="AU454" s="83"/>
      <c r="AV454" s="83"/>
      <c r="AW454" s="83"/>
      <c r="AX454" s="83"/>
      <c r="AY454" s="83"/>
      <c r="AZ454" s="83"/>
      <c r="BA454" s="83"/>
      <c r="BB454" s="83"/>
      <c r="BC454" s="83"/>
      <c r="BD454" s="83"/>
      <c r="BE454" s="80">
        <f t="shared" si="381"/>
        <v>-0.43559670781893001</v>
      </c>
      <c r="BF454" s="80">
        <f t="shared" si="381"/>
        <v>-0.2566964285714286</v>
      </c>
      <c r="BG454" s="80">
        <f t="shared" si="381"/>
        <v>-0.17380952380952386</v>
      </c>
      <c r="BH454" s="80">
        <f t="shared" si="381"/>
        <v>0.16016757976152096</v>
      </c>
      <c r="BI454" s="83">
        <f t="shared" si="381"/>
        <v>-0.21029862404614552</v>
      </c>
      <c r="BJ454" s="83">
        <f t="shared" si="381"/>
        <v>0.34524243528982868</v>
      </c>
      <c r="BK454" s="83">
        <f t="shared" si="381"/>
        <v>7.5075075075075048E-2</v>
      </c>
      <c r="BL454" s="83">
        <f t="shared" si="381"/>
        <v>-9.5100864553314124E-2</v>
      </c>
      <c r="BM454" s="83">
        <f t="shared" si="381"/>
        <v>-0.17222222222222228</v>
      </c>
      <c r="BN454" s="83">
        <f t="shared" si="381"/>
        <v>1.879327398615227E-2</v>
      </c>
      <c r="BO454" s="83">
        <f t="shared" si="381"/>
        <v>0.23035230352303526</v>
      </c>
      <c r="BP454" s="83">
        <f t="shared" si="381"/>
        <v>9.4972067039106101E-2</v>
      </c>
      <c r="BQ454" s="83">
        <f t="shared" si="381"/>
        <v>-0.56369426751592355</v>
      </c>
      <c r="BR454" s="83">
        <f t="shared" si="381"/>
        <v>-0.29194630872483218</v>
      </c>
      <c r="BS454" s="83">
        <f t="shared" si="381"/>
        <v>-0.10828976848394323</v>
      </c>
      <c r="BT454" s="83">
        <f t="shared" si="381"/>
        <v>-0.27753303964757714</v>
      </c>
      <c r="BU454" s="83">
        <f t="shared" si="381"/>
        <v>-2.8061224489795866E-2</v>
      </c>
      <c r="BV454" s="83">
        <f t="shared" si="381"/>
        <v>1.3576642335766422</v>
      </c>
      <c r="BW454" s="83">
        <f t="shared" si="381"/>
        <v>0.69194312796208535</v>
      </c>
      <c r="BX454" s="83">
        <f t="shared" si="381"/>
        <v>0.16331658291457285</v>
      </c>
      <c r="BY454" s="83">
        <f>BY451/BT451-1</f>
        <v>0.15548780487804881</v>
      </c>
      <c r="BZ454" s="83">
        <f>BZ451/BU451-1</f>
        <v>-0.35695538057742782</v>
      </c>
      <c r="CA454" s="83">
        <f t="shared" si="381"/>
        <v>-0.29102167182662542</v>
      </c>
      <c r="CB454" s="83">
        <f t="shared" si="381"/>
        <v>-8.4033613445378186E-2</v>
      </c>
      <c r="CC454" s="83">
        <f t="shared" si="381"/>
        <v>-0.15046796256299499</v>
      </c>
      <c r="CD454" s="83">
        <f t="shared" si="381"/>
        <v>-0.18205804749340371</v>
      </c>
      <c r="CE454" s="83">
        <f t="shared" si="381"/>
        <v>-0.11836734693877549</v>
      </c>
      <c r="CF454" s="83">
        <f t="shared" si="381"/>
        <v>-0.25764192139737996</v>
      </c>
      <c r="CG454" s="83">
        <f t="shared" si="381"/>
        <v>-0.50458715596330272</v>
      </c>
      <c r="CH454" s="83">
        <f t="shared" si="381"/>
        <v>-0.27288135593220342</v>
      </c>
      <c r="CI454" s="83">
        <f t="shared" si="381"/>
        <v>-0.82580645161290323</v>
      </c>
      <c r="CJ454" s="83">
        <f t="shared" si="381"/>
        <v>-0.57407407407407407</v>
      </c>
      <c r="CK454" s="83">
        <f t="shared" si="381"/>
        <v>-0.3294117647058824</v>
      </c>
      <c r="CL454" s="83">
        <f t="shared" si="381"/>
        <v>-0.17901234567901236</v>
      </c>
      <c r="CM454" s="83">
        <f t="shared" si="381"/>
        <v>-0.54195804195804198</v>
      </c>
      <c r="CN454" s="83">
        <f>CN451/CI451-1</f>
        <v>1.3703703703703702</v>
      </c>
      <c r="CO454" s="83">
        <f t="shared" si="382"/>
        <v>0.91304347826086962</v>
      </c>
      <c r="CP454" s="83">
        <f t="shared" si="382"/>
        <v>0.58771929824561409</v>
      </c>
      <c r="CQ454" s="83">
        <f t="shared" si="382"/>
        <v>0.60150375939849621</v>
      </c>
      <c r="CR454" s="83">
        <f>CR451/CM451-1</f>
        <v>0.77608142493638677</v>
      </c>
      <c r="CS454" s="83">
        <f>CS451/CN451-1</f>
        <v>0.46875</v>
      </c>
      <c r="CT454" s="83">
        <f t="shared" si="382"/>
        <v>-0.47727272727272729</v>
      </c>
      <c r="CU454" s="83">
        <f t="shared" si="382"/>
        <v>-0.93922651933701662</v>
      </c>
      <c r="CV454" s="83">
        <f t="shared" si="382"/>
        <v>-1.0985915492957747</v>
      </c>
      <c r="CW454" s="83">
        <f t="shared" si="382"/>
        <v>-0.61318051575931232</v>
      </c>
      <c r="CX454" s="83">
        <f t="shared" si="382"/>
        <v>-1.074468085106383</v>
      </c>
      <c r="CY454" s="83">
        <f t="shared" si="382"/>
        <v>-1.5434782608695652</v>
      </c>
      <c r="CZ454" s="83">
        <f t="shared" si="382"/>
        <v>20.818181818181817</v>
      </c>
      <c r="DA454" s="83">
        <f t="shared" si="382"/>
        <v>-11.523809523809524</v>
      </c>
      <c r="DB454" s="83">
        <f t="shared" si="382"/>
        <v>0.47037037037037033</v>
      </c>
      <c r="DC454" s="83">
        <f t="shared" si="382"/>
        <v>-23.357142857142858</v>
      </c>
      <c r="DD454" s="83">
        <f t="shared" si="382"/>
        <v>-8.4</v>
      </c>
      <c r="DE454" s="83">
        <f t="shared" si="382"/>
        <v>1.6041666666666665</v>
      </c>
      <c r="DF454" s="83">
        <f t="shared" si="382"/>
        <v>0.90045248868778272</v>
      </c>
      <c r="DG454" s="83">
        <f t="shared" si="382"/>
        <v>3.3526448362720407</v>
      </c>
      <c r="DH454" s="83">
        <f t="shared" si="382"/>
        <v>-0.57121405750798726</v>
      </c>
      <c r="DI454" s="83">
        <f t="shared" si="382"/>
        <v>-0.72716216216216223</v>
      </c>
      <c r="DJ454" s="83">
        <f t="shared" si="382"/>
        <v>-0.52033600000000013</v>
      </c>
      <c r="DK454" s="83">
        <f t="shared" si="382"/>
        <v>-0.77800000000000002</v>
      </c>
      <c r="DL454" s="193">
        <f t="shared" si="382"/>
        <v>-0.63646412037037048</v>
      </c>
      <c r="DM454" s="193">
        <f t="shared" si="383"/>
        <v>-2.9999999999999916E-2</v>
      </c>
      <c r="DN454" s="193">
        <f t="shared" si="383"/>
        <v>-3.0000000000000138E-2</v>
      </c>
      <c r="DO454" s="193">
        <f t="shared" si="383"/>
        <v>-2.9999999999999916E-2</v>
      </c>
      <c r="DP454" s="193">
        <f t="shared" si="383"/>
        <v>-3.0000000000000138E-2</v>
      </c>
    </row>
    <row r="455" spans="1:120" hidden="1" x14ac:dyDescent="0.2">
      <c r="A455" s="65" t="s">
        <v>287</v>
      </c>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c r="CW455" s="72"/>
      <c r="CX455" s="72"/>
      <c r="CY455" s="72"/>
      <c r="CZ455" s="72"/>
      <c r="DA455" s="72"/>
      <c r="DB455" s="72"/>
      <c r="DC455" s="72"/>
      <c r="DD455" s="72"/>
      <c r="DE455" s="72"/>
      <c r="DF455" s="72"/>
      <c r="DG455" s="72"/>
      <c r="DH455" s="72"/>
      <c r="DI455" s="72"/>
      <c r="DJ455" s="72"/>
      <c r="DK455" s="72"/>
      <c r="DL455" s="200"/>
      <c r="DM455" s="200"/>
      <c r="DN455" s="200"/>
      <c r="DO455" s="200"/>
      <c r="DP455" s="200"/>
    </row>
    <row r="456" spans="1:120" hidden="1" x14ac:dyDescent="0.2">
      <c r="A456" s="65" t="s">
        <v>288</v>
      </c>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c r="CW456" s="72"/>
      <c r="CX456" s="72"/>
      <c r="CY456" s="72"/>
      <c r="CZ456" s="72"/>
      <c r="DA456" s="72"/>
      <c r="DB456" s="72"/>
      <c r="DC456" s="72"/>
      <c r="DD456" s="72"/>
      <c r="DE456" s="72"/>
      <c r="DF456" s="72"/>
      <c r="DG456" s="72"/>
      <c r="DH456" s="72"/>
      <c r="DI456" s="72"/>
      <c r="DJ456" s="72"/>
      <c r="DK456" s="72"/>
      <c r="DL456" s="200"/>
      <c r="DM456" s="200"/>
      <c r="DN456" s="200"/>
      <c r="DO456" s="200"/>
      <c r="DP456" s="200"/>
    </row>
    <row r="457" spans="1:120" hidden="1" x14ac:dyDescent="0.2">
      <c r="A457" s="172" t="s">
        <v>289</v>
      </c>
      <c r="B457" s="79"/>
      <c r="C457" s="79"/>
      <c r="D457" s="79"/>
      <c r="E457" s="79"/>
      <c r="F457" s="79"/>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2"/>
      <c r="BJ457" s="82"/>
      <c r="BK457" s="82"/>
      <c r="BL457" s="82"/>
      <c r="BM457" s="82"/>
      <c r="BN457" s="82"/>
      <c r="BO457" s="82"/>
      <c r="BP457" s="82"/>
      <c r="BQ457" s="82"/>
      <c r="BR457" s="82"/>
      <c r="BS457" s="82"/>
      <c r="BT457" s="82"/>
      <c r="BU457" s="82"/>
      <c r="BV457" s="82"/>
      <c r="BW457" s="82"/>
      <c r="BX457" s="82"/>
      <c r="BY457" s="82"/>
      <c r="BZ457" s="82"/>
      <c r="CA457" s="82"/>
      <c r="CB457" s="82"/>
      <c r="CC457" s="82"/>
      <c r="CD457" s="82"/>
      <c r="CE457" s="82"/>
      <c r="CF457" s="82"/>
      <c r="CG457" s="82"/>
      <c r="CH457" s="82"/>
      <c r="CI457" s="82"/>
      <c r="CJ457" s="82"/>
      <c r="CK457" s="82"/>
      <c r="CL457" s="82"/>
      <c r="CM457" s="82"/>
      <c r="CN457" s="82"/>
      <c r="CO457" s="82"/>
      <c r="CP457" s="82"/>
      <c r="CQ457" s="82"/>
      <c r="CR457" s="82"/>
      <c r="CS457" s="82"/>
      <c r="CT457" s="82"/>
      <c r="CU457" s="82"/>
      <c r="CV457" s="82"/>
      <c r="CW457" s="82"/>
      <c r="CX457" s="82"/>
      <c r="CY457" s="82"/>
      <c r="CZ457" s="82"/>
      <c r="DA457" s="82"/>
      <c r="DB457" s="82"/>
      <c r="DC457" s="82"/>
      <c r="DD457" s="82"/>
      <c r="DE457" s="82"/>
      <c r="DF457" s="82"/>
      <c r="DG457" s="82"/>
      <c r="DH457" s="82"/>
      <c r="DI457" s="82"/>
      <c r="DJ457" s="82"/>
      <c r="DK457" s="82"/>
      <c r="DL457" s="213"/>
      <c r="DM457" s="213"/>
      <c r="DN457" s="213"/>
      <c r="DO457" s="213"/>
      <c r="DP457" s="213"/>
    </row>
    <row r="458" spans="1:120" hidden="1" x14ac:dyDescent="0.2">
      <c r="A458" s="65" t="s">
        <v>290</v>
      </c>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c r="CW458" s="72"/>
      <c r="CX458" s="72"/>
      <c r="CY458" s="72"/>
      <c r="CZ458" s="72"/>
      <c r="DA458" s="72"/>
      <c r="DB458" s="72"/>
      <c r="DC458" s="72"/>
      <c r="DD458" s="72"/>
      <c r="DE458" s="72"/>
      <c r="DF458" s="72"/>
      <c r="DG458" s="72"/>
      <c r="DH458" s="72"/>
      <c r="DI458" s="72"/>
      <c r="DJ458" s="72"/>
      <c r="DK458" s="72"/>
      <c r="DL458" s="200"/>
      <c r="DM458" s="200"/>
      <c r="DN458" s="200"/>
      <c r="DO458" s="200"/>
      <c r="DP458" s="200"/>
    </row>
    <row r="459" spans="1:120" hidden="1" x14ac:dyDescent="0.2">
      <c r="A459" s="65" t="s">
        <v>291</v>
      </c>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c r="CW459" s="72"/>
      <c r="CX459" s="72"/>
      <c r="CY459" s="72"/>
      <c r="CZ459" s="72"/>
      <c r="DA459" s="72"/>
      <c r="DB459" s="72"/>
      <c r="DC459" s="72"/>
      <c r="DD459" s="72"/>
      <c r="DE459" s="72"/>
      <c r="DF459" s="72"/>
      <c r="DG459" s="72"/>
      <c r="DH459" s="72"/>
      <c r="DI459" s="72"/>
      <c r="DJ459" s="72"/>
      <c r="DK459" s="72"/>
      <c r="DL459" s="200"/>
      <c r="DM459" s="200"/>
      <c r="DN459" s="200"/>
      <c r="DO459" s="200"/>
      <c r="DP459" s="200"/>
    </row>
    <row r="460" spans="1:120" hidden="1" x14ac:dyDescent="0.2">
      <c r="A460" s="172" t="s">
        <v>292</v>
      </c>
      <c r="B460" s="79"/>
      <c r="C460" s="79"/>
      <c r="D460" s="79"/>
      <c r="E460" s="79"/>
      <c r="F460" s="79"/>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2"/>
      <c r="BJ460" s="82"/>
      <c r="BK460" s="82"/>
      <c r="BL460" s="82"/>
      <c r="BM460" s="82"/>
      <c r="BN460" s="82"/>
      <c r="BO460" s="82"/>
      <c r="BP460" s="82"/>
      <c r="BQ460" s="82"/>
      <c r="BR460" s="82"/>
      <c r="BS460" s="82"/>
      <c r="BT460" s="82"/>
      <c r="BU460" s="82"/>
      <c r="BV460" s="82"/>
      <c r="BW460" s="82"/>
      <c r="BX460" s="82"/>
      <c r="BY460" s="82"/>
      <c r="BZ460" s="82"/>
      <c r="CA460" s="82"/>
      <c r="CB460" s="82"/>
      <c r="CC460" s="82"/>
      <c r="CD460" s="82"/>
      <c r="CE460" s="82"/>
      <c r="CF460" s="82"/>
      <c r="CG460" s="82"/>
      <c r="CH460" s="82"/>
      <c r="CI460" s="82"/>
      <c r="CJ460" s="82"/>
      <c r="CK460" s="82"/>
      <c r="CL460" s="82"/>
      <c r="CM460" s="82"/>
      <c r="CN460" s="82"/>
      <c r="CO460" s="82"/>
      <c r="CP460" s="82"/>
      <c r="CQ460" s="82"/>
      <c r="CR460" s="82"/>
      <c r="CS460" s="82"/>
      <c r="CT460" s="82"/>
      <c r="CU460" s="82"/>
      <c r="CV460" s="82"/>
      <c r="CW460" s="82"/>
      <c r="CX460" s="82"/>
      <c r="CY460" s="82"/>
      <c r="CZ460" s="82"/>
      <c r="DA460" s="82"/>
      <c r="DB460" s="82"/>
      <c r="DC460" s="82"/>
      <c r="DD460" s="82"/>
      <c r="DE460" s="82"/>
      <c r="DF460" s="82"/>
      <c r="DG460" s="82"/>
      <c r="DH460" s="82"/>
      <c r="DI460" s="82"/>
      <c r="DJ460" s="82"/>
      <c r="DK460" s="82"/>
      <c r="DL460" s="213"/>
      <c r="DM460" s="213"/>
      <c r="DN460" s="213"/>
      <c r="DO460" s="213"/>
      <c r="DP460" s="213"/>
    </row>
    <row r="461" spans="1:120" hidden="1" x14ac:dyDescent="0.2">
      <c r="A461" s="65" t="s">
        <v>293</v>
      </c>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c r="CW461" s="72"/>
      <c r="CX461" s="72"/>
      <c r="CY461" s="72"/>
      <c r="CZ461" s="72"/>
      <c r="DA461" s="72"/>
      <c r="DB461" s="72"/>
      <c r="DC461" s="72"/>
      <c r="DD461" s="72"/>
      <c r="DE461" s="72"/>
      <c r="DF461" s="72"/>
      <c r="DG461" s="72"/>
      <c r="DH461" s="72"/>
      <c r="DI461" s="72"/>
      <c r="DJ461" s="72"/>
      <c r="DK461" s="72"/>
      <c r="DL461" s="200"/>
      <c r="DM461" s="200"/>
      <c r="DN461" s="200"/>
      <c r="DO461" s="200"/>
      <c r="DP461" s="200"/>
    </row>
    <row r="462" spans="1:120" hidden="1" x14ac:dyDescent="0.2">
      <c r="A462" s="65" t="s">
        <v>294</v>
      </c>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c r="CW462" s="72"/>
      <c r="CX462" s="72"/>
      <c r="CY462" s="72"/>
      <c r="CZ462" s="72"/>
      <c r="DA462" s="72"/>
      <c r="DB462" s="72"/>
      <c r="DC462" s="72"/>
      <c r="DD462" s="72"/>
      <c r="DE462" s="72"/>
      <c r="DF462" s="72"/>
      <c r="DG462" s="72"/>
      <c r="DH462" s="72"/>
      <c r="DI462" s="72"/>
      <c r="DJ462" s="72"/>
      <c r="DK462" s="72"/>
      <c r="DL462" s="200"/>
      <c r="DM462" s="200"/>
      <c r="DN462" s="200"/>
      <c r="DO462" s="200"/>
      <c r="DP462" s="200"/>
    </row>
    <row r="463" spans="1:120" hidden="1" x14ac:dyDescent="0.2">
      <c r="A463" s="172" t="s">
        <v>295</v>
      </c>
      <c r="B463" s="79"/>
      <c r="C463" s="79"/>
      <c r="D463" s="79"/>
      <c r="E463" s="79"/>
      <c r="F463" s="79"/>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2"/>
      <c r="BJ463" s="82"/>
      <c r="BK463" s="82"/>
      <c r="BL463" s="82"/>
      <c r="BM463" s="82"/>
      <c r="BN463" s="82"/>
      <c r="BO463" s="82"/>
      <c r="BP463" s="82"/>
      <c r="BQ463" s="82"/>
      <c r="BR463" s="82"/>
      <c r="BS463" s="82"/>
      <c r="BT463" s="82"/>
      <c r="BU463" s="82"/>
      <c r="BV463" s="82"/>
      <c r="BW463" s="82"/>
      <c r="BX463" s="82"/>
      <c r="BY463" s="82"/>
      <c r="BZ463" s="82"/>
      <c r="CA463" s="82"/>
      <c r="CB463" s="82"/>
      <c r="CC463" s="82"/>
      <c r="CD463" s="82"/>
      <c r="CE463" s="82"/>
      <c r="CF463" s="82"/>
      <c r="CG463" s="82"/>
      <c r="CH463" s="82"/>
      <c r="CI463" s="82"/>
      <c r="CJ463" s="82"/>
      <c r="CK463" s="82"/>
      <c r="CL463" s="82"/>
      <c r="CM463" s="82"/>
      <c r="CN463" s="82"/>
      <c r="CO463" s="82"/>
      <c r="CP463" s="82"/>
      <c r="CQ463" s="82"/>
      <c r="CR463" s="82"/>
      <c r="CS463" s="82"/>
      <c r="CT463" s="82"/>
      <c r="CU463" s="82"/>
      <c r="CV463" s="82"/>
      <c r="CW463" s="82"/>
      <c r="CX463" s="82"/>
      <c r="CY463" s="82"/>
      <c r="CZ463" s="82"/>
      <c r="DA463" s="82"/>
      <c r="DB463" s="82"/>
      <c r="DC463" s="82"/>
      <c r="DD463" s="82"/>
      <c r="DE463" s="82"/>
      <c r="DF463" s="82"/>
      <c r="DG463" s="82"/>
      <c r="DH463" s="82"/>
      <c r="DI463" s="82"/>
      <c r="DJ463" s="82"/>
      <c r="DK463" s="82"/>
      <c r="DL463" s="213"/>
      <c r="DM463" s="213"/>
      <c r="DN463" s="213"/>
      <c r="DO463" s="213"/>
      <c r="DP463" s="213"/>
    </row>
    <row r="464" spans="1:120" hidden="1" x14ac:dyDescent="0.2">
      <c r="A464" s="65" t="s">
        <v>296</v>
      </c>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1"/>
      <c r="BF464" s="71"/>
      <c r="BG464" s="71"/>
      <c r="BH464" s="71"/>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c r="CW464" s="72"/>
      <c r="CX464" s="72"/>
      <c r="CY464" s="72"/>
      <c r="CZ464" s="72"/>
      <c r="DA464" s="72"/>
      <c r="DB464" s="72"/>
      <c r="DC464" s="72"/>
      <c r="DD464" s="72"/>
      <c r="DE464" s="72"/>
      <c r="DF464" s="72"/>
      <c r="DG464" s="72"/>
      <c r="DH464" s="72"/>
      <c r="DI464" s="72"/>
      <c r="DJ464" s="72"/>
      <c r="DK464" s="72"/>
      <c r="DL464" s="200"/>
      <c r="DM464" s="200"/>
      <c r="DN464" s="200"/>
      <c r="DO464" s="200"/>
      <c r="DP464" s="200"/>
    </row>
    <row r="465" spans="1:120" hidden="1" x14ac:dyDescent="0.2">
      <c r="A465" s="65" t="s">
        <v>297</v>
      </c>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1"/>
      <c r="BF465" s="71"/>
      <c r="BG465" s="71"/>
      <c r="BH465" s="71"/>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c r="CW465" s="72"/>
      <c r="CX465" s="72"/>
      <c r="CY465" s="72"/>
      <c r="CZ465" s="72"/>
      <c r="DA465" s="72"/>
      <c r="DB465" s="72"/>
      <c r="DC465" s="72"/>
      <c r="DD465" s="72"/>
      <c r="DE465" s="72"/>
      <c r="DF465" s="72"/>
      <c r="DG465" s="72"/>
      <c r="DH465" s="72"/>
      <c r="DI465" s="72"/>
      <c r="DJ465" s="72"/>
      <c r="DK465" s="72"/>
      <c r="DL465" s="200"/>
      <c r="DM465" s="200"/>
      <c r="DN465" s="200"/>
      <c r="DO465" s="200"/>
      <c r="DP465" s="200"/>
    </row>
    <row r="466" spans="1:120" hidden="1" x14ac:dyDescent="0.2">
      <c r="A466" s="172" t="s">
        <v>298</v>
      </c>
      <c r="B466" s="79"/>
      <c r="C466" s="79"/>
      <c r="D466" s="79"/>
      <c r="E466" s="79"/>
      <c r="F466" s="79"/>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1"/>
      <c r="BF466" s="81"/>
      <c r="BG466" s="81"/>
      <c r="BH466" s="81"/>
      <c r="BI466" s="82"/>
      <c r="BJ466" s="82"/>
      <c r="BK466" s="82"/>
      <c r="BL466" s="82"/>
      <c r="BM466" s="82"/>
      <c r="BN466" s="82"/>
      <c r="BO466" s="82"/>
      <c r="BP466" s="82"/>
      <c r="BQ466" s="82"/>
      <c r="BR466" s="82"/>
      <c r="BS466" s="82"/>
      <c r="BT466" s="82"/>
      <c r="BU466" s="82"/>
      <c r="BV466" s="82"/>
      <c r="BW466" s="82"/>
      <c r="BX466" s="82"/>
      <c r="BY466" s="82"/>
      <c r="BZ466" s="82"/>
      <c r="CA466" s="82"/>
      <c r="CB466" s="82"/>
      <c r="CC466" s="82"/>
      <c r="CD466" s="82"/>
      <c r="CE466" s="82"/>
      <c r="CF466" s="82"/>
      <c r="CG466" s="82"/>
      <c r="CH466" s="82"/>
      <c r="CI466" s="82"/>
      <c r="CJ466" s="82"/>
      <c r="CK466" s="82"/>
      <c r="CL466" s="82"/>
      <c r="CM466" s="82"/>
      <c r="CN466" s="82"/>
      <c r="CO466" s="82"/>
      <c r="CP466" s="82"/>
      <c r="CQ466" s="82"/>
      <c r="CR466" s="82"/>
      <c r="CS466" s="82"/>
      <c r="CT466" s="82"/>
      <c r="CU466" s="82"/>
      <c r="CV466" s="82"/>
      <c r="CW466" s="82"/>
      <c r="CX466" s="82"/>
      <c r="CY466" s="82"/>
      <c r="CZ466" s="82"/>
      <c r="DA466" s="82"/>
      <c r="DB466" s="82"/>
      <c r="DC466" s="82">
        <f>DC465+DC464</f>
        <v>0</v>
      </c>
      <c r="DD466" s="82"/>
      <c r="DE466" s="82"/>
      <c r="DF466" s="82"/>
      <c r="DG466" s="82"/>
      <c r="DH466" s="82"/>
      <c r="DI466" s="82"/>
      <c r="DJ466" s="82"/>
      <c r="DK466" s="82"/>
      <c r="DL466" s="213"/>
      <c r="DM466" s="213"/>
      <c r="DN466" s="213"/>
      <c r="DO466" s="213"/>
      <c r="DP466" s="213"/>
    </row>
    <row r="467" spans="1:120" x14ac:dyDescent="0.2">
      <c r="A467" s="65" t="s">
        <v>299</v>
      </c>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c r="CW467" s="72"/>
      <c r="CX467" s="72"/>
      <c r="CY467" s="72"/>
      <c r="CZ467" s="72"/>
      <c r="DA467" s="72"/>
      <c r="DB467" s="72"/>
      <c r="DC467" s="72"/>
      <c r="DD467" s="72"/>
      <c r="DE467" s="72"/>
      <c r="DF467" s="72"/>
      <c r="DG467" s="72"/>
      <c r="DH467" s="72"/>
      <c r="DI467" s="72"/>
      <c r="DJ467" s="72"/>
      <c r="DK467" s="72"/>
      <c r="DL467" s="200"/>
      <c r="DM467" s="200"/>
      <c r="DN467" s="200">
        <v>150</v>
      </c>
      <c r="DO467" s="200">
        <f t="shared" ref="DO467:DP468" si="384">DN467*1.25</f>
        <v>187.5</v>
      </c>
      <c r="DP467" s="200">
        <f t="shared" si="384"/>
        <v>234.375</v>
      </c>
    </row>
    <row r="468" spans="1:120" x14ac:dyDescent="0.2">
      <c r="A468" s="65" t="s">
        <v>300</v>
      </c>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c r="CW468" s="72"/>
      <c r="CX468" s="72"/>
      <c r="CY468" s="72"/>
      <c r="CZ468" s="72"/>
      <c r="DA468" s="72"/>
      <c r="DB468" s="72"/>
      <c r="DC468" s="72"/>
      <c r="DD468" s="72"/>
      <c r="DE468" s="72"/>
      <c r="DF468" s="72"/>
      <c r="DG468" s="72"/>
      <c r="DH468" s="72"/>
      <c r="DI468" s="72"/>
      <c r="DJ468" s="72"/>
      <c r="DK468" s="72"/>
      <c r="DL468" s="200"/>
      <c r="DM468" s="200"/>
      <c r="DN468" s="200">
        <v>150</v>
      </c>
      <c r="DO468" s="200">
        <f t="shared" si="384"/>
        <v>187.5</v>
      </c>
      <c r="DP468" s="200">
        <f t="shared" si="384"/>
        <v>234.375</v>
      </c>
    </row>
    <row r="469" spans="1:120" x14ac:dyDescent="0.2">
      <c r="A469" s="172" t="s">
        <v>301</v>
      </c>
      <c r="B469" s="79"/>
      <c r="C469" s="79"/>
      <c r="D469" s="79"/>
      <c r="E469" s="79"/>
      <c r="F469" s="79"/>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2"/>
      <c r="BJ469" s="82"/>
      <c r="BK469" s="82"/>
      <c r="BL469" s="82"/>
      <c r="BM469" s="82"/>
      <c r="BN469" s="82"/>
      <c r="BO469" s="82"/>
      <c r="BP469" s="82"/>
      <c r="BQ469" s="82"/>
      <c r="BR469" s="82"/>
      <c r="BS469" s="82">
        <f>BS468+BS467</f>
        <v>0</v>
      </c>
      <c r="BT469" s="82"/>
      <c r="BU469" s="82"/>
      <c r="BV469" s="82"/>
      <c r="BW469" s="82"/>
      <c r="BX469" s="82">
        <f>BX468+BX467</f>
        <v>0</v>
      </c>
      <c r="BY469" s="82"/>
      <c r="BZ469" s="82"/>
      <c r="CA469" s="82"/>
      <c r="CB469" s="82"/>
      <c r="CC469" s="82"/>
      <c r="CD469" s="82"/>
      <c r="CE469" s="82"/>
      <c r="CF469" s="82"/>
      <c r="CG469" s="82"/>
      <c r="CH469" s="82"/>
      <c r="CI469" s="82"/>
      <c r="CJ469" s="82"/>
      <c r="CK469" s="82"/>
      <c r="CL469" s="82"/>
      <c r="CM469" s="82"/>
      <c r="CN469" s="82"/>
      <c r="CO469" s="82"/>
      <c r="CP469" s="82"/>
      <c r="CQ469" s="82"/>
      <c r="CR469" s="82"/>
      <c r="CS469" s="82"/>
      <c r="CT469" s="82"/>
      <c r="CU469" s="82"/>
      <c r="CV469" s="82"/>
      <c r="CW469" s="82"/>
      <c r="CX469" s="82"/>
      <c r="CY469" s="82"/>
      <c r="CZ469" s="82"/>
      <c r="DA469" s="82"/>
      <c r="DB469" s="82"/>
      <c r="DC469" s="82"/>
      <c r="DD469" s="82"/>
      <c r="DE469" s="82"/>
      <c r="DF469" s="82"/>
      <c r="DG469" s="82"/>
      <c r="DH469" s="82"/>
      <c r="DI469" s="82"/>
      <c r="DJ469" s="82"/>
      <c r="DK469" s="82"/>
      <c r="DL469" s="213"/>
      <c r="DM469" s="213"/>
      <c r="DN469" s="213">
        <f t="shared" ref="DN469:DP469" si="385">DN468+DN467</f>
        <v>300</v>
      </c>
      <c r="DO469" s="213">
        <f t="shared" si="385"/>
        <v>375</v>
      </c>
      <c r="DP469" s="213">
        <f t="shared" si="385"/>
        <v>468.75</v>
      </c>
    </row>
    <row r="470" spans="1:120" hidden="1" x14ac:dyDescent="0.2">
      <c r="A470" s="65" t="s">
        <v>302</v>
      </c>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c r="CW470" s="72"/>
      <c r="CX470" s="72"/>
      <c r="CY470" s="72"/>
      <c r="CZ470" s="72"/>
      <c r="DA470" s="72"/>
      <c r="DB470" s="72"/>
      <c r="DC470" s="72"/>
      <c r="DD470" s="72"/>
      <c r="DE470" s="72"/>
      <c r="DF470" s="72"/>
      <c r="DG470" s="72"/>
      <c r="DH470" s="72"/>
      <c r="DI470" s="72"/>
      <c r="DJ470" s="72"/>
      <c r="DK470" s="72"/>
      <c r="DL470" s="200"/>
      <c r="DM470" s="200"/>
      <c r="DN470" s="200"/>
      <c r="DO470" s="200"/>
      <c r="DP470" s="200"/>
    </row>
    <row r="471" spans="1:120" hidden="1" x14ac:dyDescent="0.2">
      <c r="A471" s="65" t="s">
        <v>303</v>
      </c>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c r="CW471" s="72"/>
      <c r="CX471" s="72"/>
      <c r="CY471" s="72"/>
      <c r="CZ471" s="72"/>
      <c r="DA471" s="72"/>
      <c r="DB471" s="72"/>
      <c r="DC471" s="72"/>
      <c r="DD471" s="72"/>
      <c r="DE471" s="72"/>
      <c r="DF471" s="72"/>
      <c r="DG471" s="72"/>
      <c r="DH471" s="72"/>
      <c r="DI471" s="72"/>
      <c r="DJ471" s="72"/>
      <c r="DK471" s="72"/>
      <c r="DL471" s="200"/>
      <c r="DM471" s="200"/>
      <c r="DN471" s="200"/>
      <c r="DO471" s="200"/>
      <c r="DP471" s="200"/>
    </row>
    <row r="472" spans="1:120" hidden="1" x14ac:dyDescent="0.2">
      <c r="A472" s="172" t="s">
        <v>304</v>
      </c>
      <c r="B472" s="79"/>
      <c r="C472" s="79"/>
      <c r="D472" s="79"/>
      <c r="E472" s="79"/>
      <c r="F472" s="79"/>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2"/>
      <c r="BJ472" s="82">
        <f>BJ471+BJ470</f>
        <v>0</v>
      </c>
      <c r="BK472" s="82">
        <f>BK471+BK470</f>
        <v>0</v>
      </c>
      <c r="BL472" s="82">
        <f>BL471+BL470</f>
        <v>0</v>
      </c>
      <c r="BM472" s="82">
        <f>BM471+BM470</f>
        <v>0</v>
      </c>
      <c r="BN472" s="82"/>
      <c r="BO472" s="82">
        <f t="shared" ref="BO472:BX472" si="386">BO471+BO470</f>
        <v>0</v>
      </c>
      <c r="BP472" s="82">
        <f t="shared" si="386"/>
        <v>0</v>
      </c>
      <c r="BQ472" s="82">
        <f t="shared" si="386"/>
        <v>0</v>
      </c>
      <c r="BR472" s="82">
        <f t="shared" si="386"/>
        <v>0</v>
      </c>
      <c r="BS472" s="82">
        <f t="shared" si="386"/>
        <v>0</v>
      </c>
      <c r="BT472" s="82">
        <f t="shared" si="386"/>
        <v>0</v>
      </c>
      <c r="BU472" s="82">
        <f t="shared" si="386"/>
        <v>0</v>
      </c>
      <c r="BV472" s="82">
        <f t="shared" si="386"/>
        <v>0</v>
      </c>
      <c r="BW472" s="82">
        <f t="shared" si="386"/>
        <v>0</v>
      </c>
      <c r="BX472" s="82">
        <f t="shared" si="386"/>
        <v>0</v>
      </c>
      <c r="BY472" s="82"/>
      <c r="BZ472" s="82"/>
      <c r="CA472" s="82"/>
      <c r="CB472" s="82"/>
      <c r="CC472" s="82">
        <f>CC471+CC470</f>
        <v>0</v>
      </c>
      <c r="CD472" s="82"/>
      <c r="CE472" s="82"/>
      <c r="CF472" s="82"/>
      <c r="CG472" s="82"/>
      <c r="CH472" s="82">
        <f>CH471+CH470</f>
        <v>0</v>
      </c>
      <c r="CI472" s="82"/>
      <c r="CJ472" s="82"/>
      <c r="CK472" s="82"/>
      <c r="CL472" s="82"/>
      <c r="CM472" s="82">
        <f>CM471+CM470</f>
        <v>0</v>
      </c>
      <c r="CN472" s="82"/>
      <c r="CO472" s="82"/>
      <c r="CP472" s="82"/>
      <c r="CQ472" s="82"/>
      <c r="CR472" s="82">
        <f>CR471+CR470</f>
        <v>0</v>
      </c>
      <c r="CS472" s="82"/>
      <c r="CT472" s="82"/>
      <c r="CU472" s="82"/>
      <c r="CV472" s="82"/>
      <c r="CW472" s="82"/>
      <c r="CX472" s="82"/>
      <c r="CY472" s="82"/>
      <c r="CZ472" s="82"/>
      <c r="DA472" s="82"/>
      <c r="DB472" s="82"/>
      <c r="DC472" s="82"/>
      <c r="DD472" s="82"/>
      <c r="DE472" s="82"/>
      <c r="DF472" s="82"/>
      <c r="DG472" s="82"/>
      <c r="DH472" s="82"/>
      <c r="DI472" s="82"/>
      <c r="DJ472" s="82"/>
      <c r="DK472" s="82"/>
      <c r="DL472" s="213"/>
      <c r="DM472" s="213"/>
      <c r="DN472" s="213"/>
      <c r="DO472" s="213"/>
      <c r="DP472" s="213"/>
    </row>
    <row r="473" spans="1:120" hidden="1" x14ac:dyDescent="0.2">
      <c r="A473" s="36"/>
      <c r="G473" s="75"/>
      <c r="H473" s="75"/>
      <c r="I473" s="75"/>
      <c r="J473" s="75"/>
      <c r="K473" s="75"/>
      <c r="L473" s="75"/>
      <c r="M473" s="75"/>
      <c r="N473" s="75"/>
      <c r="O473" s="90"/>
      <c r="P473" s="75"/>
      <c r="Q473" s="90"/>
      <c r="R473" s="90"/>
      <c r="S473" s="90"/>
      <c r="T473" s="90"/>
      <c r="U473" s="119"/>
      <c r="V473" s="119"/>
      <c r="W473" s="119"/>
      <c r="X473" s="119"/>
      <c r="Y473" s="119"/>
      <c r="Z473" s="119"/>
      <c r="AA473" s="119"/>
      <c r="AB473" s="119"/>
      <c r="AC473" s="119"/>
      <c r="AD473" s="119"/>
      <c r="AE473" s="120"/>
      <c r="AF473" s="119"/>
      <c r="AG473" s="119"/>
      <c r="AH473" s="119"/>
      <c r="AI473" s="119"/>
      <c r="AJ473" s="120"/>
      <c r="AK473" s="119"/>
      <c r="AL473" s="119"/>
      <c r="AM473" s="119"/>
      <c r="AN473" s="119"/>
      <c r="AO473" s="120"/>
      <c r="AP473" s="119"/>
      <c r="AQ473" s="119"/>
      <c r="AR473" s="119"/>
      <c r="AS473" s="119"/>
      <c r="AT473" s="120"/>
      <c r="AU473" s="120"/>
      <c r="AV473" s="120"/>
      <c r="AW473" s="120"/>
      <c r="AX473" s="120"/>
      <c r="AY473" s="120"/>
      <c r="AZ473" s="120"/>
      <c r="BA473" s="120"/>
      <c r="BB473" s="120"/>
      <c r="BC473" s="120"/>
      <c r="BD473" s="120"/>
      <c r="BE473" s="120"/>
      <c r="BF473" s="120"/>
      <c r="BG473" s="120"/>
      <c r="BH473" s="120"/>
      <c r="BI473" s="120"/>
      <c r="BJ473" s="120"/>
      <c r="BK473" s="120"/>
      <c r="BL473" s="120"/>
      <c r="BM473" s="120"/>
      <c r="BN473" s="120"/>
      <c r="BO473" s="72"/>
      <c r="BP473" s="72"/>
      <c r="BQ473" s="72"/>
      <c r="BR473" s="72"/>
      <c r="BS473" s="120"/>
      <c r="BT473" s="105"/>
      <c r="BU473" s="105"/>
      <c r="BV473" s="105"/>
      <c r="BW473" s="105"/>
      <c r="BX473" s="120"/>
      <c r="BY473" s="120"/>
      <c r="BZ473" s="120"/>
      <c r="CA473" s="120"/>
      <c r="CB473" s="120"/>
      <c r="CC473" s="120"/>
      <c r="CD473" s="120"/>
      <c r="CE473" s="120"/>
      <c r="CF473" s="120"/>
      <c r="CG473" s="120"/>
      <c r="CH473" s="120"/>
      <c r="CI473" s="120"/>
      <c r="CJ473" s="120"/>
      <c r="CK473" s="120"/>
      <c r="CL473" s="120"/>
      <c r="CM473" s="120"/>
      <c r="CN473" s="120"/>
      <c r="CO473" s="120"/>
      <c r="CP473" s="120"/>
      <c r="CQ473" s="120"/>
      <c r="CR473" s="120"/>
      <c r="CS473" s="120"/>
      <c r="CT473" s="120"/>
      <c r="CU473" s="120"/>
      <c r="CV473" s="120"/>
      <c r="CW473" s="120"/>
      <c r="CX473" s="120"/>
      <c r="CY473" s="120"/>
      <c r="CZ473" s="120"/>
      <c r="DA473" s="120"/>
      <c r="DB473" s="120"/>
      <c r="DC473" s="120"/>
      <c r="DD473" s="120"/>
      <c r="DE473" s="120"/>
      <c r="DF473" s="120"/>
      <c r="DG473" s="120"/>
      <c r="DH473" s="120"/>
      <c r="DI473" s="120"/>
      <c r="DJ473" s="120"/>
      <c r="DK473" s="120"/>
      <c r="DL473" s="196"/>
      <c r="DM473" s="196"/>
      <c r="DN473" s="196"/>
      <c r="DO473" s="196"/>
      <c r="DP473" s="196"/>
    </row>
    <row r="474" spans="1:120" hidden="1" x14ac:dyDescent="0.2">
      <c r="A474" s="36"/>
      <c r="G474" s="75"/>
      <c r="H474" s="75"/>
      <c r="I474" s="75"/>
      <c r="J474" s="75"/>
      <c r="K474" s="75"/>
      <c r="L474" s="75"/>
      <c r="M474" s="75"/>
      <c r="N474" s="75"/>
      <c r="O474" s="90"/>
      <c r="P474" s="75"/>
      <c r="Q474" s="90"/>
      <c r="R474" s="90"/>
      <c r="S474" s="90"/>
      <c r="T474" s="90"/>
      <c r="U474" s="119"/>
      <c r="V474" s="119"/>
      <c r="W474" s="119"/>
      <c r="X474" s="119"/>
      <c r="Y474" s="119"/>
      <c r="Z474" s="119"/>
      <c r="AA474" s="119"/>
      <c r="AB474" s="119"/>
      <c r="AC474" s="119"/>
      <c r="AD474" s="119"/>
      <c r="AE474" s="120"/>
      <c r="AF474" s="119"/>
      <c r="AG474" s="119"/>
      <c r="AH474" s="119"/>
      <c r="AI474" s="119"/>
      <c r="AJ474" s="120"/>
      <c r="AK474" s="119"/>
      <c r="AL474" s="119"/>
      <c r="AM474" s="119"/>
      <c r="AN474" s="119"/>
      <c r="AO474" s="120"/>
      <c r="AP474" s="119"/>
      <c r="AQ474" s="119"/>
      <c r="AR474" s="119"/>
      <c r="AS474" s="119"/>
      <c r="AT474" s="120"/>
      <c r="AU474" s="120"/>
      <c r="AV474" s="120"/>
      <c r="AW474" s="120"/>
      <c r="AX474" s="120"/>
      <c r="AY474" s="120"/>
      <c r="AZ474" s="120"/>
      <c r="BA474" s="120"/>
      <c r="BB474" s="120"/>
      <c r="BC474" s="120"/>
      <c r="BD474" s="120"/>
      <c r="BE474" s="120"/>
      <c r="BF474" s="120"/>
      <c r="BG474" s="120"/>
      <c r="BH474" s="120"/>
      <c r="BI474" s="120"/>
      <c r="BJ474" s="120"/>
      <c r="BK474" s="120"/>
      <c r="BL474" s="120"/>
      <c r="BM474" s="120"/>
      <c r="BN474" s="120"/>
      <c r="BO474" s="72"/>
      <c r="BP474" s="72"/>
      <c r="BQ474" s="72"/>
      <c r="BR474" s="72"/>
      <c r="BS474" s="120"/>
      <c r="BT474" s="105"/>
      <c r="BU474" s="105"/>
      <c r="BV474" s="105"/>
      <c r="BW474" s="105"/>
      <c r="BX474" s="120"/>
      <c r="BY474" s="120"/>
      <c r="BZ474" s="120"/>
      <c r="CA474" s="120"/>
      <c r="CB474" s="120"/>
      <c r="CC474" s="120"/>
      <c r="CD474" s="120"/>
      <c r="CE474" s="120"/>
      <c r="CF474" s="120"/>
      <c r="CG474" s="120"/>
      <c r="CH474" s="120"/>
      <c r="CI474" s="120"/>
      <c r="CJ474" s="120"/>
      <c r="CK474" s="120"/>
      <c r="CL474" s="120"/>
      <c r="CM474" s="120"/>
      <c r="CN474" s="120"/>
      <c r="CO474" s="120"/>
      <c r="CP474" s="120"/>
      <c r="CQ474" s="120"/>
      <c r="CR474" s="120"/>
      <c r="CS474" s="120"/>
      <c r="CT474" s="120"/>
      <c r="CU474" s="120"/>
      <c r="CV474" s="120"/>
      <c r="CW474" s="120"/>
      <c r="CX474" s="120"/>
      <c r="CY474" s="120"/>
      <c r="CZ474" s="120"/>
      <c r="DA474" s="120"/>
      <c r="DB474" s="120"/>
      <c r="DC474" s="120"/>
      <c r="DD474" s="120"/>
      <c r="DE474" s="120"/>
      <c r="DF474" s="120"/>
      <c r="DG474" s="120"/>
      <c r="DH474" s="120"/>
      <c r="DI474" s="120"/>
      <c r="DJ474" s="120"/>
      <c r="DK474" s="120"/>
      <c r="DL474" s="196"/>
      <c r="DM474" s="196"/>
      <c r="DN474" s="196"/>
      <c r="DO474" s="196"/>
      <c r="DP474" s="196"/>
    </row>
    <row r="475" spans="1:120" hidden="1" x14ac:dyDescent="0.2">
      <c r="A475" s="97"/>
      <c r="F475" s="98"/>
      <c r="G475" s="83"/>
      <c r="H475" s="83"/>
      <c r="I475" s="83"/>
      <c r="J475" s="83"/>
      <c r="K475" s="83"/>
      <c r="L475" s="83"/>
      <c r="M475" s="83"/>
      <c r="N475" s="83"/>
      <c r="O475" s="99"/>
      <c r="P475" s="83"/>
      <c r="Q475" s="99"/>
      <c r="R475" s="99"/>
      <c r="S475" s="99"/>
      <c r="T475" s="99"/>
      <c r="U475" s="100"/>
      <c r="V475" s="100"/>
      <c r="W475" s="100"/>
      <c r="X475" s="100"/>
      <c r="Y475" s="100"/>
      <c r="Z475" s="100"/>
      <c r="AA475" s="100"/>
      <c r="AB475" s="100"/>
      <c r="AC475" s="100"/>
      <c r="AD475" s="100"/>
      <c r="AE475" s="101"/>
      <c r="AF475" s="100"/>
      <c r="AG475" s="100"/>
      <c r="AH475" s="100"/>
      <c r="AI475" s="100"/>
      <c r="AJ475" s="101"/>
      <c r="AK475" s="100"/>
      <c r="AL475" s="100"/>
      <c r="AM475" s="100"/>
      <c r="AN475" s="100"/>
      <c r="AO475" s="101"/>
      <c r="AP475" s="100"/>
      <c r="AQ475" s="100"/>
      <c r="AR475" s="100"/>
      <c r="AS475" s="100"/>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214"/>
      <c r="DM475" s="214"/>
      <c r="DN475" s="214"/>
      <c r="DO475" s="214"/>
      <c r="DP475" s="214"/>
    </row>
    <row r="476" spans="1:120" x14ac:dyDescent="0.2">
      <c r="A476" s="36" t="s">
        <v>305</v>
      </c>
      <c r="G476" s="75"/>
      <c r="H476" s="75"/>
      <c r="I476" s="75"/>
      <c r="J476" s="75"/>
      <c r="K476" s="75"/>
      <c r="L476" s="75"/>
      <c r="M476" s="75"/>
      <c r="N476" s="75"/>
      <c r="O476" s="90"/>
      <c r="P476" s="75"/>
      <c r="Q476" s="90"/>
      <c r="R476" s="90"/>
      <c r="S476" s="90"/>
      <c r="T476" s="90"/>
      <c r="U476" s="119"/>
      <c r="V476" s="119"/>
      <c r="W476" s="119"/>
      <c r="X476" s="119"/>
      <c r="Y476" s="119"/>
      <c r="Z476" s="119"/>
      <c r="AA476" s="119"/>
      <c r="AB476" s="119"/>
      <c r="AC476" s="119"/>
      <c r="AD476" s="119"/>
      <c r="AE476" s="120"/>
      <c r="AF476" s="119"/>
      <c r="AG476" s="119"/>
      <c r="AH476" s="119"/>
      <c r="AI476" s="119"/>
      <c r="AJ476" s="120"/>
      <c r="AK476" s="119"/>
      <c r="AL476" s="119"/>
      <c r="AM476" s="119"/>
      <c r="AN476" s="119"/>
      <c r="AO476" s="120"/>
      <c r="AP476" s="119"/>
      <c r="AQ476" s="119"/>
      <c r="AR476" s="119"/>
      <c r="AS476" s="119"/>
      <c r="AT476" s="120"/>
      <c r="AU476" s="120"/>
      <c r="AV476" s="120"/>
      <c r="AW476" s="120"/>
      <c r="AX476" s="120"/>
      <c r="AY476" s="120"/>
      <c r="AZ476" s="120"/>
      <c r="BA476" s="120"/>
      <c r="BB476" s="120"/>
      <c r="BC476" s="120"/>
      <c r="BD476" s="120"/>
      <c r="BE476" s="120"/>
      <c r="BF476" s="120"/>
      <c r="BG476" s="120"/>
      <c r="BH476" s="120"/>
      <c r="BI476" s="120"/>
      <c r="BJ476" s="120"/>
      <c r="BK476" s="120"/>
      <c r="BL476" s="120"/>
      <c r="BM476" s="120"/>
      <c r="BN476" s="120"/>
      <c r="BO476" s="120"/>
      <c r="BP476" s="120"/>
      <c r="BQ476" s="120"/>
      <c r="BR476" s="120"/>
      <c r="BS476" s="120"/>
      <c r="BT476" s="105"/>
      <c r="BU476" s="105"/>
      <c r="BV476" s="105"/>
      <c r="BW476" s="105"/>
      <c r="BX476" s="120"/>
      <c r="BY476" s="120"/>
      <c r="BZ476" s="120"/>
      <c r="CA476" s="120"/>
      <c r="CB476" s="120"/>
      <c r="CC476" s="120"/>
      <c r="CD476" s="120"/>
      <c r="CE476" s="120"/>
      <c r="CF476" s="120"/>
      <c r="CG476" s="120"/>
      <c r="CH476" s="120"/>
      <c r="CI476" s="120"/>
      <c r="CJ476" s="120"/>
      <c r="CK476" s="120"/>
      <c r="CL476" s="120"/>
      <c r="CM476" s="120"/>
      <c r="CN476" s="120"/>
      <c r="CO476" s="120"/>
      <c r="CP476" s="120"/>
      <c r="CQ476" s="120"/>
      <c r="CR476" s="120"/>
      <c r="CS476" s="120"/>
      <c r="CT476" s="120"/>
      <c r="CU476" s="120"/>
      <c r="CV476" s="120"/>
      <c r="CW476" s="120"/>
      <c r="CX476" s="120"/>
      <c r="CY476" s="120"/>
      <c r="CZ476" s="120"/>
      <c r="DA476" s="120"/>
      <c r="DB476" s="120"/>
      <c r="DC476" s="120"/>
      <c r="DD476" s="120"/>
      <c r="DE476" s="120"/>
      <c r="DF476" s="120"/>
      <c r="DG476" s="120"/>
      <c r="DH476" s="120">
        <v>20</v>
      </c>
      <c r="DI476" s="120">
        <v>25</v>
      </c>
      <c r="DJ476" s="120">
        <v>25</v>
      </c>
      <c r="DK476" s="120">
        <v>30</v>
      </c>
      <c r="DL476" s="196">
        <f>DK476+DJ476+DI476+DH476</f>
        <v>100</v>
      </c>
      <c r="DM476" s="196">
        <v>225</v>
      </c>
      <c r="DN476" s="196">
        <f>DM476*1.1</f>
        <v>247.50000000000003</v>
      </c>
      <c r="DO476" s="196">
        <f>DN476*1.1</f>
        <v>272.25000000000006</v>
      </c>
      <c r="DP476" s="196">
        <f t="shared" ref="DP476:DP477" si="387">DO476*1.1</f>
        <v>299.47500000000008</v>
      </c>
    </row>
    <row r="477" spans="1:120" x14ac:dyDescent="0.2">
      <c r="A477" s="36" t="s">
        <v>306</v>
      </c>
      <c r="G477" s="75"/>
      <c r="H477" s="75"/>
      <c r="I477" s="75"/>
      <c r="J477" s="75"/>
      <c r="K477" s="75"/>
      <c r="L477" s="75"/>
      <c r="M477" s="75"/>
      <c r="N477" s="75"/>
      <c r="O477" s="90"/>
      <c r="P477" s="75"/>
      <c r="Q477" s="90"/>
      <c r="R477" s="90"/>
      <c r="S477" s="90"/>
      <c r="T477" s="90"/>
      <c r="U477" s="119"/>
      <c r="V477" s="119"/>
      <c r="W477" s="119"/>
      <c r="X477" s="119"/>
      <c r="Y477" s="119"/>
      <c r="Z477" s="119"/>
      <c r="AA477" s="119"/>
      <c r="AB477" s="119"/>
      <c r="AC477" s="119"/>
      <c r="AD477" s="119"/>
      <c r="AE477" s="120"/>
      <c r="AF477" s="119"/>
      <c r="AG477" s="119"/>
      <c r="AH477" s="119"/>
      <c r="AI477" s="119"/>
      <c r="AJ477" s="120"/>
      <c r="AK477" s="119"/>
      <c r="AL477" s="119"/>
      <c r="AM477" s="119"/>
      <c r="AN477" s="119"/>
      <c r="AO477" s="120"/>
      <c r="AP477" s="119"/>
      <c r="AQ477" s="119"/>
      <c r="AR477" s="119"/>
      <c r="AS477" s="119"/>
      <c r="AT477" s="120"/>
      <c r="AU477" s="120"/>
      <c r="AV477" s="120"/>
      <c r="AW477" s="120"/>
      <c r="AX477" s="120"/>
      <c r="AY477" s="120"/>
      <c r="AZ477" s="120"/>
      <c r="BA477" s="120"/>
      <c r="BB477" s="120"/>
      <c r="BC477" s="120"/>
      <c r="BD477" s="120"/>
      <c r="BE477" s="120"/>
      <c r="BF477" s="120"/>
      <c r="BG477" s="120"/>
      <c r="BH477" s="120"/>
      <c r="BI477" s="120"/>
      <c r="BJ477" s="120"/>
      <c r="BK477" s="120"/>
      <c r="BL477" s="120"/>
      <c r="BM477" s="120"/>
      <c r="BN477" s="120"/>
      <c r="BO477" s="120"/>
      <c r="BP477" s="120"/>
      <c r="BQ477" s="120"/>
      <c r="BR477" s="120"/>
      <c r="BS477" s="120"/>
      <c r="BT477" s="105"/>
      <c r="BU477" s="105"/>
      <c r="BV477" s="105"/>
      <c r="BW477" s="105"/>
      <c r="BX477" s="120"/>
      <c r="BY477" s="120"/>
      <c r="BZ477" s="120"/>
      <c r="CA477" s="120"/>
      <c r="CB477" s="120"/>
      <c r="CC477" s="120"/>
      <c r="CD477" s="120"/>
      <c r="CE477" s="120"/>
      <c r="CF477" s="120"/>
      <c r="CG477" s="120"/>
      <c r="CH477" s="120"/>
      <c r="CI477" s="120"/>
      <c r="CJ477" s="120"/>
      <c r="CK477" s="120"/>
      <c r="CL477" s="120"/>
      <c r="CM477" s="120"/>
      <c r="CN477" s="120"/>
      <c r="CO477" s="120"/>
      <c r="CP477" s="120"/>
      <c r="CQ477" s="120"/>
      <c r="CR477" s="120"/>
      <c r="CS477" s="120"/>
      <c r="CT477" s="120"/>
      <c r="CU477" s="120"/>
      <c r="CV477" s="120"/>
      <c r="CW477" s="120"/>
      <c r="CX477" s="120"/>
      <c r="CY477" s="120"/>
      <c r="CZ477" s="120"/>
      <c r="DA477" s="120"/>
      <c r="DB477" s="120"/>
      <c r="DC477" s="120"/>
      <c r="DD477" s="120"/>
      <c r="DE477" s="120"/>
      <c r="DF477" s="120"/>
      <c r="DG477" s="120"/>
      <c r="DH477" s="120">
        <v>10</v>
      </c>
      <c r="DI477" s="120">
        <v>15</v>
      </c>
      <c r="DJ477" s="120">
        <v>15</v>
      </c>
      <c r="DK477" s="120">
        <v>20</v>
      </c>
      <c r="DL477" s="196">
        <f>DK477+DJ477+DI477+DH477</f>
        <v>60</v>
      </c>
      <c r="DM477" s="196">
        <v>200</v>
      </c>
      <c r="DN477" s="196">
        <f>DM477*1.1</f>
        <v>220.00000000000003</v>
      </c>
      <c r="DO477" s="196">
        <f>DN477*1.1</f>
        <v>242.00000000000006</v>
      </c>
      <c r="DP477" s="196">
        <f t="shared" si="387"/>
        <v>266.2000000000001</v>
      </c>
    </row>
    <row r="478" spans="1:120" x14ac:dyDescent="0.2">
      <c r="A478" s="97" t="s">
        <v>307</v>
      </c>
      <c r="F478" s="98"/>
      <c r="G478" s="83"/>
      <c r="H478" s="83"/>
      <c r="I478" s="83"/>
      <c r="J478" s="83"/>
      <c r="K478" s="83"/>
      <c r="L478" s="83"/>
      <c r="M478" s="83"/>
      <c r="N478" s="83"/>
      <c r="O478" s="99"/>
      <c r="P478" s="83"/>
      <c r="Q478" s="99"/>
      <c r="R478" s="99"/>
      <c r="S478" s="99"/>
      <c r="T478" s="99"/>
      <c r="U478" s="100"/>
      <c r="V478" s="100"/>
      <c r="W478" s="100"/>
      <c r="X478" s="100"/>
      <c r="Y478" s="100"/>
      <c r="Z478" s="100"/>
      <c r="AA478" s="100"/>
      <c r="AB478" s="100"/>
      <c r="AC478" s="100"/>
      <c r="AD478" s="100"/>
      <c r="AE478" s="101"/>
      <c r="AF478" s="100"/>
      <c r="AG478" s="100"/>
      <c r="AH478" s="100"/>
      <c r="AI478" s="100"/>
      <c r="AJ478" s="101"/>
      <c r="AK478" s="100"/>
      <c r="AL478" s="100"/>
      <c r="AM478" s="100"/>
      <c r="AN478" s="100"/>
      <c r="AO478" s="101"/>
      <c r="AP478" s="100"/>
      <c r="AQ478" s="100"/>
      <c r="AR478" s="100"/>
      <c r="AS478" s="100"/>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f>DH477+DH476</f>
        <v>30</v>
      </c>
      <c r="DI478" s="101">
        <f>DI477+DI476</f>
        <v>40</v>
      </c>
      <c r="DJ478" s="101">
        <f>DJ477+DJ476</f>
        <v>40</v>
      </c>
      <c r="DK478" s="101">
        <f>DK477+DK476</f>
        <v>50</v>
      </c>
      <c r="DL478" s="214">
        <f t="shared" ref="DL478:DP478" si="388">DL477+DL476</f>
        <v>160</v>
      </c>
      <c r="DM478" s="214">
        <f t="shared" si="388"/>
        <v>425</v>
      </c>
      <c r="DN478" s="214">
        <f t="shared" si="388"/>
        <v>467.50000000000006</v>
      </c>
      <c r="DO478" s="214">
        <f t="shared" si="388"/>
        <v>514.25000000000011</v>
      </c>
      <c r="DP478" s="214">
        <f t="shared" si="388"/>
        <v>565.67500000000018</v>
      </c>
    </row>
    <row r="479" spans="1:120" x14ac:dyDescent="0.2">
      <c r="A479" s="36" t="s">
        <v>308</v>
      </c>
      <c r="G479" s="75"/>
      <c r="H479" s="75"/>
      <c r="I479" s="75"/>
      <c r="J479" s="75"/>
      <c r="K479" s="75"/>
      <c r="L479" s="75"/>
      <c r="M479" s="75"/>
      <c r="N479" s="75"/>
      <c r="O479" s="90"/>
      <c r="P479" s="75"/>
      <c r="Q479" s="90"/>
      <c r="R479" s="90"/>
      <c r="S479" s="90"/>
      <c r="T479" s="90"/>
      <c r="U479" s="119"/>
      <c r="V479" s="119"/>
      <c r="W479" s="119"/>
      <c r="X479" s="119"/>
      <c r="Y479" s="119"/>
      <c r="Z479" s="119"/>
      <c r="AA479" s="119"/>
      <c r="AB479" s="119"/>
      <c r="AC479" s="119"/>
      <c r="AD479" s="119"/>
      <c r="AE479" s="120"/>
      <c r="AF479" s="119"/>
      <c r="AG479" s="119"/>
      <c r="AH479" s="119"/>
      <c r="AI479" s="119"/>
      <c r="AJ479" s="120"/>
      <c r="AK479" s="119"/>
      <c r="AL479" s="119"/>
      <c r="AM479" s="119"/>
      <c r="AN479" s="119"/>
      <c r="AO479" s="120"/>
      <c r="AP479" s="119"/>
      <c r="AQ479" s="119"/>
      <c r="AR479" s="119"/>
      <c r="AS479" s="119"/>
      <c r="AT479" s="120"/>
      <c r="AU479" s="120"/>
      <c r="AV479" s="120"/>
      <c r="AW479" s="120"/>
      <c r="AX479" s="120"/>
      <c r="AY479" s="120"/>
      <c r="AZ479" s="120"/>
      <c r="BA479" s="120"/>
      <c r="BB479" s="120"/>
      <c r="BC479" s="120"/>
      <c r="BD479" s="120"/>
      <c r="BE479" s="120"/>
      <c r="BF479" s="120"/>
      <c r="BG479" s="120"/>
      <c r="BH479" s="120"/>
      <c r="BI479" s="120"/>
      <c r="BJ479" s="120"/>
      <c r="BK479" s="120"/>
      <c r="BL479" s="120"/>
      <c r="BM479" s="120"/>
      <c r="BN479" s="120"/>
      <c r="BO479" s="120"/>
      <c r="BP479" s="120"/>
      <c r="BQ479" s="120"/>
      <c r="BR479" s="120"/>
      <c r="BS479" s="120"/>
      <c r="BT479" s="120"/>
      <c r="BU479" s="120"/>
      <c r="BV479" s="120"/>
      <c r="BW479" s="120"/>
      <c r="BX479" s="120"/>
      <c r="BY479" s="120"/>
      <c r="BZ479" s="120"/>
      <c r="CA479" s="120"/>
      <c r="CB479" s="120"/>
      <c r="CC479" s="120"/>
      <c r="CD479" s="120"/>
      <c r="CE479" s="120"/>
      <c r="CF479" s="120"/>
      <c r="CG479" s="120"/>
      <c r="CH479" s="120"/>
      <c r="CI479" s="120"/>
      <c r="CJ479" s="120"/>
      <c r="CK479" s="120"/>
      <c r="CL479" s="120"/>
      <c r="CM479" s="120"/>
      <c r="CN479" s="120"/>
      <c r="CO479" s="120"/>
      <c r="CP479" s="120"/>
      <c r="CQ479" s="120"/>
      <c r="CR479" s="120"/>
      <c r="CS479" s="120"/>
      <c r="CT479" s="120"/>
      <c r="CU479" s="120"/>
      <c r="CV479" s="120"/>
      <c r="CW479" s="120"/>
      <c r="CX479" s="120"/>
      <c r="CY479" s="120"/>
      <c r="CZ479" s="120"/>
      <c r="DA479" s="120"/>
      <c r="DB479" s="120"/>
      <c r="DC479" s="120"/>
      <c r="DD479" s="120"/>
      <c r="DE479" s="120"/>
      <c r="DF479" s="120"/>
      <c r="DG479" s="120"/>
      <c r="DH479" s="120"/>
      <c r="DI479" s="120"/>
      <c r="DJ479" s="120"/>
      <c r="DK479" s="120"/>
      <c r="DL479" s="196"/>
      <c r="DM479" s="196">
        <v>150</v>
      </c>
      <c r="DN479" s="196">
        <v>325</v>
      </c>
      <c r="DO479" s="196">
        <v>600</v>
      </c>
      <c r="DP479" s="196">
        <f>DO479*1.25</f>
        <v>750</v>
      </c>
    </row>
    <row r="480" spans="1:120" x14ac:dyDescent="0.2">
      <c r="A480" s="36" t="s">
        <v>309</v>
      </c>
      <c r="G480" s="75"/>
      <c r="H480" s="75"/>
      <c r="I480" s="75"/>
      <c r="J480" s="75"/>
      <c r="K480" s="75"/>
      <c r="L480" s="75"/>
      <c r="M480" s="75"/>
      <c r="N480" s="75"/>
      <c r="O480" s="90"/>
      <c r="P480" s="75"/>
      <c r="Q480" s="90"/>
      <c r="R480" s="90"/>
      <c r="S480" s="90"/>
      <c r="T480" s="90"/>
      <c r="U480" s="119"/>
      <c r="V480" s="119"/>
      <c r="W480" s="119"/>
      <c r="X480" s="119"/>
      <c r="Y480" s="119"/>
      <c r="Z480" s="119"/>
      <c r="AA480" s="119"/>
      <c r="AB480" s="119"/>
      <c r="AC480" s="119"/>
      <c r="AD480" s="119"/>
      <c r="AE480" s="120"/>
      <c r="AF480" s="119"/>
      <c r="AG480" s="119"/>
      <c r="AH480" s="119"/>
      <c r="AI480" s="119"/>
      <c r="AJ480" s="120"/>
      <c r="AK480" s="119"/>
      <c r="AL480" s="119"/>
      <c r="AM480" s="119"/>
      <c r="AN480" s="119"/>
      <c r="AO480" s="120"/>
      <c r="AP480" s="119"/>
      <c r="AQ480" s="119"/>
      <c r="AR480" s="119"/>
      <c r="AS480" s="119"/>
      <c r="AT480" s="120"/>
      <c r="AU480" s="120"/>
      <c r="AV480" s="120"/>
      <c r="AW480" s="120"/>
      <c r="AX480" s="120"/>
      <c r="AY480" s="120"/>
      <c r="AZ480" s="120"/>
      <c r="BA480" s="120"/>
      <c r="BB480" s="120"/>
      <c r="BC480" s="120"/>
      <c r="BD480" s="120"/>
      <c r="BE480" s="120"/>
      <c r="BF480" s="120"/>
      <c r="BG480" s="120"/>
      <c r="BH480" s="120"/>
      <c r="BI480" s="120"/>
      <c r="BJ480" s="120"/>
      <c r="BK480" s="120"/>
      <c r="BL480" s="120"/>
      <c r="BM480" s="120"/>
      <c r="BN480" s="120"/>
      <c r="BO480" s="120"/>
      <c r="BP480" s="120"/>
      <c r="BQ480" s="120"/>
      <c r="BR480" s="120"/>
      <c r="BS480" s="120"/>
      <c r="BT480" s="120"/>
      <c r="BU480" s="120"/>
      <c r="BV480" s="120"/>
      <c r="BW480" s="120"/>
      <c r="BX480" s="120"/>
      <c r="BY480" s="120"/>
      <c r="BZ480" s="120"/>
      <c r="CA480" s="120"/>
      <c r="CB480" s="120"/>
      <c r="CC480" s="120"/>
      <c r="CD480" s="120"/>
      <c r="CE480" s="120"/>
      <c r="CF480" s="120"/>
      <c r="CG480" s="120"/>
      <c r="CH480" s="120"/>
      <c r="CI480" s="120"/>
      <c r="CJ480" s="120"/>
      <c r="CK480" s="120"/>
      <c r="CL480" s="120"/>
      <c r="CM480" s="120"/>
      <c r="CN480" s="120"/>
      <c r="CO480" s="120"/>
      <c r="CP480" s="120"/>
      <c r="CQ480" s="120"/>
      <c r="CR480" s="120"/>
      <c r="CS480" s="120"/>
      <c r="CT480" s="120"/>
      <c r="CU480" s="120"/>
      <c r="CV480" s="120"/>
      <c r="CW480" s="120"/>
      <c r="CX480" s="120"/>
      <c r="CY480" s="120"/>
      <c r="CZ480" s="120"/>
      <c r="DA480" s="120"/>
      <c r="DB480" s="120"/>
      <c r="DC480" s="120"/>
      <c r="DD480" s="120"/>
      <c r="DE480" s="120"/>
      <c r="DF480" s="120"/>
      <c r="DG480" s="120"/>
      <c r="DH480" s="120"/>
      <c r="DI480" s="120"/>
      <c r="DJ480" s="120"/>
      <c r="DK480" s="120"/>
      <c r="DL480" s="196"/>
      <c r="DM480" s="196">
        <v>25</v>
      </c>
      <c r="DN480" s="196">
        <v>125</v>
      </c>
      <c r="DO480" s="196">
        <v>375</v>
      </c>
      <c r="DP480" s="196">
        <f>DO480*1.4</f>
        <v>525</v>
      </c>
    </row>
    <row r="481" spans="1:120" x14ac:dyDescent="0.2">
      <c r="A481" s="97" t="s">
        <v>310</v>
      </c>
      <c r="F481" s="98"/>
      <c r="G481" s="83"/>
      <c r="H481" s="83"/>
      <c r="I481" s="83"/>
      <c r="J481" s="83"/>
      <c r="K481" s="83"/>
      <c r="L481" s="83"/>
      <c r="M481" s="83"/>
      <c r="N481" s="83"/>
      <c r="O481" s="99"/>
      <c r="P481" s="83"/>
      <c r="Q481" s="99"/>
      <c r="R481" s="99"/>
      <c r="S481" s="99"/>
      <c r="T481" s="99"/>
      <c r="U481" s="100"/>
      <c r="V481" s="100"/>
      <c r="W481" s="100"/>
      <c r="X481" s="100"/>
      <c r="Y481" s="100"/>
      <c r="Z481" s="100"/>
      <c r="AA481" s="100"/>
      <c r="AB481" s="100"/>
      <c r="AC481" s="100"/>
      <c r="AD481" s="100"/>
      <c r="AE481" s="101"/>
      <c r="AF481" s="100"/>
      <c r="AG481" s="100"/>
      <c r="AH481" s="100"/>
      <c r="AI481" s="100"/>
      <c r="AJ481" s="101"/>
      <c r="AK481" s="100"/>
      <c r="AL481" s="100"/>
      <c r="AM481" s="100"/>
      <c r="AN481" s="100"/>
      <c r="AO481" s="101"/>
      <c r="AP481" s="100"/>
      <c r="AQ481" s="100"/>
      <c r="AR481" s="100"/>
      <c r="AS481" s="100"/>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214"/>
      <c r="DM481" s="214">
        <f t="shared" ref="DM481:DP481" si="389">DM480+DM479</f>
        <v>175</v>
      </c>
      <c r="DN481" s="214">
        <f t="shared" si="389"/>
        <v>450</v>
      </c>
      <c r="DO481" s="214">
        <f t="shared" si="389"/>
        <v>975</v>
      </c>
      <c r="DP481" s="214">
        <f t="shared" si="389"/>
        <v>1275</v>
      </c>
    </row>
    <row r="482" spans="1:120" hidden="1" x14ac:dyDescent="0.2">
      <c r="A482" s="36" t="s">
        <v>311</v>
      </c>
      <c r="G482" s="75"/>
      <c r="H482" s="75"/>
      <c r="I482" s="75"/>
      <c r="J482" s="75"/>
      <c r="K482" s="75"/>
      <c r="L482" s="75"/>
      <c r="M482" s="75"/>
      <c r="N482" s="75"/>
      <c r="O482" s="90"/>
      <c r="P482" s="75"/>
      <c r="Q482" s="90"/>
      <c r="R482" s="90"/>
      <c r="S482" s="90"/>
      <c r="T482" s="90"/>
      <c r="U482" s="119"/>
      <c r="V482" s="119"/>
      <c r="W482" s="119"/>
      <c r="X482" s="119"/>
      <c r="Y482" s="119"/>
      <c r="Z482" s="119"/>
      <c r="AA482" s="119"/>
      <c r="AB482" s="119"/>
      <c r="AC482" s="119"/>
      <c r="AD482" s="119"/>
      <c r="AE482" s="120"/>
      <c r="AF482" s="119"/>
      <c r="AG482" s="119"/>
      <c r="AH482" s="119"/>
      <c r="AI482" s="119"/>
      <c r="AJ482" s="120"/>
      <c r="AK482" s="119"/>
      <c r="AL482" s="119"/>
      <c r="AM482" s="119"/>
      <c r="AN482" s="119"/>
      <c r="AO482" s="120"/>
      <c r="AP482" s="119"/>
      <c r="AQ482" s="119"/>
      <c r="AR482" s="119"/>
      <c r="AS482" s="119"/>
      <c r="AT482" s="120"/>
      <c r="AU482" s="120"/>
      <c r="AV482" s="120"/>
      <c r="AW482" s="120"/>
      <c r="AX482" s="120"/>
      <c r="AY482" s="120"/>
      <c r="AZ482" s="120"/>
      <c r="BA482" s="120"/>
      <c r="BB482" s="120"/>
      <c r="BC482" s="120"/>
      <c r="BD482" s="120"/>
      <c r="BE482" s="120"/>
      <c r="BF482" s="120"/>
      <c r="BG482" s="120"/>
      <c r="BH482" s="120"/>
      <c r="BI482" s="120"/>
      <c r="BJ482" s="120"/>
      <c r="BK482" s="120"/>
      <c r="BL482" s="120"/>
      <c r="BM482" s="120"/>
      <c r="BN482" s="120"/>
      <c r="BO482" s="120"/>
      <c r="BP482" s="120"/>
      <c r="BQ482" s="120"/>
      <c r="BR482" s="120"/>
      <c r="BS482" s="120"/>
      <c r="BT482" s="105"/>
      <c r="BU482" s="105"/>
      <c r="BV482" s="105"/>
      <c r="BW482" s="105"/>
      <c r="BX482" s="120"/>
      <c r="BY482" s="120"/>
      <c r="BZ482" s="120"/>
      <c r="CA482" s="120"/>
      <c r="CB482" s="120"/>
      <c r="CC482" s="120"/>
      <c r="CD482" s="120"/>
      <c r="CE482" s="120"/>
      <c r="CF482" s="120"/>
      <c r="CG482" s="120"/>
      <c r="CH482" s="120"/>
      <c r="CI482" s="120"/>
      <c r="CJ482" s="120"/>
      <c r="CK482" s="120"/>
      <c r="CL482" s="120"/>
      <c r="CM482" s="120"/>
      <c r="CN482" s="120"/>
      <c r="CO482" s="120"/>
      <c r="CP482" s="120"/>
      <c r="CQ482" s="120"/>
      <c r="CR482" s="120"/>
      <c r="CS482" s="120"/>
      <c r="CT482" s="120"/>
      <c r="CU482" s="120"/>
      <c r="CV482" s="120"/>
      <c r="CW482" s="120"/>
      <c r="CX482" s="120"/>
      <c r="CY482" s="120"/>
      <c r="CZ482" s="120"/>
      <c r="DA482" s="120"/>
      <c r="DB482" s="120"/>
      <c r="DC482" s="120"/>
      <c r="DD482" s="120"/>
      <c r="DE482" s="120"/>
      <c r="DF482" s="120"/>
      <c r="DG482" s="120"/>
      <c r="DH482" s="120"/>
      <c r="DI482" s="120"/>
      <c r="DJ482" s="120"/>
      <c r="DK482" s="120"/>
      <c r="DL482" s="196"/>
      <c r="DM482" s="196"/>
      <c r="DN482" s="196"/>
      <c r="DO482" s="196"/>
      <c r="DP482" s="196"/>
    </row>
    <row r="483" spans="1:120" hidden="1" x14ac:dyDescent="0.2">
      <c r="A483" s="36" t="s">
        <v>312</v>
      </c>
      <c r="G483" s="75"/>
      <c r="H483" s="75"/>
      <c r="I483" s="75"/>
      <c r="J483" s="75"/>
      <c r="K483" s="75"/>
      <c r="L483" s="75"/>
      <c r="M483" s="75"/>
      <c r="N483" s="75"/>
      <c r="O483" s="90"/>
      <c r="P483" s="75"/>
      <c r="Q483" s="90"/>
      <c r="R483" s="90"/>
      <c r="S483" s="90"/>
      <c r="T483" s="90"/>
      <c r="U483" s="119"/>
      <c r="V483" s="119"/>
      <c r="W483" s="119"/>
      <c r="X483" s="119"/>
      <c r="Y483" s="119"/>
      <c r="Z483" s="119"/>
      <c r="AA483" s="119"/>
      <c r="AB483" s="119"/>
      <c r="AC483" s="119"/>
      <c r="AD483" s="119"/>
      <c r="AE483" s="120"/>
      <c r="AF483" s="119"/>
      <c r="AG483" s="119"/>
      <c r="AH483" s="119"/>
      <c r="AI483" s="119"/>
      <c r="AJ483" s="120"/>
      <c r="AK483" s="119"/>
      <c r="AL483" s="119"/>
      <c r="AM483" s="119"/>
      <c r="AN483" s="119"/>
      <c r="AO483" s="120"/>
      <c r="AP483" s="119"/>
      <c r="AQ483" s="119"/>
      <c r="AR483" s="119"/>
      <c r="AS483" s="119"/>
      <c r="AT483" s="120"/>
      <c r="AU483" s="120"/>
      <c r="AV483" s="120"/>
      <c r="AW483" s="120"/>
      <c r="AX483" s="120"/>
      <c r="AY483" s="120"/>
      <c r="AZ483" s="120"/>
      <c r="BA483" s="120"/>
      <c r="BB483" s="120"/>
      <c r="BC483" s="120"/>
      <c r="BD483" s="120"/>
      <c r="BE483" s="173"/>
      <c r="BF483" s="173"/>
      <c r="BG483" s="173"/>
      <c r="BH483" s="173"/>
      <c r="BI483" s="120"/>
      <c r="BJ483" s="120"/>
      <c r="BK483" s="120"/>
      <c r="BL483" s="120"/>
      <c r="BM483" s="120"/>
      <c r="BN483" s="120"/>
      <c r="BO483" s="120"/>
      <c r="BP483" s="120"/>
      <c r="BQ483" s="120"/>
      <c r="BR483" s="120"/>
      <c r="BS483" s="120"/>
      <c r="BT483" s="105"/>
      <c r="BU483" s="105"/>
      <c r="BV483" s="105"/>
      <c r="BW483" s="105"/>
      <c r="BX483" s="120"/>
      <c r="BY483" s="120"/>
      <c r="BZ483" s="120"/>
      <c r="CA483" s="120"/>
      <c r="CB483" s="120"/>
      <c r="CC483" s="120"/>
      <c r="CD483" s="120"/>
      <c r="CE483" s="120"/>
      <c r="CF483" s="120"/>
      <c r="CG483" s="120"/>
      <c r="CH483" s="120"/>
      <c r="CI483" s="120"/>
      <c r="CJ483" s="120"/>
      <c r="CK483" s="120"/>
      <c r="CL483" s="120"/>
      <c r="CM483" s="120"/>
      <c r="CN483" s="120"/>
      <c r="CO483" s="120"/>
      <c r="CP483" s="120"/>
      <c r="CQ483" s="120"/>
      <c r="CR483" s="120"/>
      <c r="CS483" s="120"/>
      <c r="CT483" s="120"/>
      <c r="CU483" s="120"/>
      <c r="CV483" s="120"/>
      <c r="CW483" s="120"/>
      <c r="CX483" s="120"/>
      <c r="CY483" s="120"/>
      <c r="CZ483" s="120"/>
      <c r="DA483" s="120"/>
      <c r="DB483" s="120"/>
      <c r="DC483" s="120"/>
      <c r="DD483" s="120"/>
      <c r="DE483" s="120"/>
      <c r="DF483" s="120"/>
      <c r="DG483" s="120"/>
      <c r="DH483" s="120"/>
      <c r="DI483" s="120"/>
      <c r="DJ483" s="120"/>
      <c r="DK483" s="120"/>
      <c r="DL483" s="196"/>
      <c r="DM483" s="196"/>
      <c r="DN483" s="196"/>
      <c r="DO483" s="196"/>
      <c r="DP483" s="196"/>
    </row>
    <row r="484" spans="1:120" hidden="1" x14ac:dyDescent="0.2">
      <c r="A484" s="97" t="s">
        <v>313</v>
      </c>
      <c r="F484" s="98"/>
      <c r="G484" s="83"/>
      <c r="H484" s="83"/>
      <c r="I484" s="83"/>
      <c r="J484" s="83"/>
      <c r="K484" s="83"/>
      <c r="L484" s="83"/>
      <c r="M484" s="83"/>
      <c r="N484" s="83"/>
      <c r="O484" s="99"/>
      <c r="P484" s="83"/>
      <c r="Q484" s="99"/>
      <c r="R484" s="99"/>
      <c r="S484" s="99"/>
      <c r="T484" s="99"/>
      <c r="U484" s="100"/>
      <c r="V484" s="100"/>
      <c r="W484" s="100"/>
      <c r="X484" s="100"/>
      <c r="Y484" s="100"/>
      <c r="Z484" s="100"/>
      <c r="AA484" s="100"/>
      <c r="AB484" s="100"/>
      <c r="AC484" s="100"/>
      <c r="AD484" s="100"/>
      <c r="AE484" s="101"/>
      <c r="AF484" s="100"/>
      <c r="AG484" s="100"/>
      <c r="AH484" s="100"/>
      <c r="AI484" s="100"/>
      <c r="AJ484" s="101"/>
      <c r="AK484" s="100"/>
      <c r="AL484" s="100"/>
      <c r="AM484" s="100"/>
      <c r="AN484" s="100"/>
      <c r="AO484" s="101"/>
      <c r="AP484" s="100"/>
      <c r="AQ484" s="100"/>
      <c r="AR484" s="100"/>
      <c r="AS484" s="100"/>
      <c r="AT484" s="101"/>
      <c r="AU484" s="101"/>
      <c r="AV484" s="101"/>
      <c r="AW484" s="101"/>
      <c r="AX484" s="101"/>
      <c r="AY484" s="101"/>
      <c r="AZ484" s="101"/>
      <c r="BA484" s="101"/>
      <c r="BB484" s="101"/>
      <c r="BC484" s="101"/>
      <c r="BD484" s="101"/>
      <c r="BE484" s="174"/>
      <c r="BF484" s="174"/>
      <c r="BG484" s="174"/>
      <c r="BH484" s="174"/>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214"/>
      <c r="DM484" s="214"/>
      <c r="DN484" s="214"/>
      <c r="DO484" s="214"/>
      <c r="DP484" s="214"/>
    </row>
    <row r="485" spans="1:120" hidden="1" x14ac:dyDescent="0.2">
      <c r="A485" s="36"/>
      <c r="G485" s="75"/>
      <c r="H485" s="75"/>
      <c r="I485" s="75"/>
      <c r="J485" s="75"/>
      <c r="K485" s="75"/>
      <c r="L485" s="75"/>
      <c r="M485" s="75"/>
      <c r="N485" s="75"/>
      <c r="O485" s="90"/>
      <c r="P485" s="75"/>
      <c r="Q485" s="90"/>
      <c r="R485" s="90"/>
      <c r="S485" s="90"/>
      <c r="T485" s="90"/>
      <c r="U485" s="119"/>
      <c r="V485" s="119"/>
      <c r="W485" s="119"/>
      <c r="X485" s="119"/>
      <c r="Y485" s="119"/>
      <c r="Z485" s="119"/>
      <c r="AA485" s="119"/>
      <c r="AB485" s="119"/>
      <c r="AC485" s="119"/>
      <c r="AD485" s="119"/>
      <c r="AE485" s="120"/>
      <c r="AF485" s="119"/>
      <c r="AG485" s="119"/>
      <c r="AH485" s="119"/>
      <c r="AI485" s="119"/>
      <c r="AJ485" s="120"/>
      <c r="AK485" s="119"/>
      <c r="AL485" s="119"/>
      <c r="AM485" s="119"/>
      <c r="AN485" s="119"/>
      <c r="AO485" s="120"/>
      <c r="AP485" s="119"/>
      <c r="AQ485" s="119"/>
      <c r="AR485" s="120"/>
      <c r="AS485" s="120"/>
      <c r="AT485" s="120"/>
      <c r="AU485" s="120"/>
      <c r="AV485" s="120"/>
      <c r="AW485" s="120"/>
      <c r="AX485" s="120"/>
      <c r="AY485" s="120"/>
      <c r="AZ485" s="120"/>
      <c r="BA485" s="120"/>
      <c r="BB485" s="120"/>
      <c r="BC485" s="120"/>
      <c r="BD485" s="120"/>
      <c r="BE485" s="173"/>
      <c r="BF485" s="173"/>
      <c r="BG485" s="173"/>
      <c r="BH485" s="173"/>
      <c r="BI485" s="120"/>
      <c r="BJ485" s="120"/>
      <c r="BK485" s="120"/>
      <c r="BL485" s="120"/>
      <c r="BM485" s="120"/>
      <c r="BN485" s="120"/>
      <c r="BO485" s="120"/>
      <c r="BP485" s="120"/>
      <c r="BQ485" s="120"/>
      <c r="BR485" s="120"/>
      <c r="BS485" s="120"/>
      <c r="BT485" s="120"/>
      <c r="BU485" s="120"/>
      <c r="BV485" s="120"/>
      <c r="BW485" s="120"/>
      <c r="BX485" s="120"/>
      <c r="BY485" s="120"/>
      <c r="BZ485" s="120"/>
      <c r="CA485" s="120"/>
      <c r="CB485" s="120"/>
      <c r="CC485" s="120"/>
      <c r="CD485" s="120"/>
      <c r="CE485" s="120"/>
      <c r="CF485" s="120"/>
      <c r="CG485" s="120"/>
      <c r="CH485" s="120"/>
      <c r="CI485" s="120"/>
      <c r="CJ485" s="120"/>
      <c r="CK485" s="120"/>
      <c r="CL485" s="120"/>
      <c r="CM485" s="120"/>
      <c r="CN485" s="120"/>
      <c r="CO485" s="120"/>
      <c r="CP485" s="120"/>
      <c r="CQ485" s="120"/>
      <c r="CR485" s="120"/>
      <c r="CS485" s="120"/>
      <c r="CT485" s="120"/>
      <c r="CU485" s="120"/>
      <c r="CV485" s="120"/>
      <c r="CW485" s="120"/>
      <c r="CX485" s="120"/>
      <c r="CY485" s="120"/>
      <c r="CZ485" s="120"/>
      <c r="DA485" s="120"/>
      <c r="DB485" s="120"/>
      <c r="DC485" s="120"/>
      <c r="DD485" s="120"/>
      <c r="DE485" s="120"/>
      <c r="DF485" s="120"/>
      <c r="DG485" s="120"/>
      <c r="DH485" s="120"/>
      <c r="DI485" s="120"/>
      <c r="DJ485" s="120"/>
      <c r="DK485" s="120"/>
      <c r="DL485" s="196"/>
      <c r="DM485" s="196"/>
      <c r="DN485" s="196"/>
      <c r="DO485" s="196"/>
      <c r="DP485" s="196"/>
    </row>
    <row r="486" spans="1:120" hidden="1" x14ac:dyDescent="0.2">
      <c r="A486" s="36"/>
      <c r="G486" s="75"/>
      <c r="H486" s="75"/>
      <c r="I486" s="75"/>
      <c r="J486" s="75"/>
      <c r="K486" s="75"/>
      <c r="L486" s="75"/>
      <c r="M486" s="75"/>
      <c r="N486" s="75"/>
      <c r="O486" s="90"/>
      <c r="P486" s="75"/>
      <c r="Q486" s="90"/>
      <c r="R486" s="90"/>
      <c r="S486" s="90"/>
      <c r="T486" s="90"/>
      <c r="U486" s="119"/>
      <c r="V486" s="119"/>
      <c r="W486" s="119"/>
      <c r="X486" s="119"/>
      <c r="Y486" s="119"/>
      <c r="Z486" s="119"/>
      <c r="AA486" s="119"/>
      <c r="AB486" s="119"/>
      <c r="AC486" s="119"/>
      <c r="AD486" s="119"/>
      <c r="AE486" s="120"/>
      <c r="AF486" s="119"/>
      <c r="AG486" s="119"/>
      <c r="AH486" s="119"/>
      <c r="AI486" s="119"/>
      <c r="AJ486" s="120"/>
      <c r="AK486" s="119"/>
      <c r="AL486" s="119"/>
      <c r="AM486" s="119"/>
      <c r="AN486" s="119"/>
      <c r="AO486" s="120"/>
      <c r="AP486" s="119"/>
      <c r="AQ486" s="119"/>
      <c r="AR486" s="120"/>
      <c r="AS486" s="120"/>
      <c r="AT486" s="120"/>
      <c r="AU486" s="120"/>
      <c r="AV486" s="120"/>
      <c r="AW486" s="120"/>
      <c r="AX486" s="120"/>
      <c r="AY486" s="120"/>
      <c r="AZ486" s="120"/>
      <c r="BA486" s="120"/>
      <c r="BB486" s="120"/>
      <c r="BC486" s="120"/>
      <c r="BD486" s="120"/>
      <c r="BE486" s="173"/>
      <c r="BF486" s="173"/>
      <c r="BG486" s="173"/>
      <c r="BH486" s="173"/>
      <c r="BI486" s="120"/>
      <c r="BJ486" s="120"/>
      <c r="BK486" s="120"/>
      <c r="BL486" s="120"/>
      <c r="BM486" s="120"/>
      <c r="BN486" s="120"/>
      <c r="BO486" s="120"/>
      <c r="BP486" s="120"/>
      <c r="BQ486" s="120"/>
      <c r="BR486" s="120"/>
      <c r="BS486" s="120"/>
      <c r="BT486" s="120"/>
      <c r="BU486" s="120"/>
      <c r="BV486" s="120"/>
      <c r="BW486" s="120"/>
      <c r="BX486" s="120"/>
      <c r="BY486" s="120"/>
      <c r="BZ486" s="120"/>
      <c r="CA486" s="120"/>
      <c r="CB486" s="120"/>
      <c r="CC486" s="120"/>
      <c r="CD486" s="120"/>
      <c r="CE486" s="120"/>
      <c r="CF486" s="120"/>
      <c r="CG486" s="120"/>
      <c r="CH486" s="120"/>
      <c r="CI486" s="120"/>
      <c r="CJ486" s="120"/>
      <c r="CK486" s="120"/>
      <c r="CL486" s="120"/>
      <c r="CM486" s="120"/>
      <c r="CN486" s="120"/>
      <c r="CO486" s="120"/>
      <c r="CP486" s="120"/>
      <c r="CQ486" s="120"/>
      <c r="CR486" s="120"/>
      <c r="CS486" s="120"/>
      <c r="CT486" s="120"/>
      <c r="CU486" s="120"/>
      <c r="CV486" s="120"/>
      <c r="CW486" s="120"/>
      <c r="CX486" s="120"/>
      <c r="CY486" s="120"/>
      <c r="CZ486" s="120"/>
      <c r="DA486" s="120"/>
      <c r="DB486" s="120"/>
      <c r="DC486" s="120"/>
      <c r="DD486" s="120"/>
      <c r="DE486" s="120"/>
      <c r="DF486" s="120"/>
      <c r="DG486" s="120"/>
      <c r="DH486" s="120"/>
      <c r="DI486" s="120"/>
      <c r="DJ486" s="120"/>
      <c r="DK486" s="120"/>
      <c r="DL486" s="196"/>
      <c r="DM486" s="196"/>
      <c r="DN486" s="196"/>
      <c r="DO486" s="196"/>
      <c r="DP486" s="196"/>
    </row>
    <row r="487" spans="1:120" hidden="1" x14ac:dyDescent="0.2">
      <c r="A487" s="97"/>
      <c r="F487" s="98"/>
      <c r="G487" s="83"/>
      <c r="H487" s="83"/>
      <c r="I487" s="83"/>
      <c r="J487" s="83"/>
      <c r="K487" s="83"/>
      <c r="L487" s="83"/>
      <c r="M487" s="83"/>
      <c r="N487" s="83"/>
      <c r="O487" s="99"/>
      <c r="P487" s="83"/>
      <c r="Q487" s="99"/>
      <c r="R487" s="99"/>
      <c r="S487" s="99"/>
      <c r="T487" s="99"/>
      <c r="U487" s="100"/>
      <c r="V487" s="100"/>
      <c r="W487" s="100"/>
      <c r="X487" s="100"/>
      <c r="Y487" s="100"/>
      <c r="Z487" s="100"/>
      <c r="AA487" s="100"/>
      <c r="AB487" s="100"/>
      <c r="AC487" s="100"/>
      <c r="AD487" s="100"/>
      <c r="AE487" s="101"/>
      <c r="AF487" s="100"/>
      <c r="AG487" s="100"/>
      <c r="AH487" s="100"/>
      <c r="AI487" s="100"/>
      <c r="AJ487" s="101"/>
      <c r="AK487" s="100"/>
      <c r="AL487" s="100"/>
      <c r="AM487" s="100"/>
      <c r="AN487" s="100"/>
      <c r="AO487" s="101"/>
      <c r="AP487" s="100"/>
      <c r="AQ487" s="100"/>
      <c r="AR487" s="175"/>
      <c r="AS487" s="175"/>
      <c r="AT487" s="101"/>
      <c r="AU487" s="101"/>
      <c r="AV487" s="101"/>
      <c r="AW487" s="101"/>
      <c r="AX487" s="101"/>
      <c r="AY487" s="101"/>
      <c r="AZ487" s="101"/>
      <c r="BA487" s="101"/>
      <c r="BB487" s="101"/>
      <c r="BC487" s="101"/>
      <c r="BD487" s="101"/>
      <c r="BE487" s="174"/>
      <c r="BF487" s="174"/>
      <c r="BG487" s="174"/>
      <c r="BH487" s="174"/>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214"/>
      <c r="DM487" s="214"/>
      <c r="DN487" s="214"/>
      <c r="DO487" s="214"/>
      <c r="DP487" s="214"/>
    </row>
    <row r="488" spans="1:120" x14ac:dyDescent="0.2">
      <c r="A488" s="36" t="s">
        <v>314</v>
      </c>
      <c r="G488" s="75"/>
      <c r="H488" s="75"/>
      <c r="I488" s="75"/>
      <c r="J488" s="75"/>
      <c r="K488" s="75"/>
      <c r="L488" s="75"/>
      <c r="M488" s="75"/>
      <c r="N488" s="75"/>
      <c r="O488" s="90"/>
      <c r="P488" s="75"/>
      <c r="Q488" s="90"/>
      <c r="R488" s="90"/>
      <c r="S488" s="90"/>
      <c r="T488" s="90"/>
      <c r="U488" s="119"/>
      <c r="V488" s="119"/>
      <c r="W488" s="119"/>
      <c r="X488" s="119"/>
      <c r="Y488" s="119"/>
      <c r="Z488" s="119"/>
      <c r="AA488" s="119"/>
      <c r="AB488" s="119"/>
      <c r="AC488" s="119"/>
      <c r="AD488" s="119"/>
      <c r="AE488" s="120"/>
      <c r="AF488" s="119"/>
      <c r="AG488" s="119"/>
      <c r="AH488" s="119"/>
      <c r="AI488" s="119"/>
      <c r="AJ488" s="120"/>
      <c r="AK488" s="119"/>
      <c r="AL488" s="119"/>
      <c r="AM488" s="119"/>
      <c r="AN488" s="119"/>
      <c r="AO488" s="120"/>
      <c r="AP488" s="119"/>
      <c r="AQ488" s="121"/>
      <c r="AR488" s="121"/>
      <c r="AS488" s="121"/>
      <c r="AT488" s="120"/>
      <c r="AU488" s="120"/>
      <c r="AV488" s="120"/>
      <c r="AW488" s="120"/>
      <c r="AX488" s="120"/>
      <c r="AY488" s="120"/>
      <c r="AZ488" s="120"/>
      <c r="BA488" s="120"/>
      <c r="BB488" s="120"/>
      <c r="BC488" s="120"/>
      <c r="BD488" s="120"/>
      <c r="BE488" s="173"/>
      <c r="BF488" s="173"/>
      <c r="BG488" s="173"/>
      <c r="BH488" s="173"/>
      <c r="BI488" s="120"/>
      <c r="BJ488" s="120"/>
      <c r="BK488" s="120"/>
      <c r="BL488" s="120"/>
      <c r="BM488" s="120"/>
      <c r="BN488" s="120"/>
      <c r="BO488" s="120"/>
      <c r="BP488" s="120"/>
      <c r="BQ488" s="120"/>
      <c r="BR488" s="120"/>
      <c r="BS488" s="120"/>
      <c r="BT488" s="120"/>
      <c r="BU488" s="120"/>
      <c r="BV488" s="120"/>
      <c r="BW488" s="120"/>
      <c r="BX488" s="120"/>
      <c r="BY488" s="120"/>
      <c r="BZ488" s="120"/>
      <c r="CA488" s="120"/>
      <c r="CB488" s="120"/>
      <c r="CC488" s="120"/>
      <c r="CD488" s="120"/>
      <c r="CE488" s="120"/>
      <c r="CF488" s="120"/>
      <c r="CG488" s="120"/>
      <c r="CH488" s="120"/>
      <c r="CI488" s="120"/>
      <c r="CJ488" s="120"/>
      <c r="CK488" s="120"/>
      <c r="CL488" s="120"/>
      <c r="CM488" s="120"/>
      <c r="CN488" s="120"/>
      <c r="CO488" s="120"/>
      <c r="CP488" s="120"/>
      <c r="CQ488" s="120"/>
      <c r="CR488" s="120"/>
      <c r="CS488" s="120"/>
      <c r="CT488" s="120"/>
      <c r="CU488" s="120"/>
      <c r="CV488" s="120"/>
      <c r="CW488" s="120"/>
      <c r="CX488" s="120"/>
      <c r="CY488" s="120"/>
      <c r="CZ488" s="120"/>
      <c r="DA488" s="120"/>
      <c r="DB488" s="120"/>
      <c r="DC488" s="120"/>
      <c r="DD488" s="120"/>
      <c r="DE488" s="120"/>
      <c r="DF488" s="120"/>
      <c r="DG488" s="120"/>
      <c r="DH488" s="120"/>
      <c r="DI488" s="120"/>
      <c r="DJ488" s="120"/>
      <c r="DK488" s="120"/>
      <c r="DL488" s="196"/>
      <c r="DM488" s="196">
        <v>150</v>
      </c>
      <c r="DN488" s="196">
        <f t="shared" ref="DN488:DP489" si="390">DM488*1.05</f>
        <v>157.5</v>
      </c>
      <c r="DO488" s="196">
        <f t="shared" si="390"/>
        <v>165.375</v>
      </c>
      <c r="DP488" s="196">
        <f t="shared" si="390"/>
        <v>173.64375000000001</v>
      </c>
    </row>
    <row r="489" spans="1:120" x14ac:dyDescent="0.2">
      <c r="A489" s="36" t="s">
        <v>315</v>
      </c>
      <c r="G489" s="75"/>
      <c r="H489" s="75"/>
      <c r="I489" s="75"/>
      <c r="J489" s="75"/>
      <c r="K489" s="75"/>
      <c r="L489" s="75"/>
      <c r="M489" s="75"/>
      <c r="N489" s="75"/>
      <c r="O489" s="90"/>
      <c r="P489" s="75"/>
      <c r="Q489" s="90"/>
      <c r="R489" s="90"/>
      <c r="S489" s="90"/>
      <c r="T489" s="90"/>
      <c r="U489" s="119"/>
      <c r="V489" s="119"/>
      <c r="W489" s="119"/>
      <c r="X489" s="119"/>
      <c r="Y489" s="119"/>
      <c r="Z489" s="119"/>
      <c r="AA489" s="119"/>
      <c r="AB489" s="119"/>
      <c r="AC489" s="119"/>
      <c r="AD489" s="119"/>
      <c r="AE489" s="120"/>
      <c r="AF489" s="119"/>
      <c r="AG489" s="119"/>
      <c r="AH489" s="119"/>
      <c r="AI489" s="119"/>
      <c r="AJ489" s="120"/>
      <c r="AK489" s="119"/>
      <c r="AL489" s="119"/>
      <c r="AM489" s="119"/>
      <c r="AN489" s="119"/>
      <c r="AO489" s="120"/>
      <c r="AP489" s="119"/>
      <c r="AQ489" s="121"/>
      <c r="AR489" s="121"/>
      <c r="AS489" s="121"/>
      <c r="AT489" s="120"/>
      <c r="AU489" s="120"/>
      <c r="AV489" s="120"/>
      <c r="AW489" s="120"/>
      <c r="AX489" s="120"/>
      <c r="AY489" s="120"/>
      <c r="AZ489" s="120"/>
      <c r="BA489" s="120"/>
      <c r="BB489" s="120"/>
      <c r="BC489" s="120"/>
      <c r="BD489" s="120"/>
      <c r="BE489" s="173"/>
      <c r="BF489" s="173"/>
      <c r="BG489" s="173"/>
      <c r="BH489" s="173"/>
      <c r="BI489" s="120"/>
      <c r="BJ489" s="120"/>
      <c r="BK489" s="120"/>
      <c r="BL489" s="120"/>
      <c r="BM489" s="120"/>
      <c r="BN489" s="120"/>
      <c r="BO489" s="120"/>
      <c r="BP489" s="120"/>
      <c r="BQ489" s="120"/>
      <c r="BR489" s="120"/>
      <c r="BS489" s="120"/>
      <c r="BT489" s="120"/>
      <c r="BU489" s="120"/>
      <c r="BV489" s="120"/>
      <c r="BW489" s="120"/>
      <c r="BX489" s="120"/>
      <c r="BY489" s="120"/>
      <c r="BZ489" s="120"/>
      <c r="CA489" s="120"/>
      <c r="CB489" s="120"/>
      <c r="CC489" s="120"/>
      <c r="CD489" s="120"/>
      <c r="CE489" s="120"/>
      <c r="CF489" s="120"/>
      <c r="CG489" s="120"/>
      <c r="CH489" s="120"/>
      <c r="CI489" s="120"/>
      <c r="CJ489" s="120"/>
      <c r="CK489" s="120"/>
      <c r="CL489" s="120"/>
      <c r="CM489" s="120"/>
      <c r="CN489" s="120"/>
      <c r="CO489" s="120"/>
      <c r="CP489" s="120"/>
      <c r="CQ489" s="120"/>
      <c r="CR489" s="120"/>
      <c r="CS489" s="120"/>
      <c r="CT489" s="120"/>
      <c r="CU489" s="120"/>
      <c r="CV489" s="120"/>
      <c r="CW489" s="120"/>
      <c r="CX489" s="120"/>
      <c r="CY489" s="120"/>
      <c r="CZ489" s="120"/>
      <c r="DA489" s="120"/>
      <c r="DB489" s="120"/>
      <c r="DC489" s="120"/>
      <c r="DD489" s="120"/>
      <c r="DE489" s="120"/>
      <c r="DF489" s="120"/>
      <c r="DG489" s="120"/>
      <c r="DH489" s="120"/>
      <c r="DI489" s="120"/>
      <c r="DJ489" s="120"/>
      <c r="DK489" s="120"/>
      <c r="DL489" s="196"/>
      <c r="DM489" s="196">
        <v>100</v>
      </c>
      <c r="DN489" s="196">
        <f t="shared" si="390"/>
        <v>105</v>
      </c>
      <c r="DO489" s="196">
        <f t="shared" si="390"/>
        <v>110.25</v>
      </c>
      <c r="DP489" s="196">
        <f t="shared" si="390"/>
        <v>115.7625</v>
      </c>
    </row>
    <row r="490" spans="1:120" x14ac:dyDescent="0.2">
      <c r="A490" s="97" t="s">
        <v>316</v>
      </c>
      <c r="B490" s="98"/>
      <c r="C490" s="98"/>
      <c r="D490" s="98"/>
      <c r="E490" s="98"/>
      <c r="F490" s="98"/>
      <c r="G490" s="83"/>
      <c r="H490" s="83"/>
      <c r="I490" s="83"/>
      <c r="J490" s="83"/>
      <c r="K490" s="83"/>
      <c r="L490" s="83"/>
      <c r="M490" s="83"/>
      <c r="N490" s="83"/>
      <c r="O490" s="99"/>
      <c r="P490" s="83"/>
      <c r="Q490" s="99"/>
      <c r="R490" s="99"/>
      <c r="S490" s="99"/>
      <c r="T490" s="99"/>
      <c r="U490" s="100"/>
      <c r="V490" s="100"/>
      <c r="W490" s="100"/>
      <c r="X490" s="100"/>
      <c r="Y490" s="100"/>
      <c r="Z490" s="100"/>
      <c r="AA490" s="100"/>
      <c r="AB490" s="100"/>
      <c r="AC490" s="100"/>
      <c r="AD490" s="100"/>
      <c r="AE490" s="101"/>
      <c r="AF490" s="100"/>
      <c r="AG490" s="100"/>
      <c r="AH490" s="100"/>
      <c r="AI490" s="100"/>
      <c r="AJ490" s="101"/>
      <c r="AK490" s="100"/>
      <c r="AL490" s="100"/>
      <c r="AM490" s="100"/>
      <c r="AN490" s="100"/>
      <c r="AO490" s="101"/>
      <c r="AP490" s="100"/>
      <c r="AQ490" s="175"/>
      <c r="AR490" s="175"/>
      <c r="AS490" s="175"/>
      <c r="AT490" s="101"/>
      <c r="AU490" s="101"/>
      <c r="AV490" s="101"/>
      <c r="AW490" s="101"/>
      <c r="AX490" s="101"/>
      <c r="AY490" s="101"/>
      <c r="AZ490" s="101"/>
      <c r="BA490" s="101"/>
      <c r="BB490" s="101"/>
      <c r="BC490" s="101"/>
      <c r="BD490" s="101"/>
      <c r="BE490" s="174"/>
      <c r="BF490" s="174"/>
      <c r="BG490" s="174"/>
      <c r="BH490" s="174"/>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214"/>
      <c r="DM490" s="214">
        <f t="shared" ref="DM490:DP490" si="391">DM489+DM488</f>
        <v>250</v>
      </c>
      <c r="DN490" s="214">
        <f t="shared" si="391"/>
        <v>262.5</v>
      </c>
      <c r="DO490" s="214">
        <f t="shared" si="391"/>
        <v>275.625</v>
      </c>
      <c r="DP490" s="214">
        <f t="shared" si="391"/>
        <v>289.40625</v>
      </c>
    </row>
    <row r="491" spans="1:120" x14ac:dyDescent="0.2">
      <c r="A491" s="36" t="s">
        <v>317</v>
      </c>
      <c r="G491" s="75"/>
      <c r="H491" s="75"/>
      <c r="I491" s="75"/>
      <c r="J491" s="75"/>
      <c r="K491" s="75"/>
      <c r="L491" s="75"/>
      <c r="M491" s="75"/>
      <c r="N491" s="75"/>
      <c r="O491" s="90"/>
      <c r="P491" s="75"/>
      <c r="Q491" s="90"/>
      <c r="R491" s="90"/>
      <c r="S491" s="90"/>
      <c r="T491" s="90"/>
      <c r="U491" s="119"/>
      <c r="V491" s="119"/>
      <c r="W491" s="119"/>
      <c r="X491" s="119"/>
      <c r="Y491" s="119"/>
      <c r="Z491" s="119"/>
      <c r="AA491" s="119"/>
      <c r="AB491" s="119"/>
      <c r="AC491" s="119"/>
      <c r="AD491" s="119"/>
      <c r="AE491" s="120"/>
      <c r="AF491" s="119"/>
      <c r="AG491" s="119"/>
      <c r="AH491" s="119"/>
      <c r="AI491" s="119"/>
      <c r="AJ491" s="120"/>
      <c r="AK491" s="119"/>
      <c r="AL491" s="119"/>
      <c r="AM491" s="119"/>
      <c r="AN491" s="119"/>
      <c r="AO491" s="120"/>
      <c r="AP491" s="119"/>
      <c r="AQ491" s="121"/>
      <c r="AR491" s="121"/>
      <c r="AS491" s="121"/>
      <c r="AT491" s="120"/>
      <c r="AU491" s="120"/>
      <c r="AV491" s="120"/>
      <c r="AW491" s="120"/>
      <c r="AX491" s="120"/>
      <c r="AY491" s="120"/>
      <c r="AZ491" s="120"/>
      <c r="BA491" s="120"/>
      <c r="BB491" s="120"/>
      <c r="BC491" s="120"/>
      <c r="BD491" s="120"/>
      <c r="BE491" s="173"/>
      <c r="BF491" s="173"/>
      <c r="BG491" s="173"/>
      <c r="BH491" s="173"/>
      <c r="BI491" s="120"/>
      <c r="BJ491" s="120"/>
      <c r="BK491" s="120"/>
      <c r="BL491" s="120"/>
      <c r="BM491" s="120"/>
      <c r="BN491" s="120"/>
      <c r="BO491" s="120"/>
      <c r="BP491" s="120"/>
      <c r="BQ491" s="120"/>
      <c r="BR491" s="120"/>
      <c r="BS491" s="120"/>
      <c r="BT491" s="120"/>
      <c r="BU491" s="120"/>
      <c r="BV491" s="120"/>
      <c r="BW491" s="120"/>
      <c r="BX491" s="120"/>
      <c r="BY491" s="120"/>
      <c r="BZ491" s="120"/>
      <c r="CA491" s="120"/>
      <c r="CB491" s="120"/>
      <c r="CC491" s="120"/>
      <c r="CD491" s="120"/>
      <c r="CE491" s="120"/>
      <c r="CF491" s="120"/>
      <c r="CG491" s="120"/>
      <c r="CH491" s="120"/>
      <c r="CI491" s="120"/>
      <c r="CJ491" s="120"/>
      <c r="CK491" s="120"/>
      <c r="CL491" s="120"/>
      <c r="CM491" s="120"/>
      <c r="CN491" s="120"/>
      <c r="CO491" s="120"/>
      <c r="CP491" s="120"/>
      <c r="CQ491" s="120"/>
      <c r="CR491" s="120"/>
      <c r="CS491" s="120"/>
      <c r="CT491" s="120"/>
      <c r="CU491" s="120"/>
      <c r="CV491" s="120"/>
      <c r="CW491" s="120"/>
      <c r="CX491" s="120"/>
      <c r="CY491" s="120"/>
      <c r="CZ491" s="120"/>
      <c r="DA491" s="120"/>
      <c r="DB491" s="120"/>
      <c r="DC491" s="120"/>
      <c r="DD491" s="120"/>
      <c r="DE491" s="120"/>
      <c r="DF491" s="120"/>
      <c r="DG491" s="120"/>
      <c r="DH491" s="120"/>
      <c r="DI491" s="120"/>
      <c r="DJ491" s="120"/>
      <c r="DK491" s="120"/>
      <c r="DL491" s="196"/>
      <c r="DM491" s="196">
        <v>75</v>
      </c>
      <c r="DN491" s="196">
        <v>300</v>
      </c>
      <c r="DO491" s="196">
        <v>400</v>
      </c>
      <c r="DP491" s="196">
        <v>600</v>
      </c>
    </row>
    <row r="492" spans="1:120" x14ac:dyDescent="0.2">
      <c r="A492" s="36" t="s">
        <v>318</v>
      </c>
      <c r="G492" s="75"/>
      <c r="H492" s="75"/>
      <c r="I492" s="75"/>
      <c r="J492" s="75"/>
      <c r="K492" s="75"/>
      <c r="L492" s="75"/>
      <c r="M492" s="75"/>
      <c r="N492" s="75"/>
      <c r="O492" s="90"/>
      <c r="P492" s="75"/>
      <c r="Q492" s="90"/>
      <c r="R492" s="90"/>
      <c r="S492" s="90"/>
      <c r="T492" s="90"/>
      <c r="U492" s="119"/>
      <c r="V492" s="119"/>
      <c r="W492" s="119"/>
      <c r="X492" s="119"/>
      <c r="Y492" s="119"/>
      <c r="Z492" s="119"/>
      <c r="AA492" s="119"/>
      <c r="AB492" s="119"/>
      <c r="AC492" s="119"/>
      <c r="AD492" s="119"/>
      <c r="AE492" s="120"/>
      <c r="AF492" s="119"/>
      <c r="AG492" s="119"/>
      <c r="AH492" s="119"/>
      <c r="AI492" s="119"/>
      <c r="AJ492" s="120"/>
      <c r="AK492" s="119"/>
      <c r="AL492" s="119"/>
      <c r="AM492" s="119"/>
      <c r="AN492" s="119"/>
      <c r="AO492" s="120"/>
      <c r="AP492" s="119"/>
      <c r="AQ492" s="121"/>
      <c r="AR492" s="121"/>
      <c r="AS492" s="121"/>
      <c r="AT492" s="120"/>
      <c r="AU492" s="120"/>
      <c r="AV492" s="120"/>
      <c r="AW492" s="120"/>
      <c r="AX492" s="120"/>
      <c r="AY492" s="120"/>
      <c r="AZ492" s="120"/>
      <c r="BA492" s="120"/>
      <c r="BB492" s="120"/>
      <c r="BC492" s="120"/>
      <c r="BD492" s="120"/>
      <c r="BE492" s="173"/>
      <c r="BF492" s="173"/>
      <c r="BG492" s="173"/>
      <c r="BH492" s="173"/>
      <c r="BI492" s="120"/>
      <c r="BJ492" s="120"/>
      <c r="BK492" s="120"/>
      <c r="BL492" s="120"/>
      <c r="BM492" s="120"/>
      <c r="BN492" s="120"/>
      <c r="BO492" s="120"/>
      <c r="BP492" s="120"/>
      <c r="BQ492" s="120"/>
      <c r="BR492" s="120"/>
      <c r="BS492" s="120"/>
      <c r="BT492" s="120"/>
      <c r="BU492" s="120"/>
      <c r="BV492" s="120"/>
      <c r="BW492" s="120"/>
      <c r="BX492" s="120"/>
      <c r="BY492" s="120"/>
      <c r="BZ492" s="120"/>
      <c r="CA492" s="120"/>
      <c r="CB492" s="120"/>
      <c r="CC492" s="120"/>
      <c r="CD492" s="120"/>
      <c r="CE492" s="120"/>
      <c r="CF492" s="120"/>
      <c r="CG492" s="120"/>
      <c r="CH492" s="120"/>
      <c r="CI492" s="120"/>
      <c r="CJ492" s="120"/>
      <c r="CK492" s="120"/>
      <c r="CL492" s="120"/>
      <c r="CM492" s="120"/>
      <c r="CN492" s="120"/>
      <c r="CO492" s="120"/>
      <c r="CP492" s="120"/>
      <c r="CQ492" s="120"/>
      <c r="CR492" s="120"/>
      <c r="CS492" s="120"/>
      <c r="CT492" s="120"/>
      <c r="CU492" s="120"/>
      <c r="CV492" s="120"/>
      <c r="CW492" s="120"/>
      <c r="CX492" s="120"/>
      <c r="CY492" s="120"/>
      <c r="CZ492" s="120"/>
      <c r="DA492" s="120"/>
      <c r="DB492" s="120"/>
      <c r="DC492" s="120"/>
      <c r="DD492" s="120"/>
      <c r="DE492" s="120"/>
      <c r="DF492" s="120"/>
      <c r="DG492" s="120"/>
      <c r="DH492" s="120"/>
      <c r="DI492" s="120"/>
      <c r="DJ492" s="120"/>
      <c r="DK492" s="120"/>
      <c r="DL492" s="196"/>
      <c r="DM492" s="196">
        <v>50</v>
      </c>
      <c r="DN492" s="196">
        <v>200</v>
      </c>
      <c r="DO492" s="196">
        <v>300</v>
      </c>
      <c r="DP492" s="196">
        <v>400</v>
      </c>
    </row>
    <row r="493" spans="1:120" x14ac:dyDescent="0.2">
      <c r="A493" s="97" t="s">
        <v>319</v>
      </c>
      <c r="B493" s="98"/>
      <c r="C493" s="98"/>
      <c r="D493" s="98"/>
      <c r="E493" s="98"/>
      <c r="F493" s="98"/>
      <c r="G493" s="83"/>
      <c r="H493" s="83"/>
      <c r="I493" s="83"/>
      <c r="J493" s="83"/>
      <c r="K493" s="83"/>
      <c r="L493" s="83"/>
      <c r="M493" s="83"/>
      <c r="N493" s="83"/>
      <c r="O493" s="99"/>
      <c r="P493" s="83"/>
      <c r="Q493" s="99"/>
      <c r="R493" s="99"/>
      <c r="S493" s="99"/>
      <c r="T493" s="99"/>
      <c r="U493" s="100"/>
      <c r="V493" s="100"/>
      <c r="W493" s="100"/>
      <c r="X493" s="100"/>
      <c r="Y493" s="100"/>
      <c r="Z493" s="100"/>
      <c r="AA493" s="100"/>
      <c r="AB493" s="100"/>
      <c r="AC493" s="100"/>
      <c r="AD493" s="100"/>
      <c r="AE493" s="101"/>
      <c r="AF493" s="100"/>
      <c r="AG493" s="100"/>
      <c r="AH493" s="100"/>
      <c r="AI493" s="100"/>
      <c r="AJ493" s="101"/>
      <c r="AK493" s="100"/>
      <c r="AL493" s="100"/>
      <c r="AM493" s="100"/>
      <c r="AN493" s="100"/>
      <c r="AO493" s="101"/>
      <c r="AP493" s="100"/>
      <c r="AQ493" s="175"/>
      <c r="AR493" s="175"/>
      <c r="AS493" s="175"/>
      <c r="AT493" s="101"/>
      <c r="AU493" s="101"/>
      <c r="AV493" s="101"/>
      <c r="AW493" s="101"/>
      <c r="AX493" s="101"/>
      <c r="AY493" s="101"/>
      <c r="AZ493" s="101"/>
      <c r="BA493" s="101"/>
      <c r="BB493" s="101"/>
      <c r="BC493" s="101"/>
      <c r="BD493" s="101"/>
      <c r="BE493" s="174"/>
      <c r="BF493" s="174"/>
      <c r="BG493" s="174"/>
      <c r="BH493" s="174"/>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214"/>
      <c r="DM493" s="214">
        <f>DM492+DM491</f>
        <v>125</v>
      </c>
      <c r="DN493" s="214">
        <f t="shared" ref="DN493:DP493" si="392">DN492+DN491</f>
        <v>500</v>
      </c>
      <c r="DO493" s="214">
        <f t="shared" si="392"/>
        <v>700</v>
      </c>
      <c r="DP493" s="214">
        <f t="shared" si="392"/>
        <v>1000</v>
      </c>
    </row>
    <row r="494" spans="1:120" x14ac:dyDescent="0.2">
      <c r="A494" s="176" t="s">
        <v>320</v>
      </c>
      <c r="B494" s="20"/>
      <c r="C494" s="20"/>
      <c r="D494" s="20"/>
      <c r="E494" s="20"/>
      <c r="F494" s="20"/>
      <c r="G494" s="177"/>
      <c r="H494" s="177"/>
      <c r="I494" s="177"/>
      <c r="J494" s="177"/>
      <c r="K494" s="177"/>
      <c r="L494" s="177"/>
      <c r="M494" s="177"/>
      <c r="N494" s="177"/>
      <c r="O494" s="178"/>
      <c r="P494" s="177"/>
      <c r="Q494" s="178"/>
      <c r="R494" s="178"/>
      <c r="S494" s="178"/>
      <c r="T494" s="178"/>
      <c r="U494" s="179"/>
      <c r="V494" s="179"/>
      <c r="W494" s="179"/>
      <c r="X494" s="179"/>
      <c r="Y494" s="179"/>
      <c r="Z494" s="179"/>
      <c r="AA494" s="179"/>
      <c r="AB494" s="179"/>
      <c r="AC494" s="179"/>
      <c r="AD494" s="179"/>
      <c r="AE494" s="180"/>
      <c r="AF494" s="179"/>
      <c r="AG494" s="179"/>
      <c r="AH494" s="179"/>
      <c r="AI494" s="179"/>
      <c r="AJ494" s="180"/>
      <c r="AK494" s="179"/>
      <c r="AL494" s="179"/>
      <c r="AM494" s="179"/>
      <c r="AN494" s="179"/>
      <c r="AO494" s="180"/>
      <c r="AP494" s="179"/>
      <c r="AQ494" s="181"/>
      <c r="AR494" s="181"/>
      <c r="AS494" s="181"/>
      <c r="AT494" s="180"/>
      <c r="AU494" s="180"/>
      <c r="AV494" s="180"/>
      <c r="AW494" s="180"/>
      <c r="AX494" s="180"/>
      <c r="AY494" s="180"/>
      <c r="AZ494" s="180"/>
      <c r="BA494" s="180"/>
      <c r="BB494" s="180"/>
      <c r="BC494" s="180"/>
      <c r="BD494" s="180"/>
      <c r="BE494" s="182"/>
      <c r="BF494" s="182"/>
      <c r="BG494" s="182"/>
      <c r="BH494" s="182"/>
      <c r="BI494" s="180"/>
      <c r="BJ494" s="180"/>
      <c r="BK494" s="180"/>
      <c r="BL494" s="180"/>
      <c r="BM494" s="180"/>
      <c r="BN494" s="180"/>
      <c r="BO494" s="180"/>
      <c r="BP494" s="180"/>
      <c r="BQ494" s="180"/>
      <c r="BR494" s="180"/>
      <c r="BS494" s="180"/>
      <c r="BT494" s="180"/>
      <c r="BU494" s="180"/>
      <c r="BV494" s="180"/>
      <c r="BW494" s="180"/>
      <c r="BX494" s="180"/>
      <c r="BY494" s="180"/>
      <c r="BZ494" s="180"/>
      <c r="CA494" s="180"/>
      <c r="CB494" s="180"/>
      <c r="CC494" s="180"/>
      <c r="CD494" s="180"/>
      <c r="CE494" s="180"/>
      <c r="CF494" s="180"/>
      <c r="CG494" s="180"/>
      <c r="CH494" s="180"/>
      <c r="CI494" s="180"/>
      <c r="CJ494" s="180"/>
      <c r="CK494" s="180"/>
      <c r="CL494" s="180"/>
      <c r="CM494" s="180"/>
      <c r="CN494" s="180"/>
      <c r="CO494" s="180"/>
      <c r="CP494" s="180"/>
      <c r="CQ494" s="180"/>
      <c r="CR494" s="180"/>
      <c r="CS494" s="180"/>
      <c r="CT494" s="180"/>
      <c r="CU494" s="180"/>
      <c r="CV494" s="180"/>
      <c r="CW494" s="180"/>
      <c r="CX494" s="180"/>
      <c r="CY494" s="180"/>
      <c r="CZ494" s="180"/>
      <c r="DA494" s="180"/>
      <c r="DB494" s="180"/>
      <c r="DC494" s="180"/>
      <c r="DD494" s="180"/>
      <c r="DE494" s="180"/>
      <c r="DF494" s="180"/>
      <c r="DG494" s="180"/>
      <c r="DH494" s="180"/>
      <c r="DI494" s="180"/>
      <c r="DJ494" s="180"/>
      <c r="DK494" s="180"/>
      <c r="DL494" s="215"/>
      <c r="DM494" s="215"/>
      <c r="DN494" s="215"/>
      <c r="DO494" s="215"/>
      <c r="DP494" s="215"/>
    </row>
    <row r="495" spans="1:120" x14ac:dyDescent="0.2">
      <c r="A495" s="176" t="s">
        <v>321</v>
      </c>
      <c r="B495" s="20"/>
      <c r="C495" s="20"/>
      <c r="D495" s="20"/>
      <c r="E495" s="20"/>
      <c r="F495" s="20"/>
      <c r="G495" s="177"/>
      <c r="H495" s="177"/>
      <c r="I495" s="177"/>
      <c r="J495" s="177"/>
      <c r="K495" s="177"/>
      <c r="L495" s="177"/>
      <c r="M495" s="177"/>
      <c r="N495" s="177"/>
      <c r="O495" s="178"/>
      <c r="P495" s="177"/>
      <c r="Q495" s="178"/>
      <c r="R495" s="178"/>
      <c r="S495" s="178"/>
      <c r="T495" s="178"/>
      <c r="U495" s="179"/>
      <c r="V495" s="179"/>
      <c r="W495" s="179"/>
      <c r="X495" s="179"/>
      <c r="Y495" s="179"/>
      <c r="Z495" s="179"/>
      <c r="AA495" s="179"/>
      <c r="AB495" s="179"/>
      <c r="AC495" s="179"/>
      <c r="AD495" s="179"/>
      <c r="AE495" s="180"/>
      <c r="AF495" s="179"/>
      <c r="AG495" s="179"/>
      <c r="AH495" s="179"/>
      <c r="AI495" s="179"/>
      <c r="AJ495" s="180"/>
      <c r="AK495" s="179"/>
      <c r="AL495" s="179"/>
      <c r="AM495" s="179"/>
      <c r="AN495" s="179"/>
      <c r="AO495" s="180"/>
      <c r="AP495" s="179"/>
      <c r="AQ495" s="181"/>
      <c r="AR495" s="181"/>
      <c r="AS495" s="181"/>
      <c r="AT495" s="180"/>
      <c r="AU495" s="180"/>
      <c r="AV495" s="180"/>
      <c r="AW495" s="180"/>
      <c r="AX495" s="180"/>
      <c r="AY495" s="180"/>
      <c r="AZ495" s="180"/>
      <c r="BA495" s="180"/>
      <c r="BB495" s="180"/>
      <c r="BC495" s="180"/>
      <c r="BD495" s="180"/>
      <c r="BE495" s="182"/>
      <c r="BF495" s="182"/>
      <c r="BG495" s="182"/>
      <c r="BH495" s="182"/>
      <c r="BI495" s="180"/>
      <c r="BJ495" s="180"/>
      <c r="BK495" s="180"/>
      <c r="BL495" s="180"/>
      <c r="BM495" s="180"/>
      <c r="BN495" s="180"/>
      <c r="BO495" s="180"/>
      <c r="BP495" s="180"/>
      <c r="BQ495" s="180"/>
      <c r="BR495" s="180"/>
      <c r="BS495" s="180"/>
      <c r="BT495" s="180"/>
      <c r="BU495" s="180"/>
      <c r="BV495" s="180"/>
      <c r="BW495" s="180"/>
      <c r="BX495" s="180"/>
      <c r="BY495" s="180"/>
      <c r="BZ495" s="180"/>
      <c r="CA495" s="180"/>
      <c r="CB495" s="180"/>
      <c r="CC495" s="180"/>
      <c r="CD495" s="180"/>
      <c r="CE495" s="180"/>
      <c r="CF495" s="180"/>
      <c r="CG495" s="180"/>
      <c r="CH495" s="180"/>
      <c r="CI495" s="180"/>
      <c r="CJ495" s="180"/>
      <c r="CK495" s="180"/>
      <c r="CL495" s="180"/>
      <c r="CM495" s="180"/>
      <c r="CN495" s="180"/>
      <c r="CO495" s="180"/>
      <c r="CP495" s="180"/>
      <c r="CQ495" s="180"/>
      <c r="CR495" s="180"/>
      <c r="CS495" s="180"/>
      <c r="CT495" s="180"/>
      <c r="CU495" s="180"/>
      <c r="CV495" s="180"/>
      <c r="CW495" s="180"/>
      <c r="CX495" s="180"/>
      <c r="CY495" s="180"/>
      <c r="CZ495" s="180"/>
      <c r="DA495" s="180"/>
      <c r="DB495" s="120"/>
      <c r="DC495" s="120"/>
      <c r="DD495" s="120"/>
      <c r="DE495" s="120"/>
      <c r="DF495" s="120"/>
      <c r="DG495" s="180"/>
      <c r="DH495" s="180"/>
      <c r="DI495" s="180"/>
      <c r="DJ495" s="180"/>
      <c r="DK495" s="180"/>
      <c r="DL495" s="215"/>
      <c r="DM495" s="215">
        <v>220</v>
      </c>
      <c r="DN495" s="215">
        <f>DM495*1.25</f>
        <v>275</v>
      </c>
      <c r="DO495" s="215">
        <f>DN495*1.25</f>
        <v>343.75</v>
      </c>
      <c r="DP495" s="215">
        <f>DO495*1.25</f>
        <v>429.6875</v>
      </c>
    </row>
    <row r="496" spans="1:120" x14ac:dyDescent="0.2">
      <c r="A496" s="97" t="s">
        <v>322</v>
      </c>
      <c r="B496" s="98"/>
      <c r="C496" s="98"/>
      <c r="D496" s="98"/>
      <c r="E496" s="98"/>
      <c r="F496" s="98"/>
      <c r="G496" s="83"/>
      <c r="H496" s="83"/>
      <c r="I496" s="83"/>
      <c r="J496" s="83"/>
      <c r="K496" s="83"/>
      <c r="L496" s="83"/>
      <c r="M496" s="83"/>
      <c r="N496" s="83"/>
      <c r="O496" s="99"/>
      <c r="P496" s="83"/>
      <c r="Q496" s="99"/>
      <c r="R496" s="99"/>
      <c r="S496" s="99"/>
      <c r="T496" s="99"/>
      <c r="U496" s="100"/>
      <c r="V496" s="100"/>
      <c r="W496" s="100"/>
      <c r="X496" s="100"/>
      <c r="Y496" s="100"/>
      <c r="Z496" s="100"/>
      <c r="AA496" s="100"/>
      <c r="AB496" s="100"/>
      <c r="AC496" s="100"/>
      <c r="AD496" s="100"/>
      <c r="AE496" s="101"/>
      <c r="AF496" s="100"/>
      <c r="AG496" s="100"/>
      <c r="AH496" s="100"/>
      <c r="AI496" s="100"/>
      <c r="AJ496" s="101"/>
      <c r="AK496" s="100"/>
      <c r="AL496" s="100"/>
      <c r="AM496" s="100"/>
      <c r="AN496" s="100"/>
      <c r="AO496" s="101"/>
      <c r="AP496" s="100"/>
      <c r="AQ496" s="175"/>
      <c r="AR496" s="175"/>
      <c r="AS496" s="175"/>
      <c r="AT496" s="101"/>
      <c r="AU496" s="101"/>
      <c r="AV496" s="101"/>
      <c r="AW496" s="101"/>
      <c r="AX496" s="101"/>
      <c r="AY496" s="101"/>
      <c r="AZ496" s="101"/>
      <c r="BA496" s="101"/>
      <c r="BB496" s="101"/>
      <c r="BC496" s="101"/>
      <c r="BD496" s="101"/>
      <c r="BE496" s="174"/>
      <c r="BF496" s="174"/>
      <c r="BG496" s="174"/>
      <c r="BH496" s="174"/>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f>DH495</f>
        <v>0</v>
      </c>
      <c r="DI496" s="101">
        <f>DI495</f>
        <v>0</v>
      </c>
      <c r="DJ496" s="101">
        <f>DJ495</f>
        <v>0</v>
      </c>
      <c r="DK496" s="101">
        <f>DK495</f>
        <v>0</v>
      </c>
      <c r="DL496" s="214"/>
      <c r="DM496" s="214">
        <f t="shared" ref="DM496:DP496" si="393">DM495</f>
        <v>220</v>
      </c>
      <c r="DN496" s="214">
        <f t="shared" si="393"/>
        <v>275</v>
      </c>
      <c r="DO496" s="214">
        <f t="shared" si="393"/>
        <v>343.75</v>
      </c>
      <c r="DP496" s="214">
        <f t="shared" si="393"/>
        <v>429.6875</v>
      </c>
    </row>
    <row r="497" spans="1:120" x14ac:dyDescent="0.2">
      <c r="A497" s="36" t="s">
        <v>323</v>
      </c>
      <c r="G497" s="75"/>
      <c r="H497" s="75"/>
      <c r="I497" s="75"/>
      <c r="J497" s="75"/>
      <c r="K497" s="75"/>
      <c r="L497" s="75"/>
      <c r="M497" s="75"/>
      <c r="N497" s="75"/>
      <c r="O497" s="90"/>
      <c r="P497" s="75"/>
      <c r="Q497" s="90"/>
      <c r="R497" s="90"/>
      <c r="S497" s="90"/>
      <c r="T497" s="90"/>
      <c r="U497" s="119"/>
      <c r="V497" s="119"/>
      <c r="W497" s="119"/>
      <c r="X497" s="119"/>
      <c r="Y497" s="119"/>
      <c r="Z497" s="119"/>
      <c r="AA497" s="119"/>
      <c r="AB497" s="119"/>
      <c r="AC497" s="119"/>
      <c r="AD497" s="119"/>
      <c r="AE497" s="120"/>
      <c r="AF497" s="119"/>
      <c r="AG497" s="119"/>
      <c r="AH497" s="119"/>
      <c r="AI497" s="119"/>
      <c r="AJ497" s="120"/>
      <c r="AK497" s="119"/>
      <c r="AL497" s="119"/>
      <c r="AM497" s="119"/>
      <c r="AN497" s="119"/>
      <c r="AO497" s="120"/>
      <c r="AP497" s="119"/>
      <c r="AQ497" s="121"/>
      <c r="AR497" s="121"/>
      <c r="AS497" s="121"/>
      <c r="AT497" s="120"/>
      <c r="AU497" s="120"/>
      <c r="AV497" s="120"/>
      <c r="AW497" s="120"/>
      <c r="AX497" s="120"/>
      <c r="AY497" s="120"/>
      <c r="AZ497" s="120"/>
      <c r="BA497" s="120"/>
      <c r="BB497" s="120"/>
      <c r="BC497" s="120"/>
      <c r="BD497" s="120"/>
      <c r="BE497" s="173"/>
      <c r="BF497" s="173"/>
      <c r="BG497" s="173"/>
      <c r="BH497" s="173"/>
      <c r="BI497" s="120"/>
      <c r="BJ497" s="120"/>
      <c r="BK497" s="120"/>
      <c r="BL497" s="120"/>
      <c r="BM497" s="120"/>
      <c r="BN497" s="120"/>
      <c r="BO497" s="120"/>
      <c r="BP497" s="120"/>
      <c r="BQ497" s="120"/>
      <c r="BR497" s="120"/>
      <c r="BS497" s="120"/>
      <c r="BT497" s="120"/>
      <c r="BU497" s="120"/>
      <c r="BV497" s="120"/>
      <c r="BW497" s="120"/>
      <c r="BX497" s="120"/>
      <c r="BY497" s="120"/>
      <c r="BZ497" s="120"/>
      <c r="CA497" s="120"/>
      <c r="CB497" s="120"/>
      <c r="CC497" s="120"/>
      <c r="CD497" s="120"/>
      <c r="CE497" s="120"/>
      <c r="CF497" s="120"/>
      <c r="CG497" s="120"/>
      <c r="CH497" s="120"/>
      <c r="CI497" s="120"/>
      <c r="CJ497" s="120"/>
      <c r="CK497" s="120"/>
      <c r="CL497" s="120"/>
      <c r="CM497" s="120"/>
      <c r="CN497" s="120"/>
      <c r="CO497" s="120"/>
      <c r="CP497" s="120"/>
      <c r="CQ497" s="120"/>
      <c r="CR497" s="120"/>
      <c r="CS497" s="120"/>
      <c r="CT497" s="120"/>
      <c r="CU497" s="120"/>
      <c r="CV497" s="120"/>
      <c r="CW497" s="120"/>
      <c r="CX497" s="120"/>
      <c r="CY497" s="120"/>
      <c r="CZ497" s="120"/>
      <c r="DA497" s="120"/>
      <c r="DB497" s="120"/>
      <c r="DC497" s="120"/>
      <c r="DD497" s="120"/>
      <c r="DE497" s="120"/>
      <c r="DF497" s="120"/>
      <c r="DG497" s="120"/>
      <c r="DH497" s="120"/>
      <c r="DI497" s="120"/>
      <c r="DJ497" s="120"/>
      <c r="DK497" s="120"/>
      <c r="DL497" s="196"/>
      <c r="DM497" s="196">
        <v>200</v>
      </c>
      <c r="DN497" s="196">
        <v>350</v>
      </c>
      <c r="DO497" s="196">
        <v>550</v>
      </c>
      <c r="DP497" s="196">
        <f t="shared" ref="DP497:DP498" si="394">DO497*1.35</f>
        <v>742.5</v>
      </c>
    </row>
    <row r="498" spans="1:120" x14ac:dyDescent="0.2">
      <c r="A498" s="36" t="s">
        <v>324</v>
      </c>
      <c r="G498" s="75"/>
      <c r="H498" s="75"/>
      <c r="I498" s="75"/>
      <c r="J498" s="75"/>
      <c r="K498" s="75"/>
      <c r="L498" s="75"/>
      <c r="M498" s="75"/>
      <c r="N498" s="75"/>
      <c r="O498" s="90"/>
      <c r="P498" s="75"/>
      <c r="Q498" s="90"/>
      <c r="R498" s="90"/>
      <c r="S498" s="90"/>
      <c r="T498" s="90"/>
      <c r="U498" s="119"/>
      <c r="V498" s="119"/>
      <c r="W498" s="119"/>
      <c r="X498" s="119"/>
      <c r="Y498" s="119"/>
      <c r="Z498" s="119"/>
      <c r="AA498" s="119"/>
      <c r="AB498" s="119"/>
      <c r="AC498" s="119"/>
      <c r="AD498" s="119"/>
      <c r="AE498" s="120"/>
      <c r="AF498" s="119"/>
      <c r="AG498" s="119"/>
      <c r="AH498" s="119"/>
      <c r="AI498" s="119"/>
      <c r="AJ498" s="120"/>
      <c r="AK498" s="119"/>
      <c r="AL498" s="119"/>
      <c r="AM498" s="119"/>
      <c r="AN498" s="119"/>
      <c r="AO498" s="120"/>
      <c r="AP498" s="119"/>
      <c r="AQ498" s="121"/>
      <c r="AR498" s="121"/>
      <c r="AS498" s="121"/>
      <c r="AT498" s="120"/>
      <c r="AU498" s="120"/>
      <c r="AV498" s="120"/>
      <c r="AW498" s="120"/>
      <c r="AX498" s="120"/>
      <c r="AY498" s="120"/>
      <c r="AZ498" s="120"/>
      <c r="BA498" s="120"/>
      <c r="BB498" s="120"/>
      <c r="BC498" s="120"/>
      <c r="BD498" s="120"/>
      <c r="BE498" s="173"/>
      <c r="BF498" s="173"/>
      <c r="BG498" s="173"/>
      <c r="BH498" s="173"/>
      <c r="BI498" s="120"/>
      <c r="BJ498" s="120"/>
      <c r="BK498" s="120"/>
      <c r="BL498" s="120"/>
      <c r="BM498" s="120"/>
      <c r="BN498" s="120"/>
      <c r="BO498" s="120"/>
      <c r="BP498" s="120"/>
      <c r="BQ498" s="120"/>
      <c r="BR498" s="120"/>
      <c r="BS498" s="120"/>
      <c r="BT498" s="120"/>
      <c r="BU498" s="120"/>
      <c r="BV498" s="120"/>
      <c r="BW498" s="120"/>
      <c r="BX498" s="120"/>
      <c r="BY498" s="120"/>
      <c r="BZ498" s="120"/>
      <c r="CA498" s="120"/>
      <c r="CB498" s="120"/>
      <c r="CC498" s="120"/>
      <c r="CD498" s="120"/>
      <c r="CE498" s="120"/>
      <c r="CF498" s="120"/>
      <c r="CG498" s="120"/>
      <c r="CH498" s="120"/>
      <c r="CI498" s="120"/>
      <c r="CJ498" s="120"/>
      <c r="CK498" s="120"/>
      <c r="CL498" s="120"/>
      <c r="CM498" s="120"/>
      <c r="CN498" s="120"/>
      <c r="CO498" s="120"/>
      <c r="CP498" s="120"/>
      <c r="CQ498" s="120"/>
      <c r="CR498" s="120"/>
      <c r="CS498" s="120"/>
      <c r="CT498" s="120"/>
      <c r="CU498" s="120"/>
      <c r="CV498" s="120"/>
      <c r="CW498" s="120"/>
      <c r="CX498" s="120"/>
      <c r="CY498" s="120"/>
      <c r="CZ498" s="120"/>
      <c r="DA498" s="120"/>
      <c r="DB498" s="120"/>
      <c r="DC498" s="120"/>
      <c r="DD498" s="120"/>
      <c r="DE498" s="120"/>
      <c r="DF498" s="120"/>
      <c r="DG498" s="120"/>
      <c r="DH498" s="120"/>
      <c r="DI498" s="120"/>
      <c r="DJ498" s="120"/>
      <c r="DK498" s="120"/>
      <c r="DL498" s="196"/>
      <c r="DM498" s="196">
        <v>150</v>
      </c>
      <c r="DN498" s="196">
        <v>250</v>
      </c>
      <c r="DO498" s="196">
        <v>400</v>
      </c>
      <c r="DP498" s="196">
        <f t="shared" si="394"/>
        <v>540</v>
      </c>
    </row>
    <row r="499" spans="1:120" x14ac:dyDescent="0.2">
      <c r="A499" s="97" t="s">
        <v>325</v>
      </c>
      <c r="B499" s="98"/>
      <c r="C499" s="98"/>
      <c r="D499" s="98"/>
      <c r="E499" s="98"/>
      <c r="F499" s="98"/>
      <c r="G499" s="83"/>
      <c r="H499" s="83"/>
      <c r="I499" s="83"/>
      <c r="J499" s="83"/>
      <c r="K499" s="83"/>
      <c r="L499" s="83"/>
      <c r="M499" s="83"/>
      <c r="N499" s="83"/>
      <c r="O499" s="99"/>
      <c r="P499" s="83"/>
      <c r="Q499" s="99"/>
      <c r="R499" s="99"/>
      <c r="S499" s="99"/>
      <c r="T499" s="99"/>
      <c r="U499" s="100"/>
      <c r="V499" s="100"/>
      <c r="W499" s="100"/>
      <c r="X499" s="100"/>
      <c r="Y499" s="100"/>
      <c r="Z499" s="100"/>
      <c r="AA499" s="100"/>
      <c r="AB499" s="100"/>
      <c r="AC499" s="100"/>
      <c r="AD499" s="100"/>
      <c r="AE499" s="101"/>
      <c r="AF499" s="100"/>
      <c r="AG499" s="100"/>
      <c r="AH499" s="100"/>
      <c r="AI499" s="100"/>
      <c r="AJ499" s="101"/>
      <c r="AK499" s="100"/>
      <c r="AL499" s="100"/>
      <c r="AM499" s="100"/>
      <c r="AN499" s="100"/>
      <c r="AO499" s="101"/>
      <c r="AP499" s="100"/>
      <c r="AQ499" s="175"/>
      <c r="AR499" s="175"/>
      <c r="AS499" s="175"/>
      <c r="AT499" s="101"/>
      <c r="AU499" s="101"/>
      <c r="AV499" s="101"/>
      <c r="AW499" s="101"/>
      <c r="AX499" s="101"/>
      <c r="AY499" s="101"/>
      <c r="AZ499" s="101"/>
      <c r="BA499" s="101"/>
      <c r="BB499" s="101"/>
      <c r="BC499" s="101"/>
      <c r="BD499" s="101"/>
      <c r="BE499" s="174"/>
      <c r="BF499" s="174"/>
      <c r="BG499" s="174"/>
      <c r="BH499" s="174"/>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f>DB498+DB497</f>
        <v>0</v>
      </c>
      <c r="DC499" s="101"/>
      <c r="DD499" s="101"/>
      <c r="DE499" s="101"/>
      <c r="DF499" s="101"/>
      <c r="DG499" s="101">
        <f>DG498+DG497</f>
        <v>0</v>
      </c>
      <c r="DH499" s="101"/>
      <c r="DI499" s="101"/>
      <c r="DJ499" s="101"/>
      <c r="DK499" s="101"/>
      <c r="DL499" s="214">
        <f t="shared" ref="DL499:DP499" si="395">DL498+DL497</f>
        <v>0</v>
      </c>
      <c r="DM499" s="214">
        <f t="shared" si="395"/>
        <v>350</v>
      </c>
      <c r="DN499" s="214">
        <f t="shared" si="395"/>
        <v>600</v>
      </c>
      <c r="DO499" s="214">
        <f t="shared" si="395"/>
        <v>950</v>
      </c>
      <c r="DP499" s="214">
        <f t="shared" si="395"/>
        <v>1282.5</v>
      </c>
    </row>
    <row r="500" spans="1:120" x14ac:dyDescent="0.2">
      <c r="A500" s="36" t="s">
        <v>326</v>
      </c>
      <c r="G500" s="75"/>
      <c r="H500" s="75"/>
      <c r="I500" s="75"/>
      <c r="J500" s="75"/>
      <c r="K500" s="75"/>
      <c r="L500" s="75"/>
      <c r="M500" s="75"/>
      <c r="N500" s="75"/>
      <c r="O500" s="90"/>
      <c r="P500" s="75"/>
      <c r="Q500" s="90"/>
      <c r="R500" s="90"/>
      <c r="S500" s="90"/>
      <c r="T500" s="90"/>
      <c r="U500" s="119"/>
      <c r="V500" s="119"/>
      <c r="W500" s="119"/>
      <c r="X500" s="119"/>
      <c r="Y500" s="119"/>
      <c r="Z500" s="119"/>
      <c r="AA500" s="119"/>
      <c r="AB500" s="119"/>
      <c r="AC500" s="119"/>
      <c r="AD500" s="119"/>
      <c r="AE500" s="120"/>
      <c r="AF500" s="119"/>
      <c r="AG500" s="119"/>
      <c r="AH500" s="119"/>
      <c r="AI500" s="119"/>
      <c r="AJ500" s="120"/>
      <c r="AK500" s="119"/>
      <c r="AL500" s="119"/>
      <c r="AM500" s="119"/>
      <c r="AN500" s="119"/>
      <c r="AO500" s="120"/>
      <c r="AP500" s="119"/>
      <c r="AQ500" s="121"/>
      <c r="AR500" s="121"/>
      <c r="AS500" s="121"/>
      <c r="AT500" s="120"/>
      <c r="AU500" s="120"/>
      <c r="AV500" s="120"/>
      <c r="AW500" s="120"/>
      <c r="AX500" s="120"/>
      <c r="AY500" s="120"/>
      <c r="AZ500" s="120">
        <f>AZ497+AZ485+AZ482+AZ479+AZ476+AZ473+AZ470+AZ467+AZ464+AZ7+AZ455+AZ165</f>
        <v>0</v>
      </c>
      <c r="BA500" s="120">
        <f>BA497+BA485+BA482+BA479+BA476+BA473+BA470+BA467+BA464+BA7+BA455+BA165</f>
        <v>0</v>
      </c>
      <c r="BB500" s="120">
        <f>BB497+BB485+BB482+BB479+BB476+BB473+BB470+BB467+BB464+BB7+BB455+BB165</f>
        <v>0</v>
      </c>
      <c r="BC500" s="120">
        <f>BC497+BC485+BC482+BC479+BC476+BC473+BC470+BC467+BC464+BC7+BC455+BC165</f>
        <v>0</v>
      </c>
      <c r="BD500" s="120"/>
      <c r="BE500" s="120"/>
      <c r="BF500" s="120">
        <f>BF497+BF485+BF482+BF479+BF476+BF473+BF470+BF467+BF464+BF7+BF455+BF165</f>
        <v>0</v>
      </c>
      <c r="BG500" s="120">
        <f>BG497+BG485+BG482+BG479+BG476+BG473+BG470+BG467+BG464+BG7+BG455+BG165</f>
        <v>0</v>
      </c>
      <c r="BH500" s="120">
        <f>BH497+BH485+BH482+BH479+BH476+BH473+BH470+BH467+BH464+BH7+BH455+BH165</f>
        <v>0</v>
      </c>
      <c r="BI500" s="120">
        <f>BI497+BI485+BI482+BI479+BI476+BI473+BI470+BI467+BI464+BI7+BI455+BI165</f>
        <v>0</v>
      </c>
      <c r="BJ500" s="120">
        <f>BJ497+BJ485+BJ482+BJ479+BJ476+BJ473+BJ470+BJ467+BJ464+BJ7+BJ455+BJ165</f>
        <v>0</v>
      </c>
      <c r="BK500" s="120">
        <v>0</v>
      </c>
      <c r="BL500" s="120">
        <f>BL497+BL485+BL482+BL479+BL476+BL473+BL470+BL467+BL464+BL7+BL455+BL165</f>
        <v>0</v>
      </c>
      <c r="BM500" s="120">
        <f>BM497+BM485+BM482+BM479+BM476+BM473+BM470+BM467+BM464+BM7+BM455+BM165</f>
        <v>0</v>
      </c>
      <c r="BN500" s="120">
        <f>BN497+BN485+BN482+BN479+BN476+BN473+BN470+BN467+BN464+BN7+BN455+BN165+BN488+BN461</f>
        <v>0</v>
      </c>
      <c r="BO500" s="120">
        <f>BO497+BO485+BO482+BO479+BO476+BO473+BO470+BO467+BO464+BO7+BO455+BO165</f>
        <v>0</v>
      </c>
      <c r="BP500" s="120">
        <f>BP497+BP485+BP482+BP479+BP476+BP473+BP470+BP467+BP464+BP7+BP455+BP165</f>
        <v>0</v>
      </c>
      <c r="BQ500" s="120">
        <f>BQ497+BQ485+BQ482+BQ479+BQ476+BQ473+BQ470+BQ467+BQ464+BQ7+BQ455+BQ165</f>
        <v>0</v>
      </c>
      <c r="BR500" s="120">
        <f>BR497+BR485+BR482+BR479+BR476+BR473+BR470+BR467+BR464+BR455+BR165</f>
        <v>0</v>
      </c>
      <c r="BS500" s="120">
        <f>BS497+BS485+BS482+BS479+BS476+BS473+BS470+BS467+BS464+BS455+BS165+BS488+BS461</f>
        <v>0</v>
      </c>
      <c r="BT500" s="120">
        <f t="shared" ref="BT500:BW501" si="396">BT497+BT485+BT482+BT479+BT476+BT473+BT470+BT467+BT464+BT455+BT165+BT488+BT491+BT461</f>
        <v>0</v>
      </c>
      <c r="BU500" s="120">
        <f t="shared" si="396"/>
        <v>0</v>
      </c>
      <c r="BV500" s="120">
        <f t="shared" si="396"/>
        <v>0</v>
      </c>
      <c r="BW500" s="120">
        <f t="shared" si="396"/>
        <v>0</v>
      </c>
      <c r="BX500" s="120">
        <f>SUM(BT500:BW500)</f>
        <v>0</v>
      </c>
      <c r="BY500" s="120">
        <f t="shared" ref="BY500:CH500" si="397">BY497+BY485+BY482+BY479+BY476+BY473+BY470+BY467+BY464+BY455+BY165+BY488+BY491+BY461</f>
        <v>49</v>
      </c>
      <c r="BZ500" s="120">
        <f t="shared" si="397"/>
        <v>107</v>
      </c>
      <c r="CA500" s="120">
        <f t="shared" si="397"/>
        <v>152</v>
      </c>
      <c r="CB500" s="120">
        <f t="shared" si="397"/>
        <v>180</v>
      </c>
      <c r="CC500" s="120">
        <f t="shared" si="397"/>
        <v>488</v>
      </c>
      <c r="CD500" s="120">
        <f t="shared" si="397"/>
        <v>200</v>
      </c>
      <c r="CE500" s="120">
        <f t="shared" si="397"/>
        <v>256</v>
      </c>
      <c r="CF500" s="120">
        <f t="shared" si="397"/>
        <v>228</v>
      </c>
      <c r="CG500" s="120">
        <f t="shared" si="397"/>
        <v>88</v>
      </c>
      <c r="CH500" s="120">
        <f t="shared" si="397"/>
        <v>772</v>
      </c>
      <c r="CI500" s="120">
        <f t="shared" ref="CI500:CL501" si="398">CI497+CI485+CI482+CI479+CI476+CI473+CI470+CI467+CI464+CI455+CI488+CI491+CI461</f>
        <v>0</v>
      </c>
      <c r="CJ500" s="120">
        <f t="shared" si="398"/>
        <v>0</v>
      </c>
      <c r="CK500" s="120">
        <f t="shared" si="398"/>
        <v>0</v>
      </c>
      <c r="CL500" s="120">
        <f t="shared" si="398"/>
        <v>0</v>
      </c>
      <c r="CM500" s="120">
        <f>CL500</f>
        <v>0</v>
      </c>
      <c r="CN500" s="120">
        <f t="shared" ref="CN500:CQ501" si="399">CN497+CN485+CN482+CN479+CN476+CN473+CN470+CN467+CN464+CN455+CN488+CN491+CN461</f>
        <v>0</v>
      </c>
      <c r="CO500" s="120">
        <f t="shared" si="399"/>
        <v>0</v>
      </c>
      <c r="CP500" s="120">
        <f t="shared" si="399"/>
        <v>0</v>
      </c>
      <c r="CQ500" s="120">
        <f t="shared" si="399"/>
        <v>0</v>
      </c>
      <c r="CR500" s="120">
        <f>CQ500+CP500+CO500+CN500</f>
        <v>0</v>
      </c>
      <c r="CS500" s="120">
        <f t="shared" ref="CS500:CV501" si="400">CS497+CS485+CS482+CS479+CS476+CS473+CS470+CS467+CS464+CS455+CS488+CS491+CS461</f>
        <v>0</v>
      </c>
      <c r="CT500" s="120">
        <f t="shared" si="400"/>
        <v>0</v>
      </c>
      <c r="CU500" s="120">
        <f t="shared" si="400"/>
        <v>0</v>
      </c>
      <c r="CV500" s="120">
        <f t="shared" si="400"/>
        <v>0</v>
      </c>
      <c r="CW500" s="120">
        <f t="shared" ref="CW500:CW505" si="401">SUM(CS500:CV500)</f>
        <v>0</v>
      </c>
      <c r="CX500" s="120">
        <f>CX497+CX485+CX482+CX479+CX476+CX473+CX470+CX467+CX464+CX455+CX488+CX491+CX461+CX494</f>
        <v>0</v>
      </c>
      <c r="CY500" s="120">
        <f t="shared" ref="CX500:DA501" si="402">CY497+CY485+CY482+CY479+CY476+CY473+CY470+CY467+CY464+CY455+CY488+CY491+CY461+CY494</f>
        <v>0</v>
      </c>
      <c r="CZ500" s="120">
        <f t="shared" si="402"/>
        <v>0</v>
      </c>
      <c r="DA500" s="120">
        <f t="shared" si="402"/>
        <v>0</v>
      </c>
      <c r="DB500" s="120">
        <f t="shared" ref="DB500:DB504" si="403">SUM(CX500:DA500)</f>
        <v>0</v>
      </c>
      <c r="DC500" s="120">
        <f>DC497+DC485+DC482+DC479+DC476+DC473+DC470+DC467+DC464+DC455+DC488+DC491+DC461</f>
        <v>0</v>
      </c>
      <c r="DD500" s="120">
        <f>DD497+DD485+DD482+DD479+DD476+DD473+DD470+DD467+DD464+DD455+DD488+DD491+DD461</f>
        <v>0</v>
      </c>
      <c r="DE500" s="120">
        <f>DE497+DE485+DE482+DE479+DE476+DE473+DE470+DE467+DE464+DE455+DE488+DE491+DE461</f>
        <v>0</v>
      </c>
      <c r="DF500" s="120">
        <f>DF497+DF485+DF482+DF479+DF476+DF473+DF470+DF467+DF464+DF455+DF488+DF491+DF461</f>
        <v>0</v>
      </c>
      <c r="DG500" s="120">
        <f t="shared" ref="DG500:DG505" si="404">SUM(DC500:DF500)</f>
        <v>0</v>
      </c>
      <c r="DH500" s="120">
        <f>DH497+DH485+DH482+DH479+DH476+DH473+DH470+DH467+DH464+DH455+DH488+DH491+DH461</f>
        <v>20</v>
      </c>
      <c r="DI500" s="120">
        <f>DI497+DI485+DI482+DI479+DI476+DI473+DI470+DI467+DI464+DI455+DI488+DI491+DI461</f>
        <v>25</v>
      </c>
      <c r="DJ500" s="120">
        <f>DJ497+DJ485+DJ482+DJ479+DJ476+DJ473+DJ470+DJ467+DJ464+DJ455+DJ488+DJ491+DJ461</f>
        <v>25</v>
      </c>
      <c r="DK500" s="120">
        <f>DK497+DK485+DK482+DK479+DK476+DK473+DK470+DK467+DK464+DK455+DK488+DK491+DK461</f>
        <v>30</v>
      </c>
      <c r="DL500" s="196">
        <f t="shared" ref="DL500:DL505" si="405">SUM(DH500:DK500)</f>
        <v>100</v>
      </c>
      <c r="DM500" s="196">
        <f>DM497+DM485+DM482+DM479+DM476+DM473+DM470+DM467+DM464+DM455+DM488+DM491+DM461</f>
        <v>800</v>
      </c>
      <c r="DN500" s="196">
        <f>DN497+DN485+DN482+DN479+DN476+DN473+DN470+DN467+DN464+DN455+DN488+DN491+DN461</f>
        <v>1530</v>
      </c>
      <c r="DO500" s="196">
        <f>DO497+DO485+DO482+DO479+DO476+DO473+DO470+DO467+DO464+DO455+DO488+DO491+DO461</f>
        <v>2175.125</v>
      </c>
      <c r="DP500" s="196">
        <f>DP497+DP485+DP482+DP479+DP476+DP473+DP470+DP467+DP464+DP455+DP488+DP491+DP461</f>
        <v>2799.9937500000001</v>
      </c>
    </row>
    <row r="501" spans="1:120" x14ac:dyDescent="0.2">
      <c r="A501" s="36" t="s">
        <v>327</v>
      </c>
      <c r="G501" s="75"/>
      <c r="H501" s="75"/>
      <c r="I501" s="75"/>
      <c r="J501" s="75"/>
      <c r="K501" s="75"/>
      <c r="L501" s="75"/>
      <c r="M501" s="75"/>
      <c r="N501" s="75"/>
      <c r="O501" s="90"/>
      <c r="P501" s="75"/>
      <c r="Q501" s="90"/>
      <c r="R501" s="90"/>
      <c r="S501" s="90"/>
      <c r="T501" s="90"/>
      <c r="U501" s="119"/>
      <c r="V501" s="119"/>
      <c r="W501" s="119"/>
      <c r="X501" s="119"/>
      <c r="Y501" s="119"/>
      <c r="Z501" s="119"/>
      <c r="AA501" s="119"/>
      <c r="AB501" s="119"/>
      <c r="AC501" s="119"/>
      <c r="AD501" s="119"/>
      <c r="AE501" s="120"/>
      <c r="AF501" s="119"/>
      <c r="AG501" s="119"/>
      <c r="AH501" s="119"/>
      <c r="AI501" s="119"/>
      <c r="AJ501" s="120"/>
      <c r="AK501" s="119"/>
      <c r="AL501" s="119"/>
      <c r="AM501" s="119"/>
      <c r="AN501" s="119"/>
      <c r="AO501" s="120"/>
      <c r="AP501" s="119"/>
      <c r="AQ501" s="121"/>
      <c r="AR501" s="121"/>
      <c r="AS501" s="121"/>
      <c r="AT501" s="120"/>
      <c r="AU501" s="120"/>
      <c r="AV501" s="120"/>
      <c r="AW501" s="120"/>
      <c r="AX501" s="120"/>
      <c r="AY501" s="120"/>
      <c r="AZ501" s="120">
        <f>AZ498++AZ486+AZ483+AZ480+AZ477+AZ474+AZ471+AZ468+AZ465+AZ8+AZ456+AZ166</f>
        <v>0</v>
      </c>
      <c r="BA501" s="120">
        <f>BA498++BA486+BA483+BA480+BA477+BA474+BA471+BA468+BA465+BA8+BA456+BA166</f>
        <v>0</v>
      </c>
      <c r="BB501" s="120">
        <f>BB498++BB486+BB483+BB480+BB477+BB474+BB471+BB468+BB465+BB8+BB456+BB166</f>
        <v>0</v>
      </c>
      <c r="BC501" s="120">
        <f>BC498++BC486+BC483+BC480+BC477+BC474+BC471+BC468+BC465+BC8+BC456+BC166</f>
        <v>0</v>
      </c>
      <c r="BD501" s="120"/>
      <c r="BE501" s="120"/>
      <c r="BF501" s="120">
        <f t="shared" ref="BF501:BM501" si="406">BF498++BF486+BF483+BF480+BF477+BF474+BF471+BF468+BF465+BF8+BF456+BF166</f>
        <v>0</v>
      </c>
      <c r="BG501" s="120">
        <f t="shared" si="406"/>
        <v>0</v>
      </c>
      <c r="BH501" s="120">
        <f t="shared" si="406"/>
        <v>0</v>
      </c>
      <c r="BI501" s="120">
        <f t="shared" si="406"/>
        <v>0</v>
      </c>
      <c r="BJ501" s="120">
        <f t="shared" si="406"/>
        <v>0</v>
      </c>
      <c r="BK501" s="120">
        <f t="shared" si="406"/>
        <v>0</v>
      </c>
      <c r="BL501" s="120">
        <f t="shared" si="406"/>
        <v>0</v>
      </c>
      <c r="BM501" s="120">
        <f t="shared" si="406"/>
        <v>0</v>
      </c>
      <c r="BN501" s="120">
        <f>BN498++BN486+BN483+BN480+BN477+BN474+BN471+BN468+BN465+BN8+BN456+BN166+BN489+BN462</f>
        <v>0</v>
      </c>
      <c r="BO501" s="120">
        <f>BO498++BO486+BO483+BO480+BO477+BO474+BO471+BO468+BO465+BO8+BO456+BO166</f>
        <v>0</v>
      </c>
      <c r="BP501" s="120">
        <f>BP498++BP486+BP483+BP480+BP477+BP474+BP471+BP468+BP465+BP8+BP456+BP166</f>
        <v>0</v>
      </c>
      <c r="BQ501" s="120">
        <f>BQ498+BQ486+BQ483+BQ480+BQ477+BQ474+BQ471+BQ468+BQ465+BQ8+BQ456+BQ166</f>
        <v>0</v>
      </c>
      <c r="BR501" s="120">
        <f>BR498+BR486+BR483+BR480+BR477+BR474+BR471+BR468+BR465+BR456+BR166</f>
        <v>0</v>
      </c>
      <c r="BS501" s="120">
        <f>BS498++BS486+BS483+BS480+BS477+BS474+BS471+BS468+BS465+BS456+BS166+BS489+BS462</f>
        <v>0</v>
      </c>
      <c r="BT501" s="120">
        <f t="shared" si="396"/>
        <v>0</v>
      </c>
      <c r="BU501" s="120">
        <f t="shared" si="396"/>
        <v>0</v>
      </c>
      <c r="BV501" s="120">
        <f t="shared" si="396"/>
        <v>0</v>
      </c>
      <c r="BW501" s="120">
        <f t="shared" si="396"/>
        <v>0</v>
      </c>
      <c r="BX501" s="120">
        <f>SUM(BT501:BW501)</f>
        <v>0</v>
      </c>
      <c r="BY501" s="120">
        <f t="shared" ref="BY501:CH501" si="407">BY498+BY486+BY483+BY480+BY477+BY474+BY471+BY468+BY465+BY456+BY166+BY489+BY492+BY462</f>
        <v>1</v>
      </c>
      <c r="BZ501" s="120">
        <f t="shared" si="407"/>
        <v>4</v>
      </c>
      <c r="CA501" s="120">
        <f t="shared" si="407"/>
        <v>13</v>
      </c>
      <c r="CB501" s="120">
        <f t="shared" si="407"/>
        <v>49</v>
      </c>
      <c r="CC501" s="120">
        <f t="shared" si="407"/>
        <v>67</v>
      </c>
      <c r="CD501" s="120">
        <f t="shared" si="407"/>
        <v>178</v>
      </c>
      <c r="CE501" s="120">
        <f t="shared" si="407"/>
        <v>261</v>
      </c>
      <c r="CF501" s="120">
        <f t="shared" si="407"/>
        <v>241</v>
      </c>
      <c r="CG501" s="120">
        <f t="shared" si="407"/>
        <v>208</v>
      </c>
      <c r="CH501" s="120">
        <f t="shared" si="407"/>
        <v>888</v>
      </c>
      <c r="CI501" s="120">
        <f t="shared" si="398"/>
        <v>0</v>
      </c>
      <c r="CJ501" s="120">
        <f t="shared" si="398"/>
        <v>0</v>
      </c>
      <c r="CK501" s="120">
        <f t="shared" si="398"/>
        <v>0</v>
      </c>
      <c r="CL501" s="120">
        <f t="shared" si="398"/>
        <v>0</v>
      </c>
      <c r="CM501" s="120">
        <f>CL501</f>
        <v>0</v>
      </c>
      <c r="CN501" s="120">
        <f t="shared" si="399"/>
        <v>0</v>
      </c>
      <c r="CO501" s="120">
        <f t="shared" si="399"/>
        <v>0</v>
      </c>
      <c r="CP501" s="120">
        <f t="shared" si="399"/>
        <v>0</v>
      </c>
      <c r="CQ501" s="120">
        <f t="shared" si="399"/>
        <v>0</v>
      </c>
      <c r="CR501" s="120">
        <f>CQ501+CP501+CO501+CN501</f>
        <v>0</v>
      </c>
      <c r="CS501" s="120">
        <f t="shared" si="400"/>
        <v>0</v>
      </c>
      <c r="CT501" s="120">
        <f t="shared" si="400"/>
        <v>0</v>
      </c>
      <c r="CU501" s="120">
        <f t="shared" si="400"/>
        <v>0</v>
      </c>
      <c r="CV501" s="120">
        <f t="shared" si="400"/>
        <v>0</v>
      </c>
      <c r="CW501" s="120">
        <f t="shared" si="401"/>
        <v>0</v>
      </c>
      <c r="CX501" s="120">
        <f t="shared" si="402"/>
        <v>0</v>
      </c>
      <c r="CY501" s="120">
        <f t="shared" si="402"/>
        <v>0</v>
      </c>
      <c r="CZ501" s="120">
        <f t="shared" si="402"/>
        <v>0</v>
      </c>
      <c r="DA501" s="120">
        <f t="shared" si="402"/>
        <v>0</v>
      </c>
      <c r="DB501" s="120">
        <f t="shared" si="403"/>
        <v>0</v>
      </c>
      <c r="DC501" s="120">
        <f>DC498+DC486+DC483+DC480+DC477+DC474+DC471+DC468+DC465+DC456+DC489+DC492+DC462+DC495</f>
        <v>0</v>
      </c>
      <c r="DD501" s="120">
        <f>DD498+DD486+DD483+DD480+DD477+DD474+DD471+DD468+DD465+DD456+DD489+DD492+DD462+DD495</f>
        <v>0</v>
      </c>
      <c r="DE501" s="120">
        <f>DE498+DE486+DE483+DE480+DE477+DE474+DE471+DE468+DE465+DE456+DE489+DE492+DE462+DE495</f>
        <v>0</v>
      </c>
      <c r="DF501" s="120">
        <f>DF498+DF486+DF483+DF480+DF477+DF474+DF471+DF468+DF465+DF456+DF489+DF492+DF462+DF495</f>
        <v>0</v>
      </c>
      <c r="DG501" s="120">
        <f t="shared" si="404"/>
        <v>0</v>
      </c>
      <c r="DH501" s="120">
        <f>DH498+DH486+DH483+DH480+DH477+DH474+DH471+DH468+DH465+DH456+DH489+DH492+DH462+DH495</f>
        <v>10</v>
      </c>
      <c r="DI501" s="120">
        <f>DI498+DI486+DI483+DI480+DI477+DI474+DI471+DI468+DI465+DI456+DI489+DI492+DI462+DI495</f>
        <v>15</v>
      </c>
      <c r="DJ501" s="120">
        <f>DJ498+DJ486+DJ483+DJ480+DJ477+DJ474+DJ471+DJ468+DJ465+DJ456+DJ489+DJ492+DJ462+DJ495</f>
        <v>15</v>
      </c>
      <c r="DK501" s="120">
        <f>DK498+DK486+DK483+DK480+DK477+DK474+DK471+DK468+DK465+DK456+DK489+DK492+DK462+DK495</f>
        <v>20</v>
      </c>
      <c r="DL501" s="196">
        <f t="shared" si="405"/>
        <v>60</v>
      </c>
      <c r="DM501" s="196">
        <f>DM498+DM486+DM483+DM480+DM477+DM474+DM471+DM468+DM465+DM456+DM489+DM492+DM462+DM495</f>
        <v>745</v>
      </c>
      <c r="DN501" s="196">
        <f>DN498+DN486+DN483+DN480+DN477+DN474+DN471+DN468+DN465+DN456+DN489+DN492+DN462+DN495</f>
        <v>1325</v>
      </c>
      <c r="DO501" s="196">
        <f>DO498+DO486+DO483+DO480+DO477+DO474+DO471+DO468+DO465+DO456+DO489+DO492+DO462+DO495</f>
        <v>1958.5</v>
      </c>
      <c r="DP501" s="196">
        <f>DP498+DP486+DP483+DP480+DP477+DP474+DP471+DP468+DP465+DP456+DP489+DP492+DP462+DP495</f>
        <v>2511.0250000000001</v>
      </c>
    </row>
    <row r="502" spans="1:120" x14ac:dyDescent="0.2">
      <c r="A502" s="97" t="s">
        <v>328</v>
      </c>
      <c r="B502" s="98"/>
      <c r="C502" s="98"/>
      <c r="D502" s="98"/>
      <c r="E502" s="98"/>
      <c r="F502" s="98"/>
      <c r="G502" s="83"/>
      <c r="H502" s="83"/>
      <c r="I502" s="83"/>
      <c r="J502" s="83"/>
      <c r="K502" s="83"/>
      <c r="L502" s="83"/>
      <c r="M502" s="83"/>
      <c r="N502" s="83"/>
      <c r="O502" s="99"/>
      <c r="P502" s="83"/>
      <c r="Q502" s="99"/>
      <c r="R502" s="99"/>
      <c r="S502" s="99"/>
      <c r="T502" s="99"/>
      <c r="U502" s="100"/>
      <c r="V502" s="100"/>
      <c r="W502" s="100"/>
      <c r="X502" s="100"/>
      <c r="Y502" s="100"/>
      <c r="Z502" s="100"/>
      <c r="AA502" s="100"/>
      <c r="AB502" s="100"/>
      <c r="AC502" s="100"/>
      <c r="AD502" s="100"/>
      <c r="AE502" s="101"/>
      <c r="AF502" s="100"/>
      <c r="AG502" s="100"/>
      <c r="AH502" s="100"/>
      <c r="AI502" s="100"/>
      <c r="AJ502" s="101"/>
      <c r="AK502" s="100"/>
      <c r="AL502" s="100"/>
      <c r="AM502" s="100"/>
      <c r="AN502" s="100"/>
      <c r="AO502" s="101"/>
      <c r="AP502" s="100"/>
      <c r="AQ502" s="175"/>
      <c r="AR502" s="175"/>
      <c r="AS502" s="175"/>
      <c r="AT502" s="101"/>
      <c r="AU502" s="101"/>
      <c r="AV502" s="101"/>
      <c r="AW502" s="101"/>
      <c r="AX502" s="101"/>
      <c r="AY502" s="101"/>
      <c r="AZ502" s="101">
        <f>AZ501+AZ500</f>
        <v>0</v>
      </c>
      <c r="BA502" s="101">
        <f>BA501+BA500</f>
        <v>0</v>
      </c>
      <c r="BB502" s="101">
        <f>BB501+BB500</f>
        <v>0</v>
      </c>
      <c r="BC502" s="101">
        <f>BC501+BC500</f>
        <v>0</v>
      </c>
      <c r="BD502" s="101"/>
      <c r="BE502" s="101"/>
      <c r="BF502" s="101">
        <f>BF500+BF501</f>
        <v>0</v>
      </c>
      <c r="BG502" s="101">
        <f>BG500+BG501</f>
        <v>0</v>
      </c>
      <c r="BH502" s="101">
        <f>BH500+BH501</f>
        <v>0</v>
      </c>
      <c r="BI502" s="101">
        <f t="shared" ref="BI502:DP502" si="408">BI501+BI500</f>
        <v>0</v>
      </c>
      <c r="BJ502" s="101">
        <f t="shared" si="408"/>
        <v>0</v>
      </c>
      <c r="BK502" s="101">
        <f t="shared" si="408"/>
        <v>0</v>
      </c>
      <c r="BL502" s="101">
        <f t="shared" si="408"/>
        <v>0</v>
      </c>
      <c r="BM502" s="101">
        <f t="shared" si="408"/>
        <v>0</v>
      </c>
      <c r="BN502" s="101">
        <f t="shared" si="408"/>
        <v>0</v>
      </c>
      <c r="BO502" s="101">
        <f t="shared" si="408"/>
        <v>0</v>
      </c>
      <c r="BP502" s="101">
        <f t="shared" si="408"/>
        <v>0</v>
      </c>
      <c r="BQ502" s="101">
        <f t="shared" si="408"/>
        <v>0</v>
      </c>
      <c r="BR502" s="101">
        <f t="shared" si="408"/>
        <v>0</v>
      </c>
      <c r="BS502" s="101">
        <f t="shared" si="408"/>
        <v>0</v>
      </c>
      <c r="BT502" s="101">
        <f t="shared" si="408"/>
        <v>0</v>
      </c>
      <c r="BU502" s="101">
        <f t="shared" si="408"/>
        <v>0</v>
      </c>
      <c r="BV502" s="101">
        <f t="shared" si="408"/>
        <v>0</v>
      </c>
      <c r="BW502" s="101">
        <f t="shared" si="408"/>
        <v>0</v>
      </c>
      <c r="BX502" s="101">
        <f t="shared" si="408"/>
        <v>0</v>
      </c>
      <c r="BY502" s="101">
        <f t="shared" si="408"/>
        <v>50</v>
      </c>
      <c r="BZ502" s="101">
        <f t="shared" si="408"/>
        <v>111</v>
      </c>
      <c r="CA502" s="101">
        <f t="shared" si="408"/>
        <v>165</v>
      </c>
      <c r="CB502" s="101">
        <f t="shared" si="408"/>
        <v>229</v>
      </c>
      <c r="CC502" s="101">
        <f t="shared" si="408"/>
        <v>555</v>
      </c>
      <c r="CD502" s="101">
        <f t="shared" si="408"/>
        <v>378</v>
      </c>
      <c r="CE502" s="101">
        <f t="shared" si="408"/>
        <v>517</v>
      </c>
      <c r="CF502" s="101">
        <f t="shared" si="408"/>
        <v>469</v>
      </c>
      <c r="CG502" s="101">
        <f t="shared" si="408"/>
        <v>296</v>
      </c>
      <c r="CH502" s="101">
        <f t="shared" si="408"/>
        <v>1660</v>
      </c>
      <c r="CI502" s="101">
        <f t="shared" si="408"/>
        <v>0</v>
      </c>
      <c r="CJ502" s="101">
        <f t="shared" si="408"/>
        <v>0</v>
      </c>
      <c r="CK502" s="101">
        <f t="shared" si="408"/>
        <v>0</v>
      </c>
      <c r="CL502" s="101">
        <f t="shared" si="408"/>
        <v>0</v>
      </c>
      <c r="CM502" s="101">
        <f t="shared" si="408"/>
        <v>0</v>
      </c>
      <c r="CN502" s="101">
        <f t="shared" si="408"/>
        <v>0</v>
      </c>
      <c r="CO502" s="101">
        <f t="shared" si="408"/>
        <v>0</v>
      </c>
      <c r="CP502" s="101">
        <f t="shared" si="408"/>
        <v>0</v>
      </c>
      <c r="CQ502" s="101">
        <f t="shared" si="408"/>
        <v>0</v>
      </c>
      <c r="CR502" s="101">
        <f t="shared" si="408"/>
        <v>0</v>
      </c>
      <c r="CS502" s="101">
        <f>CS501+CS500</f>
        <v>0</v>
      </c>
      <c r="CT502" s="101">
        <f>CT501+CT500</f>
        <v>0</v>
      </c>
      <c r="CU502" s="101">
        <f>CU501+CU500</f>
        <v>0</v>
      </c>
      <c r="CV502" s="101">
        <f>CV501+CV500</f>
        <v>0</v>
      </c>
      <c r="CW502" s="101">
        <f t="shared" si="401"/>
        <v>0</v>
      </c>
      <c r="CX502" s="101">
        <f>CX501+CX500</f>
        <v>0</v>
      </c>
      <c r="CY502" s="101">
        <f>CY501+CY500</f>
        <v>0</v>
      </c>
      <c r="CZ502" s="101">
        <f>CZ501+CZ500</f>
        <v>0</v>
      </c>
      <c r="DA502" s="101">
        <f>DA501+DA500</f>
        <v>0</v>
      </c>
      <c r="DB502" s="101">
        <f t="shared" si="403"/>
        <v>0</v>
      </c>
      <c r="DC502" s="101">
        <f>DC501+DC500</f>
        <v>0</v>
      </c>
      <c r="DD502" s="101">
        <f>DD501+DD500</f>
        <v>0</v>
      </c>
      <c r="DE502" s="101">
        <f>DE501+DE500</f>
        <v>0</v>
      </c>
      <c r="DF502" s="101">
        <f>DF501+DF500</f>
        <v>0</v>
      </c>
      <c r="DG502" s="101">
        <f t="shared" si="404"/>
        <v>0</v>
      </c>
      <c r="DH502" s="101">
        <f>DH501+DH500</f>
        <v>30</v>
      </c>
      <c r="DI502" s="101">
        <f>DI501+DI500</f>
        <v>40</v>
      </c>
      <c r="DJ502" s="101">
        <f>DJ501+DJ500</f>
        <v>40</v>
      </c>
      <c r="DK502" s="101">
        <f>DK501+DK500</f>
        <v>50</v>
      </c>
      <c r="DL502" s="214">
        <f t="shared" si="405"/>
        <v>160</v>
      </c>
      <c r="DM502" s="214">
        <f t="shared" si="408"/>
        <v>1545</v>
      </c>
      <c r="DN502" s="214">
        <f t="shared" si="408"/>
        <v>2855</v>
      </c>
      <c r="DO502" s="214">
        <f t="shared" si="408"/>
        <v>4133.625</v>
      </c>
      <c r="DP502" s="214">
        <f t="shared" si="408"/>
        <v>5311.0187500000002</v>
      </c>
    </row>
    <row r="503" spans="1:120" ht="17" x14ac:dyDescent="0.2">
      <c r="A503" s="85" t="s">
        <v>329</v>
      </c>
      <c r="B503" s="86">
        <v>3155</v>
      </c>
      <c r="C503" s="86">
        <v>3350</v>
      </c>
      <c r="D503" s="86">
        <v>3600</v>
      </c>
      <c r="E503" s="86">
        <v>3485</v>
      </c>
      <c r="F503" s="36">
        <f>E503+D503+C503+B503</f>
        <v>13590</v>
      </c>
      <c r="G503" s="86" t="e">
        <f>#REF!+#REF!+#REF!</f>
        <v>#REF!</v>
      </c>
      <c r="H503" s="86" t="e">
        <f>#REF!+#REF!+#REF!</f>
        <v>#REF!</v>
      </c>
      <c r="I503" s="86" t="e">
        <f>#REF!+#REF!+#REF!</f>
        <v>#REF!</v>
      </c>
      <c r="J503" s="86" t="e">
        <f>#REF!+#REF!+#REF!</f>
        <v>#REF!</v>
      </c>
      <c r="K503" s="36" t="e">
        <f>J503+I503+H503+G503</f>
        <v>#REF!</v>
      </c>
      <c r="L503" s="86" t="e">
        <f>#REF!+#REF!+#REF!+#REF!</f>
        <v>#REF!</v>
      </c>
      <c r="M503" s="86" t="e">
        <f>#REF!+#REF!+#REF!+#REF!</f>
        <v>#REF!</v>
      </c>
      <c r="N503" s="86" t="e">
        <f>#REF!+#REF!+#REF!+#REF!</f>
        <v>#REF!</v>
      </c>
      <c r="O503" s="86" t="e">
        <f>#REF!+#REF!+#REF!+#REF!</f>
        <v>#REF!</v>
      </c>
      <c r="P503" s="36" t="e">
        <f>O503+N503+M503+L503</f>
        <v>#REF!</v>
      </c>
      <c r="Q503" s="86" t="e">
        <f>#REF!+#REF!+#REF!+#REF!</f>
        <v>#REF!</v>
      </c>
      <c r="R503" s="86" t="e">
        <f>#REF!+#REF!+#REF!+#REF!</f>
        <v>#REF!</v>
      </c>
      <c r="S503" s="86" t="e">
        <f>#REF!+#REF!+#REF!+#REF!</f>
        <v>#REF!</v>
      </c>
      <c r="T503" s="86" t="e">
        <f>#REF!+#REF!+#REF!+#REF!</f>
        <v>#REF!</v>
      </c>
      <c r="U503" s="36" t="e">
        <f>T503+S503+R503+Q503</f>
        <v>#REF!</v>
      </c>
      <c r="V503" s="86" t="e">
        <f>#REF!+#REF!+#REF!+#REF!</f>
        <v>#REF!</v>
      </c>
      <c r="W503" s="86" t="e">
        <f>#REF!+#REF!+#REF!+#REF!</f>
        <v>#REF!</v>
      </c>
      <c r="X503" s="86" t="e">
        <f>#REF!+#REF!+#REF!+#REF!</f>
        <v>#REF!</v>
      </c>
      <c r="Y503" s="86" t="e">
        <f>#REF!+#REF!+#REF!+#REF!</f>
        <v>#REF!</v>
      </c>
      <c r="Z503" s="36" t="e">
        <f>Y503+X503+W503+V503</f>
        <v>#REF!</v>
      </c>
      <c r="AA503" s="86" t="e">
        <f>#REF!+#REF!+#REF!+#REF!</f>
        <v>#REF!</v>
      </c>
      <c r="AB503" s="86" t="e">
        <f>#REF!+#REF!+#REF!+#REF!</f>
        <v>#REF!</v>
      </c>
      <c r="AC503" s="86" t="e">
        <f>#REF!+#REF!+#REF!+#REF!</f>
        <v>#REF!</v>
      </c>
      <c r="AD503" s="86" t="e">
        <f>#REF!+#REF!+#REF!+#REF!</f>
        <v>#REF!</v>
      </c>
      <c r="AE503" s="36" t="e">
        <f>AD503+AC503+AB503+AA503</f>
        <v>#REF!</v>
      </c>
      <c r="AF503" s="86" t="e">
        <f>#REF!+#REF!+#REF!+#REF!</f>
        <v>#REF!</v>
      </c>
      <c r="AG503" s="86" t="e">
        <f>#REF!+#REF!+#REF!+#REF!</f>
        <v>#REF!</v>
      </c>
      <c r="AH503" s="86" t="e">
        <f>#REF!+#REF!+#REF!+#REF!</f>
        <v>#REF!</v>
      </c>
      <c r="AI503" s="86" t="e">
        <f>#REF!+#REF!+#REF!+#REF!</f>
        <v>#REF!</v>
      </c>
      <c r="AJ503" s="36" t="e">
        <f>AI503+AH503+AG503+AF503</f>
        <v>#REF!</v>
      </c>
      <c r="AK503" s="86" t="e">
        <f>#REF!+#REF!+#REF!+#REF!</f>
        <v>#REF!</v>
      </c>
      <c r="AL503" s="86" t="e">
        <f>#REF!+#REF!+#REF!+#REF!</f>
        <v>#REF!</v>
      </c>
      <c r="AM503" s="86" t="e">
        <f>#REF!+#REF!+#REF!+#REF!</f>
        <v>#REF!</v>
      </c>
      <c r="AN503" s="86" t="e">
        <f>#REF!+#REF!+#REF!+#REF!</f>
        <v>#REF!</v>
      </c>
      <c r="AO503" s="36" t="e">
        <f>AN503+AM503+AL503+AK503</f>
        <v>#REF!</v>
      </c>
      <c r="AP503" s="86" t="e">
        <f>#REF!+#REF!+#REF!+#REF!</f>
        <v>#REF!</v>
      </c>
      <c r="AQ503" s="86" t="e">
        <f>#REF!+#REF!+#REF!+#REF!</f>
        <v>#REF!</v>
      </c>
      <c r="AR503" s="86" t="e">
        <f>#REF!+#REF!+#REF!+#REF!</f>
        <v>#REF!</v>
      </c>
      <c r="AS503" s="86" t="e">
        <f>#REF!+#REF!+#REF!+#REF!</f>
        <v>#REF!</v>
      </c>
      <c r="AT503" s="36" t="e">
        <f>AS503+AR503+AQ503+AP503</f>
        <v>#REF!</v>
      </c>
      <c r="AU503" s="36">
        <f t="shared" ref="AU503:AX504" si="409">AU449+AU431+AU413+AU395</f>
        <v>4999</v>
      </c>
      <c r="AV503" s="36">
        <f t="shared" si="409"/>
        <v>4864</v>
      </c>
      <c r="AW503" s="36">
        <f t="shared" si="409"/>
        <v>5140</v>
      </c>
      <c r="AX503" s="36">
        <f t="shared" si="409"/>
        <v>5224</v>
      </c>
      <c r="AY503" s="36">
        <f>AX503+AW503+AV503+AU503</f>
        <v>20227</v>
      </c>
      <c r="AZ503" s="36">
        <f t="shared" ref="AZ503:BC504" si="410">AZ449+AZ431+AZ413+AZ395+AZ500</f>
        <v>4848</v>
      </c>
      <c r="BA503" s="36">
        <f t="shared" si="410"/>
        <v>5006</v>
      </c>
      <c r="BB503" s="36">
        <f t="shared" si="410"/>
        <v>5344</v>
      </c>
      <c r="BC503" s="36">
        <f t="shared" si="410"/>
        <v>5296.3</v>
      </c>
      <c r="BD503" s="36">
        <f>BC503+BB503+BA503+AZ503</f>
        <v>20494.3</v>
      </c>
      <c r="BE503" s="86">
        <f t="shared" ref="BE503:BH504" si="411">BE449+BE431+BE413+BE395+BE500</f>
        <v>5009.7</v>
      </c>
      <c r="BF503" s="86">
        <f t="shared" si="411"/>
        <v>5555</v>
      </c>
      <c r="BG503" s="86">
        <f t="shared" si="411"/>
        <v>5111</v>
      </c>
      <c r="BH503" s="86">
        <f t="shared" si="411"/>
        <v>4716</v>
      </c>
      <c r="BI503" s="36">
        <f>BH503+BG503+BF503+BE503</f>
        <v>20391.7</v>
      </c>
      <c r="BJ503" s="36">
        <f t="shared" ref="BJ503:BL504" si="412">BJ449+BJ431+BJ413+BJ395+BJ500</f>
        <v>4215</v>
      </c>
      <c r="BK503" s="36">
        <f t="shared" si="412"/>
        <v>4608</v>
      </c>
      <c r="BL503" s="36">
        <f t="shared" si="412"/>
        <v>4904</v>
      </c>
      <c r="BM503" s="36">
        <f>BM449+BM431+BM413+BM395+BM500-1</f>
        <v>4519</v>
      </c>
      <c r="BN503" s="36">
        <f>BM503+BL503+BK503+BJ503</f>
        <v>18246</v>
      </c>
      <c r="BO503" s="36">
        <f t="shared" ref="BO503:BW503" si="413">BO449+BO431+BO413+BO395+BO500</f>
        <v>4145</v>
      </c>
      <c r="BP503" s="36">
        <f t="shared" si="413"/>
        <v>4429</v>
      </c>
      <c r="BQ503" s="36">
        <f t="shared" si="413"/>
        <v>4409</v>
      </c>
      <c r="BR503" s="36">
        <f t="shared" si="413"/>
        <v>4089</v>
      </c>
      <c r="BS503" s="86">
        <f t="shared" si="413"/>
        <v>17072</v>
      </c>
      <c r="BT503" s="36">
        <f t="shared" si="413"/>
        <v>3953</v>
      </c>
      <c r="BU503" s="36">
        <f t="shared" si="413"/>
        <v>4265</v>
      </c>
      <c r="BV503" s="36">
        <f t="shared" si="413"/>
        <v>4752</v>
      </c>
      <c r="BW503" s="36">
        <f t="shared" si="413"/>
        <v>4612</v>
      </c>
      <c r="BX503" s="86">
        <f>SUM(BT503:BW503)</f>
        <v>17582</v>
      </c>
      <c r="BY503" s="86">
        <f t="shared" ref="BY503:CB504" si="414">BY449+BY431+BY413+BY395+BY500</f>
        <v>4222</v>
      </c>
      <c r="BZ503" s="86">
        <f t="shared" si="414"/>
        <v>4507</v>
      </c>
      <c r="CA503" s="86">
        <f t="shared" si="414"/>
        <v>5111</v>
      </c>
      <c r="CB503" s="86">
        <f t="shared" si="414"/>
        <v>4685</v>
      </c>
      <c r="CC503" s="86">
        <f>SUM(BY503:CB503)</f>
        <v>18525</v>
      </c>
      <c r="CD503" s="86">
        <f t="shared" ref="CD503:CG504" si="415">CD449+CD431+CD413+CD395+CD500</f>
        <v>4195</v>
      </c>
      <c r="CE503" s="86">
        <f t="shared" si="415"/>
        <v>4311</v>
      </c>
      <c r="CF503" s="86">
        <f t="shared" si="415"/>
        <v>4594</v>
      </c>
      <c r="CG503" s="86">
        <f t="shared" si="415"/>
        <v>4328</v>
      </c>
      <c r="CH503" s="86">
        <f>SUM(CD503:CG503)</f>
        <v>17428</v>
      </c>
      <c r="CI503" s="86">
        <f t="shared" ref="CI503:CL504" si="416">CI449+CI431+CI413+CI395+CI500</f>
        <v>4132.6000000000004</v>
      </c>
      <c r="CJ503" s="86">
        <f t="shared" si="416"/>
        <v>4242.9000000000005</v>
      </c>
      <c r="CK503" s="86">
        <f t="shared" si="416"/>
        <v>5029.5</v>
      </c>
      <c r="CL503" s="86">
        <f t="shared" si="416"/>
        <v>4787</v>
      </c>
      <c r="CM503" s="86">
        <f>SUM(CI503:CL503)</f>
        <v>18192</v>
      </c>
      <c r="CN503" s="86">
        <f t="shared" ref="CN503:CQ504" si="417">CN449+CN431+CN413+CN395+CN500</f>
        <v>4515</v>
      </c>
      <c r="CO503" s="86">
        <f t="shared" si="417"/>
        <v>5144</v>
      </c>
      <c r="CP503" s="86">
        <f t="shared" si="417"/>
        <v>5525</v>
      </c>
      <c r="CQ503" s="86">
        <f t="shared" si="417"/>
        <v>5142</v>
      </c>
      <c r="CR503" s="86">
        <f>SUM(CN503:CQ503)-1</f>
        <v>20325</v>
      </c>
      <c r="CS503" s="86">
        <f t="shared" ref="CS503:CV504" si="418">CS449+CS431+CS413+CS395+CS500</f>
        <v>5133</v>
      </c>
      <c r="CT503" s="86">
        <f t="shared" si="418"/>
        <v>4634</v>
      </c>
      <c r="CU503" s="86">
        <f t="shared" si="418"/>
        <v>5625</v>
      </c>
      <c r="CV503" s="86">
        <f t="shared" si="418"/>
        <v>5631</v>
      </c>
      <c r="CW503" s="86">
        <f t="shared" si="401"/>
        <v>21023</v>
      </c>
      <c r="CX503" s="86">
        <f>CX449+CX500+CX395+CX413</f>
        <v>5442</v>
      </c>
      <c r="CY503" s="86">
        <f t="shared" ref="CX503:DA504" si="419">CY449+CY431+CY413+CY395+CY500</f>
        <v>5100</v>
      </c>
      <c r="CZ503" s="86">
        <f t="shared" si="419"/>
        <v>6276</v>
      </c>
      <c r="DA503" s="86">
        <f t="shared" si="419"/>
        <v>6259</v>
      </c>
      <c r="DB503" s="86">
        <f t="shared" si="403"/>
        <v>23077</v>
      </c>
      <c r="DC503" s="86">
        <f t="shared" ref="DC503:DF504" si="420">DC449+DC431+DC413+DC395+DC500</f>
        <v>7339</v>
      </c>
      <c r="DD503" s="86">
        <f t="shared" si="420"/>
        <v>6238</v>
      </c>
      <c r="DE503" s="86">
        <f t="shared" si="420"/>
        <v>7322</v>
      </c>
      <c r="DF503" s="86">
        <f t="shared" si="420"/>
        <v>6279</v>
      </c>
      <c r="DG503" s="86">
        <f t="shared" si="404"/>
        <v>27178</v>
      </c>
      <c r="DH503" s="86">
        <f t="shared" ref="DH503:DK504" si="421">DH449+DH431+DH413+DH395+DH500</f>
        <v>6651.5300000000007</v>
      </c>
      <c r="DI503" s="86">
        <f t="shared" si="421"/>
        <v>6988.5599999999968</v>
      </c>
      <c r="DJ503" s="86">
        <f t="shared" si="421"/>
        <v>8019.84</v>
      </c>
      <c r="DK503" s="86">
        <f t="shared" si="421"/>
        <v>6966.65</v>
      </c>
      <c r="DL503" s="216">
        <f t="shared" si="405"/>
        <v>28626.579999999994</v>
      </c>
      <c r="DM503" s="216">
        <f t="shared" ref="DM503:DP504" si="422">DM449+DM431+DM413+DM395+DM500</f>
        <v>30626.39202331</v>
      </c>
      <c r="DN503" s="216">
        <f t="shared" si="422"/>
        <v>32368.155836242404</v>
      </c>
      <c r="DO503" s="216">
        <f t="shared" si="422"/>
        <v>32800.157211500002</v>
      </c>
      <c r="DP503" s="216">
        <f t="shared" si="422"/>
        <v>33418.935468163203</v>
      </c>
    </row>
    <row r="504" spans="1:120" ht="17" x14ac:dyDescent="0.2">
      <c r="A504" s="85" t="s">
        <v>330</v>
      </c>
      <c r="B504" s="86">
        <v>1810</v>
      </c>
      <c r="C504" s="86">
        <v>1970</v>
      </c>
      <c r="D504" s="86">
        <v>1870</v>
      </c>
      <c r="E504" s="86">
        <v>2110</v>
      </c>
      <c r="F504" s="36">
        <f>E504+D504+C504+B504</f>
        <v>7760</v>
      </c>
      <c r="G504" s="86" t="e">
        <f>#REF!+#REF!+#REF!</f>
        <v>#REF!</v>
      </c>
      <c r="H504" s="86" t="e">
        <f>#REF!+#REF!+#REF!</f>
        <v>#REF!</v>
      </c>
      <c r="I504" s="86" t="e">
        <f>#REF!+#REF!+#REF!</f>
        <v>#REF!</v>
      </c>
      <c r="J504" s="86" t="e">
        <f>#REF!+#REF!+#REF!</f>
        <v>#REF!</v>
      </c>
      <c r="K504" s="36" t="e">
        <f>J504+I504+H504+G504</f>
        <v>#REF!</v>
      </c>
      <c r="L504" s="86" t="e">
        <f>#REF!+#REF!</f>
        <v>#REF!</v>
      </c>
      <c r="M504" s="86" t="e">
        <f>#REF!+#REF!</f>
        <v>#REF!</v>
      </c>
      <c r="N504" s="86" t="e">
        <f>#REF!+#REF!</f>
        <v>#REF!</v>
      </c>
      <c r="O504" s="86" t="e">
        <f>#REF!+#REF!</f>
        <v>#REF!</v>
      </c>
      <c r="P504" s="36" t="e">
        <f>O504+N504+M504+L504</f>
        <v>#REF!</v>
      </c>
      <c r="Q504" s="86" t="e">
        <f>#REF!+#REF!</f>
        <v>#REF!</v>
      </c>
      <c r="R504" s="86" t="e">
        <f>#REF!+#REF!</f>
        <v>#REF!</v>
      </c>
      <c r="S504" s="86" t="e">
        <f>#REF!+#REF!</f>
        <v>#REF!</v>
      </c>
      <c r="T504" s="86" t="e">
        <f>#REF!+#REF!</f>
        <v>#REF!</v>
      </c>
      <c r="U504" s="36" t="e">
        <f>T504+S504+R504+Q504</f>
        <v>#REF!</v>
      </c>
      <c r="V504" s="86" t="e">
        <f>#REF!+#REF!</f>
        <v>#REF!</v>
      </c>
      <c r="W504" s="86" t="e">
        <f>#REF!+#REF!</f>
        <v>#REF!</v>
      </c>
      <c r="X504" s="86" t="e">
        <f>#REF!+#REF!</f>
        <v>#REF!</v>
      </c>
      <c r="Y504" s="86" t="e">
        <f>#REF!+#REF!</f>
        <v>#REF!</v>
      </c>
      <c r="Z504" s="36" t="e">
        <f>Y504+X504+W504+V504</f>
        <v>#REF!</v>
      </c>
      <c r="AA504" s="86" t="e">
        <f>#REF!+#REF!</f>
        <v>#REF!</v>
      </c>
      <c r="AB504" s="86" t="e">
        <f>#REF!+#REF!</f>
        <v>#REF!</v>
      </c>
      <c r="AC504" s="86" t="e">
        <f>#REF!+#REF!</f>
        <v>#REF!</v>
      </c>
      <c r="AD504" s="86" t="e">
        <f>#REF!+#REF!</f>
        <v>#REF!</v>
      </c>
      <c r="AE504" s="36" t="e">
        <f>AD504+AC504+AB504+AA504</f>
        <v>#REF!</v>
      </c>
      <c r="AF504" s="86" t="e">
        <f>#REF!+#REF!</f>
        <v>#REF!</v>
      </c>
      <c r="AG504" s="86" t="e">
        <f>#REF!+#REF!</f>
        <v>#REF!</v>
      </c>
      <c r="AH504" s="86" t="e">
        <f>#REF!+#REF!</f>
        <v>#REF!</v>
      </c>
      <c r="AI504" s="86" t="e">
        <f>#REF!+#REF!</f>
        <v>#REF!</v>
      </c>
      <c r="AJ504" s="36" t="e">
        <f>AI504+AH504+AG504+AF504</f>
        <v>#REF!</v>
      </c>
      <c r="AK504" s="86" t="e">
        <f>#REF!+#REF!</f>
        <v>#REF!</v>
      </c>
      <c r="AL504" s="86" t="e">
        <f>#REF!+#REF!</f>
        <v>#REF!</v>
      </c>
      <c r="AM504" s="86" t="e">
        <f>#REF!+#REF!</f>
        <v>#REF!</v>
      </c>
      <c r="AN504" s="86" t="e">
        <f>#REF!+#REF!</f>
        <v>#REF!</v>
      </c>
      <c r="AO504" s="36" t="e">
        <f>AN504+AM504+AL504+AK504</f>
        <v>#REF!</v>
      </c>
      <c r="AP504" s="86" t="e">
        <f>#REF!+#REF!</f>
        <v>#REF!</v>
      </c>
      <c r="AQ504" s="86" t="e">
        <f>#REF!+#REF!</f>
        <v>#REF!</v>
      </c>
      <c r="AR504" s="86" t="e">
        <f>#REF!+#REF!</f>
        <v>#REF!</v>
      </c>
      <c r="AS504" s="86" t="e">
        <f>#REF!+#REF!</f>
        <v>#REF!</v>
      </c>
      <c r="AT504" s="36" t="e">
        <f>AS504+AR504+AQ504+AP504</f>
        <v>#REF!</v>
      </c>
      <c r="AU504" s="36">
        <f t="shared" si="409"/>
        <v>6424</v>
      </c>
      <c r="AV504" s="36">
        <f t="shared" si="409"/>
        <v>6482</v>
      </c>
      <c r="AW504" s="36">
        <f t="shared" si="409"/>
        <v>5985</v>
      </c>
      <c r="AX504" s="36">
        <f t="shared" si="409"/>
        <v>6870</v>
      </c>
      <c r="AY504" s="36">
        <f>AX504+AW504+AV504+AU504</f>
        <v>25761</v>
      </c>
      <c r="AZ504" s="36">
        <f t="shared" si="410"/>
        <v>6678</v>
      </c>
      <c r="BA504" s="36">
        <f t="shared" si="410"/>
        <v>7144</v>
      </c>
      <c r="BB504" s="36">
        <f t="shared" si="410"/>
        <v>6676</v>
      </c>
      <c r="BC504" s="36">
        <f t="shared" si="410"/>
        <v>6998</v>
      </c>
      <c r="BD504" s="36">
        <f>BC504+BB504+BA504+AZ504</f>
        <v>27496</v>
      </c>
      <c r="BE504" s="86">
        <f ca="1">BE450+BE432+BE414+BE396+BE501</f>
        <v>6720.9305555555557</v>
      </c>
      <c r="BF504" s="86">
        <f t="shared" si="411"/>
        <v>6756</v>
      </c>
      <c r="BG504" s="86">
        <f t="shared" si="411"/>
        <v>6377</v>
      </c>
      <c r="BH504" s="86">
        <f ca="1">BH450+BH432+BH414+BH396+BH501</f>
        <v>7022</v>
      </c>
      <c r="BI504" s="36">
        <f ca="1">BH504+BG504+BF504+BE504</f>
        <v>26875.930555555555</v>
      </c>
      <c r="BJ504" s="36">
        <f t="shared" si="412"/>
        <v>6456</v>
      </c>
      <c r="BK504" s="36">
        <f t="shared" si="412"/>
        <v>6402</v>
      </c>
      <c r="BL504" s="36">
        <f t="shared" si="412"/>
        <v>6126</v>
      </c>
      <c r="BM504" s="36">
        <f>BM450+BM432+BM414+BM396+BM501</f>
        <v>6800</v>
      </c>
      <c r="BN504" s="36">
        <f>BM504+BL504+BK504+BJ504</f>
        <v>25784</v>
      </c>
      <c r="BO504" s="36">
        <f>BO450+BO432+BO414+BO396+BO501</f>
        <v>6119</v>
      </c>
      <c r="BP504" s="36">
        <f>BP450+BP432+BP414+BP396+BP501</f>
        <v>6505</v>
      </c>
      <c r="BQ504" s="36">
        <f>BQ450+BQ432+BQ414+BQ396+BQ501</f>
        <v>6148</v>
      </c>
      <c r="BR504" s="36">
        <f>BR450+BR432+BR414+BR396+BR501</f>
        <v>6393</v>
      </c>
      <c r="BS504" s="86">
        <f>BS450+BS432+BS414+BS396+BS501</f>
        <v>25165</v>
      </c>
      <c r="BT504" s="36">
        <f>BT450+BT432+BT414+BT396+BT501+2</f>
        <v>5472</v>
      </c>
      <c r="BU504" s="36">
        <f>BU450+BU432+BU414+BU396+BU501</f>
        <v>5520</v>
      </c>
      <c r="BV504" s="36">
        <f>BV450+BV432+BV414+BV396+BV501</f>
        <v>5321</v>
      </c>
      <c r="BW504" s="36">
        <f>BW450+BW432+BW414+BW396+BW501</f>
        <v>5603</v>
      </c>
      <c r="BX504" s="86">
        <f>SUM(BT504:BW504)</f>
        <v>21916</v>
      </c>
      <c r="BY504" s="86">
        <f t="shared" si="414"/>
        <v>5090</v>
      </c>
      <c r="BZ504" s="86">
        <f t="shared" si="414"/>
        <v>5337</v>
      </c>
      <c r="CA504" s="86">
        <f t="shared" si="414"/>
        <v>5425</v>
      </c>
      <c r="CB504" s="86">
        <f t="shared" si="414"/>
        <v>5430</v>
      </c>
      <c r="CC504" s="86">
        <f>SUM(BY504:CB504)</f>
        <v>21282</v>
      </c>
      <c r="CD504" s="86">
        <f t="shared" si="415"/>
        <v>5239</v>
      </c>
      <c r="CE504" s="86">
        <f t="shared" si="415"/>
        <v>5619</v>
      </c>
      <c r="CF504" s="86">
        <f t="shared" si="415"/>
        <v>5732</v>
      </c>
      <c r="CG504" s="86">
        <f t="shared" si="415"/>
        <v>6105</v>
      </c>
      <c r="CH504" s="86">
        <f>SUM(CD504:CG504)</f>
        <v>22695</v>
      </c>
      <c r="CI504" s="86">
        <f t="shared" si="416"/>
        <v>5904.2000000000007</v>
      </c>
      <c r="CJ504" s="86">
        <f t="shared" si="416"/>
        <v>6221.9000000000005</v>
      </c>
      <c r="CK504" s="86">
        <f t="shared" si="416"/>
        <v>5763.5</v>
      </c>
      <c r="CL504" s="86">
        <f t="shared" si="416"/>
        <v>6211</v>
      </c>
      <c r="CM504" s="86">
        <f>SUM(CI504:CL504)</f>
        <v>24100.600000000002</v>
      </c>
      <c r="CN504" s="86">
        <f t="shared" si="417"/>
        <v>6301</v>
      </c>
      <c r="CO504" s="86">
        <f t="shared" si="417"/>
        <v>6616</v>
      </c>
      <c r="CP504" s="86">
        <f t="shared" si="417"/>
        <v>6872</v>
      </c>
      <c r="CQ504" s="86">
        <f t="shared" si="417"/>
        <v>6726</v>
      </c>
      <c r="CR504" s="86">
        <f>SUM(CN504:CQ504)</f>
        <v>26515</v>
      </c>
      <c r="CS504" s="86">
        <f t="shared" si="418"/>
        <v>6923</v>
      </c>
      <c r="CT504" s="86">
        <f t="shared" si="418"/>
        <v>6238</v>
      </c>
      <c r="CU504" s="86">
        <f t="shared" si="418"/>
        <v>6926</v>
      </c>
      <c r="CV504" s="86">
        <f t="shared" si="418"/>
        <v>6882</v>
      </c>
      <c r="CW504" s="86">
        <f t="shared" si="401"/>
        <v>26969</v>
      </c>
      <c r="CX504" s="86">
        <f t="shared" si="419"/>
        <v>6943</v>
      </c>
      <c r="CY504" s="86">
        <f t="shared" si="419"/>
        <v>6301</v>
      </c>
      <c r="CZ504" s="86">
        <f t="shared" si="419"/>
        <v>6878</v>
      </c>
      <c r="DA504" s="86">
        <f t="shared" si="419"/>
        <v>7262</v>
      </c>
      <c r="DB504" s="86">
        <f t="shared" si="403"/>
        <v>27384</v>
      </c>
      <c r="DC504" s="86">
        <f t="shared" si="420"/>
        <v>8563</v>
      </c>
      <c r="DD504" s="86">
        <f t="shared" si="420"/>
        <v>8355</v>
      </c>
      <c r="DE504" s="86">
        <f t="shared" si="420"/>
        <v>7637</v>
      </c>
      <c r="DF504" s="86">
        <f t="shared" si="420"/>
        <v>7551</v>
      </c>
      <c r="DG504" s="86">
        <f t="shared" si="404"/>
        <v>32106</v>
      </c>
      <c r="DH504" s="86">
        <f t="shared" si="421"/>
        <v>7077.93</v>
      </c>
      <c r="DI504" s="86">
        <f t="shared" si="421"/>
        <v>7413.99</v>
      </c>
      <c r="DJ504" s="86">
        <f t="shared" si="421"/>
        <v>7411.0999999999985</v>
      </c>
      <c r="DK504" s="86">
        <f t="shared" si="421"/>
        <v>6951.43</v>
      </c>
      <c r="DL504" s="216">
        <f t="shared" si="405"/>
        <v>28854.449999999997</v>
      </c>
      <c r="DM504" s="216">
        <f t="shared" si="422"/>
        <v>30761.270700000005</v>
      </c>
      <c r="DN504" s="216">
        <f t="shared" si="422"/>
        <v>32197.361031239605</v>
      </c>
      <c r="DO504" s="216">
        <f t="shared" si="422"/>
        <v>33222.704550940398</v>
      </c>
      <c r="DP504" s="216">
        <f t="shared" si="422"/>
        <v>34369.849948044073</v>
      </c>
    </row>
    <row r="505" spans="1:120" ht="17" x14ac:dyDescent="0.2">
      <c r="A505" s="87" t="s">
        <v>331</v>
      </c>
      <c r="B505" s="39">
        <f>B504+B503</f>
        <v>4965</v>
      </c>
      <c r="C505" s="39">
        <f>C504+C503</f>
        <v>5320</v>
      </c>
      <c r="D505" s="39">
        <f>D504+D503</f>
        <v>5470</v>
      </c>
      <c r="E505" s="39">
        <f>E504+E503</f>
        <v>5595</v>
      </c>
      <c r="F505" s="88">
        <v>21350</v>
      </c>
      <c r="G505" s="88" t="e">
        <f>G503+G504</f>
        <v>#REF!</v>
      </c>
      <c r="H505" s="88" t="e">
        <f>H503+H504</f>
        <v>#REF!</v>
      </c>
      <c r="I505" s="88" t="e">
        <f>I503+I504</f>
        <v>#REF!</v>
      </c>
      <c r="J505" s="88" t="e">
        <f>J503+J504</f>
        <v>#REF!</v>
      </c>
      <c r="K505" s="39" t="e">
        <f>J505+I505+H505+G505</f>
        <v>#REF!</v>
      </c>
      <c r="L505" s="88" t="e">
        <f>L503+L504</f>
        <v>#REF!</v>
      </c>
      <c r="M505" s="88" t="e">
        <f>M503+M504</f>
        <v>#REF!</v>
      </c>
      <c r="N505" s="88" t="e">
        <f>N503+N504</f>
        <v>#REF!</v>
      </c>
      <c r="O505" s="88" t="e">
        <f>O503+O504</f>
        <v>#REF!</v>
      </c>
      <c r="P505" s="39" t="e">
        <f>O505+N505+M505+L505</f>
        <v>#REF!</v>
      </c>
      <c r="Q505" s="88" t="e">
        <f>Q503+Q504</f>
        <v>#REF!</v>
      </c>
      <c r="R505" s="88" t="e">
        <f>R503+R504</f>
        <v>#REF!</v>
      </c>
      <c r="S505" s="88" t="e">
        <f>S503+S504</f>
        <v>#REF!</v>
      </c>
      <c r="T505" s="88" t="e">
        <f>T503+T504</f>
        <v>#REF!</v>
      </c>
      <c r="U505" s="39" t="e">
        <f>T505+S505+R505+Q505</f>
        <v>#REF!</v>
      </c>
      <c r="V505" s="88" t="e">
        <f>V503+V504</f>
        <v>#REF!</v>
      </c>
      <c r="W505" s="88" t="e">
        <f>W503+W504</f>
        <v>#REF!</v>
      </c>
      <c r="X505" s="88" t="e">
        <f>X503+X504</f>
        <v>#REF!</v>
      </c>
      <c r="Y505" s="88" t="e">
        <f>Y503+Y504</f>
        <v>#REF!</v>
      </c>
      <c r="Z505" s="39" t="e">
        <f>Y505+X505+W505+V505</f>
        <v>#REF!</v>
      </c>
      <c r="AA505" s="88" t="e">
        <f>AA503+AA504</f>
        <v>#REF!</v>
      </c>
      <c r="AB505" s="88" t="e">
        <f>AB503+AB504</f>
        <v>#REF!</v>
      </c>
      <c r="AC505" s="88" t="e">
        <f>AC503+AC504</f>
        <v>#REF!</v>
      </c>
      <c r="AD505" s="88" t="e">
        <f>AD503+AD504</f>
        <v>#REF!</v>
      </c>
      <c r="AE505" s="39" t="e">
        <f>AD505+AC505+AB505+AA505</f>
        <v>#REF!</v>
      </c>
      <c r="AF505" s="88" t="e">
        <f>AF503+AF504</f>
        <v>#REF!</v>
      </c>
      <c r="AG505" s="88" t="e">
        <f>AG503+AG504</f>
        <v>#REF!</v>
      </c>
      <c r="AH505" s="88" t="e">
        <f>AH503+AH504</f>
        <v>#REF!</v>
      </c>
      <c r="AI505" s="88" t="e">
        <f>AI503+AI504</f>
        <v>#REF!</v>
      </c>
      <c r="AJ505" s="39" t="e">
        <f>AI505+AH505+AG505+AF505</f>
        <v>#REF!</v>
      </c>
      <c r="AK505" s="88" t="e">
        <f>AK503+AK504</f>
        <v>#REF!</v>
      </c>
      <c r="AL505" s="88" t="e">
        <f>AL503+AL504</f>
        <v>#REF!</v>
      </c>
      <c r="AM505" s="88" t="e">
        <f>AM503+AM504</f>
        <v>#REF!</v>
      </c>
      <c r="AN505" s="88" t="e">
        <f>AN503+AN504</f>
        <v>#REF!</v>
      </c>
      <c r="AO505" s="39" t="e">
        <f>AN505+AM505+AL505+AK505</f>
        <v>#REF!</v>
      </c>
      <c r="AP505" s="88" t="e">
        <f>AP503+AP504</f>
        <v>#REF!</v>
      </c>
      <c r="AQ505" s="88" t="e">
        <f>AQ503+AQ504</f>
        <v>#REF!</v>
      </c>
      <c r="AR505" s="88" t="e">
        <f>AR503+AR504</f>
        <v>#REF!</v>
      </c>
      <c r="AS505" s="88" t="e">
        <f>AS503+AS504</f>
        <v>#REF!</v>
      </c>
      <c r="AT505" s="39" t="e">
        <f>AS505+AR505+AQ505+AP505</f>
        <v>#REF!</v>
      </c>
      <c r="AU505" s="39">
        <f>AU503+AU504</f>
        <v>11423</v>
      </c>
      <c r="AV505" s="39">
        <f>AV503+AV504</f>
        <v>11346</v>
      </c>
      <c r="AW505" s="39">
        <f>AW503+AW504</f>
        <v>11125</v>
      </c>
      <c r="AX505" s="39">
        <f>AX503+AX504</f>
        <v>12094</v>
      </c>
      <c r="AY505" s="39">
        <f>AX505+AW505+AV505+AU505</f>
        <v>45988</v>
      </c>
      <c r="AZ505" s="39">
        <f>AZ503+AZ504</f>
        <v>11526</v>
      </c>
      <c r="BA505" s="39">
        <f>BA503+BA504</f>
        <v>12150</v>
      </c>
      <c r="BB505" s="39">
        <f>BB503+BB504</f>
        <v>12020</v>
      </c>
      <c r="BC505" s="39">
        <f>BC503+BC504</f>
        <v>12294.3</v>
      </c>
      <c r="BD505" s="39">
        <f>BC505+BB505+BA505+AZ505</f>
        <v>47990.3</v>
      </c>
      <c r="BE505" s="39">
        <f ca="1">BE503+BE504</f>
        <v>11730.630555555555</v>
      </c>
      <c r="BF505" s="39">
        <f t="shared" ref="BF505:BM505" si="423">BF503+BF504</f>
        <v>12311</v>
      </c>
      <c r="BG505" s="39">
        <f t="shared" si="423"/>
        <v>11488</v>
      </c>
      <c r="BH505" s="39">
        <f ca="1">BH503+BH504</f>
        <v>11738</v>
      </c>
      <c r="BI505" s="88">
        <f ca="1">BI503+BI504</f>
        <v>47267.630555555559</v>
      </c>
      <c r="BJ505" s="88">
        <f t="shared" si="423"/>
        <v>10671</v>
      </c>
      <c r="BK505" s="88">
        <f t="shared" si="423"/>
        <v>11010</v>
      </c>
      <c r="BL505" s="88">
        <f t="shared" si="423"/>
        <v>11030</v>
      </c>
      <c r="BM505" s="88">
        <f t="shared" si="423"/>
        <v>11319</v>
      </c>
      <c r="BN505" s="88">
        <f>BN503+BN504+3</f>
        <v>44033</v>
      </c>
      <c r="BO505" s="88">
        <f t="shared" ref="BO505:CE505" si="424">BO503+BO504</f>
        <v>10264</v>
      </c>
      <c r="BP505" s="88">
        <f t="shared" si="424"/>
        <v>10934</v>
      </c>
      <c r="BQ505" s="88">
        <f t="shared" si="424"/>
        <v>10557</v>
      </c>
      <c r="BR505" s="88">
        <f t="shared" si="424"/>
        <v>10482</v>
      </c>
      <c r="BS505" s="88">
        <f t="shared" si="424"/>
        <v>42237</v>
      </c>
      <c r="BT505" s="88">
        <f t="shared" si="424"/>
        <v>9425</v>
      </c>
      <c r="BU505" s="88">
        <f t="shared" si="424"/>
        <v>9785</v>
      </c>
      <c r="BV505" s="88">
        <f t="shared" si="424"/>
        <v>10073</v>
      </c>
      <c r="BW505" s="88">
        <f t="shared" si="424"/>
        <v>10215</v>
      </c>
      <c r="BX505" s="88">
        <f t="shared" si="424"/>
        <v>39498</v>
      </c>
      <c r="BY505" s="88">
        <f t="shared" si="424"/>
        <v>9312</v>
      </c>
      <c r="BZ505" s="88">
        <f t="shared" si="424"/>
        <v>9844</v>
      </c>
      <c r="CA505" s="88">
        <f t="shared" si="424"/>
        <v>10536</v>
      </c>
      <c r="CB505" s="88">
        <f t="shared" si="424"/>
        <v>10115</v>
      </c>
      <c r="CC505" s="88">
        <f t="shared" si="424"/>
        <v>39807</v>
      </c>
      <c r="CD505" s="88">
        <f t="shared" si="424"/>
        <v>9434</v>
      </c>
      <c r="CE505" s="88">
        <f t="shared" si="424"/>
        <v>9930</v>
      </c>
      <c r="CF505" s="88">
        <f>CF503+CF504-1</f>
        <v>10325</v>
      </c>
      <c r="CG505" s="88">
        <f>CG503+CG504</f>
        <v>10433</v>
      </c>
      <c r="CH505" s="88">
        <f>CH503+CH504</f>
        <v>40123</v>
      </c>
      <c r="CI505" s="88">
        <f t="shared" ref="CI505:CR505" si="425">CI503+CI504</f>
        <v>10036.800000000001</v>
      </c>
      <c r="CJ505" s="88">
        <f t="shared" si="425"/>
        <v>10464.800000000001</v>
      </c>
      <c r="CK505" s="88">
        <f t="shared" si="425"/>
        <v>10793</v>
      </c>
      <c r="CL505" s="88">
        <f t="shared" si="425"/>
        <v>10998</v>
      </c>
      <c r="CM505" s="88">
        <f>CM503+CM504</f>
        <v>42292.600000000006</v>
      </c>
      <c r="CN505" s="88">
        <f t="shared" si="425"/>
        <v>10816</v>
      </c>
      <c r="CO505" s="88">
        <f>CO503+CO504</f>
        <v>11760</v>
      </c>
      <c r="CP505" s="88">
        <f t="shared" si="425"/>
        <v>12397</v>
      </c>
      <c r="CQ505" s="88">
        <f t="shared" si="425"/>
        <v>11868</v>
      </c>
      <c r="CR505" s="88">
        <f t="shared" si="425"/>
        <v>46840</v>
      </c>
      <c r="CS505" s="88">
        <f>CS503+CS504+1</f>
        <v>12057</v>
      </c>
      <c r="CT505" s="88">
        <f>CT503+CT504</f>
        <v>10872</v>
      </c>
      <c r="CU505" s="88">
        <f>CU503+CU504</f>
        <v>12551</v>
      </c>
      <c r="CV505" s="88">
        <f>CV503+CV504+1</f>
        <v>12514</v>
      </c>
      <c r="CW505" s="88">
        <f t="shared" si="401"/>
        <v>47994</v>
      </c>
      <c r="CX505" s="88">
        <f>CX503+CX504+1</f>
        <v>12386</v>
      </c>
      <c r="CY505" s="88">
        <f>CY503+CY504</f>
        <v>11401</v>
      </c>
      <c r="CZ505" s="88">
        <f>CZ503+CZ504</f>
        <v>13154</v>
      </c>
      <c r="DA505" s="88">
        <f>DA503+DA504</f>
        <v>13521</v>
      </c>
      <c r="DB505" s="88">
        <f>SUM(CX505:DA505)</f>
        <v>50462</v>
      </c>
      <c r="DC505" s="88">
        <f>DC503+DC504</f>
        <v>15902</v>
      </c>
      <c r="DD505" s="88">
        <f>DD503+DD504</f>
        <v>14593</v>
      </c>
      <c r="DE505" s="88">
        <f>DE503+DE504</f>
        <v>14959</v>
      </c>
      <c r="DF505" s="88">
        <f>DF503+DF504</f>
        <v>13830</v>
      </c>
      <c r="DG505" s="88">
        <f t="shared" si="404"/>
        <v>59284</v>
      </c>
      <c r="DH505" s="88">
        <f>DH503+DH504</f>
        <v>13729.460000000001</v>
      </c>
      <c r="DI505" s="88">
        <f>DI503+DI504</f>
        <v>14402.549999999996</v>
      </c>
      <c r="DJ505" s="88">
        <f>DJ503+DJ504</f>
        <v>15430.939999999999</v>
      </c>
      <c r="DK505" s="88">
        <f>DK503+DK504</f>
        <v>13918.08</v>
      </c>
      <c r="DL505" s="217">
        <f t="shared" si="405"/>
        <v>57481.03</v>
      </c>
      <c r="DM505" s="217">
        <f>DM503+DM504</f>
        <v>61387.662723310001</v>
      </c>
      <c r="DN505" s="217">
        <f t="shared" ref="DN505:DP505" si="426">DN503+DN504</f>
        <v>64565.516867482009</v>
      </c>
      <c r="DO505" s="217">
        <f t="shared" si="426"/>
        <v>66022.8617624404</v>
      </c>
      <c r="DP505" s="217">
        <f t="shared" si="426"/>
        <v>67788.785416207276</v>
      </c>
    </row>
    <row r="506" spans="1:120" x14ac:dyDescent="0.2">
      <c r="A506" s="68" t="s">
        <v>54</v>
      </c>
      <c r="G506" s="76" t="e">
        <f t="shared" ref="G506:BR508" si="427">G503/B503-1</f>
        <v>#REF!</v>
      </c>
      <c r="H506" s="76" t="e">
        <f t="shared" si="427"/>
        <v>#REF!</v>
      </c>
      <c r="I506" s="76" t="e">
        <f t="shared" si="427"/>
        <v>#REF!</v>
      </c>
      <c r="J506" s="76" t="e">
        <f t="shared" si="427"/>
        <v>#REF!</v>
      </c>
      <c r="K506" s="76" t="e">
        <f t="shared" si="427"/>
        <v>#REF!</v>
      </c>
      <c r="L506" s="76" t="e">
        <f t="shared" si="427"/>
        <v>#REF!</v>
      </c>
      <c r="M506" s="76" t="e">
        <f t="shared" si="427"/>
        <v>#REF!</v>
      </c>
      <c r="N506" s="76" t="e">
        <f t="shared" si="427"/>
        <v>#REF!</v>
      </c>
      <c r="O506" s="76" t="e">
        <f t="shared" si="427"/>
        <v>#REF!</v>
      </c>
      <c r="P506" s="76" t="e">
        <f t="shared" si="427"/>
        <v>#REF!</v>
      </c>
      <c r="Q506" s="76" t="e">
        <f t="shared" si="427"/>
        <v>#REF!</v>
      </c>
      <c r="R506" s="76" t="e">
        <f t="shared" si="427"/>
        <v>#REF!</v>
      </c>
      <c r="S506" s="76" t="e">
        <f t="shared" si="427"/>
        <v>#REF!</v>
      </c>
      <c r="T506" s="76" t="e">
        <f t="shared" si="427"/>
        <v>#REF!</v>
      </c>
      <c r="U506" s="76" t="e">
        <f t="shared" si="427"/>
        <v>#REF!</v>
      </c>
      <c r="V506" s="76" t="e">
        <f t="shared" si="427"/>
        <v>#REF!</v>
      </c>
      <c r="W506" s="76" t="e">
        <f t="shared" si="427"/>
        <v>#REF!</v>
      </c>
      <c r="X506" s="76" t="e">
        <f t="shared" si="427"/>
        <v>#REF!</v>
      </c>
      <c r="Y506" s="76" t="e">
        <f t="shared" si="427"/>
        <v>#REF!</v>
      </c>
      <c r="Z506" s="76" t="e">
        <f t="shared" si="427"/>
        <v>#REF!</v>
      </c>
      <c r="AA506" s="76" t="e">
        <f t="shared" si="427"/>
        <v>#REF!</v>
      </c>
      <c r="AB506" s="76" t="e">
        <f t="shared" si="427"/>
        <v>#REF!</v>
      </c>
      <c r="AC506" s="76" t="e">
        <f t="shared" si="427"/>
        <v>#REF!</v>
      </c>
      <c r="AD506" s="76" t="e">
        <f t="shared" si="427"/>
        <v>#REF!</v>
      </c>
      <c r="AE506" s="76" t="e">
        <f t="shared" si="427"/>
        <v>#REF!</v>
      </c>
      <c r="AF506" s="76" t="e">
        <f t="shared" si="427"/>
        <v>#REF!</v>
      </c>
      <c r="AG506" s="76" t="e">
        <f t="shared" si="427"/>
        <v>#REF!</v>
      </c>
      <c r="AH506" s="76" t="e">
        <f t="shared" si="427"/>
        <v>#REF!</v>
      </c>
      <c r="AI506" s="76" t="e">
        <f t="shared" si="427"/>
        <v>#REF!</v>
      </c>
      <c r="AJ506" s="76" t="e">
        <f t="shared" si="427"/>
        <v>#REF!</v>
      </c>
      <c r="AK506" s="76" t="e">
        <f t="shared" si="427"/>
        <v>#REF!</v>
      </c>
      <c r="AL506" s="76" t="e">
        <f t="shared" si="427"/>
        <v>#REF!</v>
      </c>
      <c r="AM506" s="76" t="e">
        <f t="shared" si="427"/>
        <v>#REF!</v>
      </c>
      <c r="AN506" s="76" t="e">
        <f t="shared" si="427"/>
        <v>#REF!</v>
      </c>
      <c r="AO506" s="76" t="e">
        <f t="shared" si="427"/>
        <v>#REF!</v>
      </c>
      <c r="AP506" s="76" t="e">
        <f t="shared" si="427"/>
        <v>#REF!</v>
      </c>
      <c r="AQ506" s="76" t="e">
        <f t="shared" si="427"/>
        <v>#REF!</v>
      </c>
      <c r="AR506" s="76" t="e">
        <f t="shared" si="427"/>
        <v>#REF!</v>
      </c>
      <c r="AS506" s="76" t="e">
        <f t="shared" si="427"/>
        <v>#REF!</v>
      </c>
      <c r="AT506" s="76" t="e">
        <f t="shared" si="427"/>
        <v>#REF!</v>
      </c>
      <c r="AU506" s="76" t="e">
        <f t="shared" si="427"/>
        <v>#REF!</v>
      </c>
      <c r="AV506" s="76" t="e">
        <f t="shared" si="427"/>
        <v>#REF!</v>
      </c>
      <c r="AW506" s="76" t="e">
        <f t="shared" si="427"/>
        <v>#REF!</v>
      </c>
      <c r="AX506" s="76" t="e">
        <f t="shared" si="427"/>
        <v>#REF!</v>
      </c>
      <c r="AY506" s="76" t="e">
        <f t="shared" si="427"/>
        <v>#REF!</v>
      </c>
      <c r="AZ506" s="76">
        <f t="shared" si="427"/>
        <v>-3.0206041208241663E-2</v>
      </c>
      <c r="BA506" s="76">
        <f t="shared" si="427"/>
        <v>2.9194078947368363E-2</v>
      </c>
      <c r="BB506" s="76">
        <f t="shared" si="427"/>
        <v>3.9688715953307474E-2</v>
      </c>
      <c r="BC506" s="76">
        <f t="shared" si="427"/>
        <v>1.3839969372128724E-2</v>
      </c>
      <c r="BD506" s="76">
        <f t="shared" si="427"/>
        <v>1.3215009640579423E-2</v>
      </c>
      <c r="BE506" s="76">
        <f t="shared" si="427"/>
        <v>3.335396039603955E-2</v>
      </c>
      <c r="BF506" s="76">
        <f t="shared" si="427"/>
        <v>0.10966839792249305</v>
      </c>
      <c r="BG506" s="76">
        <f t="shared" si="427"/>
        <v>-4.3600299401197584E-2</v>
      </c>
      <c r="BH506" s="76">
        <f t="shared" si="427"/>
        <v>-0.10956705624681384</v>
      </c>
      <c r="BI506" s="76">
        <f t="shared" si="427"/>
        <v>-5.0062700360586909E-3</v>
      </c>
      <c r="BJ506" s="76">
        <f t="shared" si="427"/>
        <v>-0.15863225342834897</v>
      </c>
      <c r="BK506" s="76">
        <f t="shared" si="427"/>
        <v>-0.17047704770477046</v>
      </c>
      <c r="BL506" s="76">
        <f t="shared" si="427"/>
        <v>-4.0500880453922861E-2</v>
      </c>
      <c r="BM506" s="76">
        <f t="shared" si="427"/>
        <v>-4.1772688719253659E-2</v>
      </c>
      <c r="BN506" s="76">
        <f t="shared" si="427"/>
        <v>-0.10522418434951475</v>
      </c>
      <c r="BO506" s="76">
        <f t="shared" si="427"/>
        <v>-1.6607354685646447E-2</v>
      </c>
      <c r="BP506" s="76">
        <f t="shared" si="427"/>
        <v>-3.884548611111116E-2</v>
      </c>
      <c r="BQ506" s="76">
        <f t="shared" si="427"/>
        <v>-0.10093800978792822</v>
      </c>
      <c r="BR506" s="76">
        <f t="shared" si="427"/>
        <v>-9.5153795087408732E-2</v>
      </c>
      <c r="BS506" s="76">
        <f t="shared" ref="BO506:DL508" si="428">BS503/BN503-1</f>
        <v>-6.434286967006464E-2</v>
      </c>
      <c r="BT506" s="76">
        <f t="shared" si="428"/>
        <v>-4.6320868516284697E-2</v>
      </c>
      <c r="BU506" s="76">
        <f t="shared" si="428"/>
        <v>-3.7028674644389303E-2</v>
      </c>
      <c r="BV506" s="76">
        <f t="shared" si="428"/>
        <v>7.7795418462236254E-2</v>
      </c>
      <c r="BW506" s="76">
        <f t="shared" si="428"/>
        <v>0.12790413303986314</v>
      </c>
      <c r="BX506" s="76">
        <f t="shared" si="428"/>
        <v>2.9873477038425467E-2</v>
      </c>
      <c r="BY506" s="76">
        <f t="shared" si="428"/>
        <v>6.8049582595496982E-2</v>
      </c>
      <c r="BZ506" s="76">
        <f t="shared" si="428"/>
        <v>5.6740914419695088E-2</v>
      </c>
      <c r="CA506" s="76">
        <f t="shared" si="428"/>
        <v>7.5547138047137974E-2</v>
      </c>
      <c r="CB506" s="76">
        <f t="shared" si="428"/>
        <v>1.5828274067649639E-2</v>
      </c>
      <c r="CC506" s="76">
        <f t="shared" si="428"/>
        <v>5.3634398816971851E-2</v>
      </c>
      <c r="CD506" s="76">
        <f t="shared" si="428"/>
        <v>-6.3950734249170749E-3</v>
      </c>
      <c r="CE506" s="76">
        <f t="shared" si="428"/>
        <v>-4.3487907699134687E-2</v>
      </c>
      <c r="CF506" s="76">
        <f t="shared" si="428"/>
        <v>-0.10115437292115048</v>
      </c>
      <c r="CG506" s="76">
        <f t="shared" si="428"/>
        <v>-7.6200640341515524E-2</v>
      </c>
      <c r="CH506" s="76">
        <f t="shared" si="428"/>
        <v>-5.9217273954116023E-2</v>
      </c>
      <c r="CI506" s="76">
        <f t="shared" si="428"/>
        <v>-1.4874851013110812E-2</v>
      </c>
      <c r="CJ506" s="76">
        <f t="shared" si="428"/>
        <v>-1.5796798886569152E-2</v>
      </c>
      <c r="CK506" s="76">
        <f t="shared" si="428"/>
        <v>9.4797562037440164E-2</v>
      </c>
      <c r="CL506" s="76">
        <f t="shared" si="428"/>
        <v>0.10605360443622924</v>
      </c>
      <c r="CM506" s="76">
        <f t="shared" si="428"/>
        <v>4.383750286894661E-2</v>
      </c>
      <c r="CN506" s="76">
        <f t="shared" si="428"/>
        <v>9.2532546096887991E-2</v>
      </c>
      <c r="CO506" s="76">
        <f t="shared" si="428"/>
        <v>0.21237832614485352</v>
      </c>
      <c r="CP506" s="76">
        <f t="shared" si="428"/>
        <v>9.8518739437319702E-2</v>
      </c>
      <c r="CQ506" s="76">
        <f t="shared" si="428"/>
        <v>7.4159181115521111E-2</v>
      </c>
      <c r="CR506" s="76">
        <f t="shared" si="428"/>
        <v>0.11724934036939305</v>
      </c>
      <c r="CS506" s="76">
        <f t="shared" si="428"/>
        <v>0.13687707641196023</v>
      </c>
      <c r="CT506" s="76">
        <f t="shared" si="428"/>
        <v>-9.9144634525660913E-2</v>
      </c>
      <c r="CU506" s="76">
        <f t="shared" si="428"/>
        <v>1.8099547511312153E-2</v>
      </c>
      <c r="CV506" s="76">
        <f t="shared" si="428"/>
        <v>9.5099183197199455E-2</v>
      </c>
      <c r="CW506" s="76">
        <f t="shared" si="428"/>
        <v>3.4341943419434084E-2</v>
      </c>
      <c r="CX506" s="76">
        <f t="shared" si="428"/>
        <v>6.0198714202220893E-2</v>
      </c>
      <c r="CY506" s="76">
        <f t="shared" si="428"/>
        <v>0.10056107034959005</v>
      </c>
      <c r="CZ506" s="76">
        <f t="shared" si="428"/>
        <v>0.11573333333333324</v>
      </c>
      <c r="DA506" s="76">
        <f t="shared" si="428"/>
        <v>0.11152548392825423</v>
      </c>
      <c r="DB506" s="76">
        <f t="shared" si="428"/>
        <v>9.7702516291680475E-2</v>
      </c>
      <c r="DC506" s="76">
        <f t="shared" si="428"/>
        <v>0.34858507901506797</v>
      </c>
      <c r="DD506" s="76">
        <f t="shared" si="428"/>
        <v>0.22313725490196079</v>
      </c>
      <c r="DE506" s="76">
        <f t="shared" si="428"/>
        <v>0.16666666666666674</v>
      </c>
      <c r="DF506" s="76">
        <f t="shared" si="428"/>
        <v>3.1953986259785072E-3</v>
      </c>
      <c r="DG506" s="76">
        <f t="shared" si="428"/>
        <v>0.17770940763530785</v>
      </c>
      <c r="DH506" s="76">
        <f t="shared" si="428"/>
        <v>-9.3673525003406422E-2</v>
      </c>
      <c r="DI506" s="76">
        <f t="shared" si="428"/>
        <v>0.12032061558191676</v>
      </c>
      <c r="DJ506" s="76">
        <f t="shared" si="428"/>
        <v>9.5307293089319955E-2</v>
      </c>
      <c r="DK506" s="76">
        <f t="shared" si="428"/>
        <v>0.10951584647236823</v>
      </c>
      <c r="DL506" s="195">
        <f t="shared" si="428"/>
        <v>5.3299727720950596E-2</v>
      </c>
      <c r="DM506" s="195">
        <f t="shared" ref="DM506:DP508" si="429">DM503/DL503-1</f>
        <v>6.9858572812749653E-2</v>
      </c>
      <c r="DN506" s="195">
        <f t="shared" si="429"/>
        <v>5.6871335402705503E-2</v>
      </c>
      <c r="DO506" s="195">
        <f t="shared" si="429"/>
        <v>1.3346493307903939E-2</v>
      </c>
      <c r="DP506" s="195">
        <f t="shared" si="429"/>
        <v>1.8865100330868412E-2</v>
      </c>
    </row>
    <row r="507" spans="1:120" x14ac:dyDescent="0.2">
      <c r="A507" s="68" t="s">
        <v>55</v>
      </c>
      <c r="G507" s="76" t="e">
        <f t="shared" si="427"/>
        <v>#REF!</v>
      </c>
      <c r="H507" s="76" t="e">
        <f t="shared" si="427"/>
        <v>#REF!</v>
      </c>
      <c r="I507" s="76" t="e">
        <f t="shared" si="427"/>
        <v>#REF!</v>
      </c>
      <c r="J507" s="76" t="e">
        <f t="shared" si="427"/>
        <v>#REF!</v>
      </c>
      <c r="K507" s="76" t="e">
        <f t="shared" si="427"/>
        <v>#REF!</v>
      </c>
      <c r="L507" s="76" t="e">
        <f t="shared" si="427"/>
        <v>#REF!</v>
      </c>
      <c r="M507" s="76" t="e">
        <f t="shared" si="427"/>
        <v>#REF!</v>
      </c>
      <c r="N507" s="76" t="e">
        <f t="shared" si="427"/>
        <v>#REF!</v>
      </c>
      <c r="O507" s="76" t="e">
        <f t="shared" si="427"/>
        <v>#REF!</v>
      </c>
      <c r="P507" s="76" t="e">
        <f t="shared" si="427"/>
        <v>#REF!</v>
      </c>
      <c r="Q507" s="76" t="e">
        <f t="shared" si="427"/>
        <v>#REF!</v>
      </c>
      <c r="R507" s="76" t="e">
        <f t="shared" si="427"/>
        <v>#REF!</v>
      </c>
      <c r="S507" s="76" t="e">
        <f t="shared" si="427"/>
        <v>#REF!</v>
      </c>
      <c r="T507" s="76" t="e">
        <f t="shared" si="427"/>
        <v>#REF!</v>
      </c>
      <c r="U507" s="76" t="e">
        <f t="shared" si="427"/>
        <v>#REF!</v>
      </c>
      <c r="V507" s="76" t="e">
        <f t="shared" si="427"/>
        <v>#REF!</v>
      </c>
      <c r="W507" s="76" t="e">
        <f t="shared" si="427"/>
        <v>#REF!</v>
      </c>
      <c r="X507" s="76" t="e">
        <f t="shared" si="427"/>
        <v>#REF!</v>
      </c>
      <c r="Y507" s="76" t="e">
        <f t="shared" si="427"/>
        <v>#REF!</v>
      </c>
      <c r="Z507" s="76" t="e">
        <f t="shared" si="427"/>
        <v>#REF!</v>
      </c>
      <c r="AA507" s="76" t="e">
        <f t="shared" si="427"/>
        <v>#REF!</v>
      </c>
      <c r="AB507" s="76" t="e">
        <f t="shared" si="427"/>
        <v>#REF!</v>
      </c>
      <c r="AC507" s="76" t="e">
        <f t="shared" si="427"/>
        <v>#REF!</v>
      </c>
      <c r="AD507" s="76" t="e">
        <f t="shared" si="427"/>
        <v>#REF!</v>
      </c>
      <c r="AE507" s="76" t="e">
        <f t="shared" si="427"/>
        <v>#REF!</v>
      </c>
      <c r="AF507" s="76" t="e">
        <f t="shared" si="427"/>
        <v>#REF!</v>
      </c>
      <c r="AG507" s="76" t="e">
        <f t="shared" si="427"/>
        <v>#REF!</v>
      </c>
      <c r="AH507" s="76" t="e">
        <f t="shared" si="427"/>
        <v>#REF!</v>
      </c>
      <c r="AI507" s="76" t="e">
        <f t="shared" si="427"/>
        <v>#REF!</v>
      </c>
      <c r="AJ507" s="76" t="e">
        <f t="shared" si="427"/>
        <v>#REF!</v>
      </c>
      <c r="AK507" s="76" t="e">
        <f t="shared" si="427"/>
        <v>#REF!</v>
      </c>
      <c r="AL507" s="76" t="e">
        <f t="shared" si="427"/>
        <v>#REF!</v>
      </c>
      <c r="AM507" s="76" t="e">
        <f t="shared" si="427"/>
        <v>#REF!</v>
      </c>
      <c r="AN507" s="76" t="e">
        <f t="shared" si="427"/>
        <v>#REF!</v>
      </c>
      <c r="AO507" s="76" t="e">
        <f t="shared" si="427"/>
        <v>#REF!</v>
      </c>
      <c r="AP507" s="76" t="e">
        <f t="shared" si="427"/>
        <v>#REF!</v>
      </c>
      <c r="AQ507" s="76" t="e">
        <f t="shared" si="427"/>
        <v>#REF!</v>
      </c>
      <c r="AR507" s="76" t="e">
        <f t="shared" si="427"/>
        <v>#REF!</v>
      </c>
      <c r="AS507" s="76" t="e">
        <f t="shared" si="427"/>
        <v>#REF!</v>
      </c>
      <c r="AT507" s="76" t="e">
        <f t="shared" si="427"/>
        <v>#REF!</v>
      </c>
      <c r="AU507" s="76" t="e">
        <f t="shared" si="427"/>
        <v>#REF!</v>
      </c>
      <c r="AV507" s="76" t="e">
        <f t="shared" si="427"/>
        <v>#REF!</v>
      </c>
      <c r="AW507" s="76" t="e">
        <f t="shared" si="427"/>
        <v>#REF!</v>
      </c>
      <c r="AX507" s="76" t="e">
        <f t="shared" si="427"/>
        <v>#REF!</v>
      </c>
      <c r="AY507" s="76" t="e">
        <f t="shared" si="427"/>
        <v>#REF!</v>
      </c>
      <c r="AZ507" s="76">
        <f t="shared" si="427"/>
        <v>3.9539227895392326E-2</v>
      </c>
      <c r="BA507" s="76">
        <f t="shared" si="427"/>
        <v>0.10212897253933972</v>
      </c>
      <c r="BB507" s="76">
        <f t="shared" si="427"/>
        <v>0.11545530492898903</v>
      </c>
      <c r="BC507" s="76">
        <f t="shared" si="427"/>
        <v>1.8631732168850057E-2</v>
      </c>
      <c r="BD507" s="76">
        <f t="shared" si="427"/>
        <v>6.7349869958464259E-2</v>
      </c>
      <c r="BE507" s="76">
        <f ca="1">BE504/AZ504-1</f>
        <v>6.428654620478591E-3</v>
      </c>
      <c r="BF507" s="76">
        <f t="shared" si="427"/>
        <v>-5.4311310190369499E-2</v>
      </c>
      <c r="BG507" s="76">
        <f t="shared" si="427"/>
        <v>-4.4787297783103641E-2</v>
      </c>
      <c r="BH507" s="76">
        <f t="shared" ref="BH507:BJ508" ca="1" si="430">BH504/BC504-1</f>
        <v>3.4295513003714806E-3</v>
      </c>
      <c r="BI507" s="76">
        <f t="shared" ca="1" si="430"/>
        <v>-2.2551259981249849E-2</v>
      </c>
      <c r="BJ507" s="76">
        <f t="shared" ca="1" si="430"/>
        <v>-3.9418731285143616E-2</v>
      </c>
      <c r="BK507" s="76">
        <f t="shared" si="427"/>
        <v>-5.2397868561278815E-2</v>
      </c>
      <c r="BL507" s="76">
        <f t="shared" si="427"/>
        <v>-3.9360200721342276E-2</v>
      </c>
      <c r="BM507" s="76">
        <f ca="1">BM504/BH504-1</f>
        <v>-3.1614924522927912E-2</v>
      </c>
      <c r="BN507" s="76">
        <f ca="1">BN504/BI504-1</f>
        <v>-4.0628567382938185E-2</v>
      </c>
      <c r="BO507" s="76">
        <f t="shared" si="428"/>
        <v>-5.2199504337050784E-2</v>
      </c>
      <c r="BP507" s="76">
        <f t="shared" si="428"/>
        <v>1.6088722274289369E-2</v>
      </c>
      <c r="BQ507" s="76">
        <f t="shared" si="428"/>
        <v>3.5912504080966023E-3</v>
      </c>
      <c r="BR507" s="76">
        <f t="shared" si="428"/>
        <v>-5.9852941176470553E-2</v>
      </c>
      <c r="BS507" s="76">
        <f t="shared" si="428"/>
        <v>-2.4007136208501367E-2</v>
      </c>
      <c r="BT507" s="76">
        <f t="shared" si="428"/>
        <v>-0.10573623141036115</v>
      </c>
      <c r="BU507" s="76">
        <f t="shared" si="428"/>
        <v>-0.15142198308993082</v>
      </c>
      <c r="BV507" s="76">
        <f t="shared" si="428"/>
        <v>-0.13451528952504876</v>
      </c>
      <c r="BW507" s="76">
        <f t="shared" si="428"/>
        <v>-0.12357265759424374</v>
      </c>
      <c r="BX507" s="76">
        <f t="shared" si="428"/>
        <v>-0.1291078879395986</v>
      </c>
      <c r="BY507" s="76">
        <f t="shared" si="428"/>
        <v>-6.9809941520467822E-2</v>
      </c>
      <c r="BZ507" s="76">
        <f t="shared" si="428"/>
        <v>-3.3152173913043481E-2</v>
      </c>
      <c r="CA507" s="76">
        <f t="shared" si="428"/>
        <v>1.9545198271001762E-2</v>
      </c>
      <c r="CB507" s="76">
        <f t="shared" si="428"/>
        <v>-3.0876316259146885E-2</v>
      </c>
      <c r="CC507" s="76">
        <f t="shared" si="428"/>
        <v>-2.8928636612520542E-2</v>
      </c>
      <c r="CD507" s="76">
        <f t="shared" si="428"/>
        <v>2.9273084479371381E-2</v>
      </c>
      <c r="CE507" s="76">
        <f t="shared" si="428"/>
        <v>5.2838673412029191E-2</v>
      </c>
      <c r="CF507" s="76">
        <f t="shared" si="428"/>
        <v>5.6589861751151993E-2</v>
      </c>
      <c r="CG507" s="76">
        <f t="shared" si="428"/>
        <v>0.12430939226519344</v>
      </c>
      <c r="CH507" s="76">
        <f t="shared" si="428"/>
        <v>6.6394135889484174E-2</v>
      </c>
      <c r="CI507" s="76">
        <f t="shared" si="428"/>
        <v>0.12697079595342631</v>
      </c>
      <c r="CJ507" s="76">
        <f t="shared" si="428"/>
        <v>0.10729667200569515</v>
      </c>
      <c r="CK507" s="76">
        <f t="shared" si="428"/>
        <v>5.4954640614095496E-3</v>
      </c>
      <c r="CL507" s="76">
        <f t="shared" si="428"/>
        <v>1.7362817362817307E-2</v>
      </c>
      <c r="CM507" s="76">
        <f t="shared" si="428"/>
        <v>6.1934346772416937E-2</v>
      </c>
      <c r="CN507" s="76">
        <f t="shared" si="428"/>
        <v>6.7206395447308553E-2</v>
      </c>
      <c r="CO507" s="76">
        <f t="shared" si="428"/>
        <v>6.3340780147543185E-2</v>
      </c>
      <c r="CP507" s="76">
        <f t="shared" si="428"/>
        <v>0.19233104884184948</v>
      </c>
      <c r="CQ507" s="76">
        <f t="shared" si="428"/>
        <v>8.2917404604733624E-2</v>
      </c>
      <c r="CR507" s="76">
        <f>CR504/CM504-1</f>
        <v>0.10018007850426947</v>
      </c>
      <c r="CS507" s="76">
        <f t="shared" si="428"/>
        <v>9.87144897635297E-2</v>
      </c>
      <c r="CT507" s="76">
        <f t="shared" si="428"/>
        <v>-5.7134220072551423E-2</v>
      </c>
      <c r="CU507" s="76">
        <f t="shared" si="428"/>
        <v>7.8579743888242959E-3</v>
      </c>
      <c r="CV507" s="76">
        <f t="shared" si="428"/>
        <v>2.3193577163246992E-2</v>
      </c>
      <c r="CW507" s="76">
        <f t="shared" si="428"/>
        <v>1.712238355647755E-2</v>
      </c>
      <c r="CX507" s="76">
        <f t="shared" si="428"/>
        <v>2.8889209880109679E-3</v>
      </c>
      <c r="CY507" s="76">
        <f t="shared" si="428"/>
        <v>1.009939083039435E-2</v>
      </c>
      <c r="CZ507" s="76">
        <f t="shared" si="428"/>
        <v>-6.9304071614206819E-3</v>
      </c>
      <c r="DA507" s="76">
        <f t="shared" si="428"/>
        <v>5.521650682941015E-2</v>
      </c>
      <c r="DB507" s="76">
        <f>DB504/CW504-1</f>
        <v>1.5388038117839065E-2</v>
      </c>
      <c r="DC507" s="76">
        <f t="shared" si="428"/>
        <v>0.23332853233472561</v>
      </c>
      <c r="DD507" s="76">
        <f t="shared" si="428"/>
        <v>0.32598000317409936</v>
      </c>
      <c r="DE507" s="76">
        <f t="shared" si="428"/>
        <v>0.11035184646699614</v>
      </c>
      <c r="DF507" s="76">
        <f t="shared" si="428"/>
        <v>3.979619939410628E-2</v>
      </c>
      <c r="DG507" s="76">
        <f t="shared" si="428"/>
        <v>0.17243645924627526</v>
      </c>
      <c r="DH507" s="76">
        <f t="shared" si="428"/>
        <v>-0.17342870489314488</v>
      </c>
      <c r="DI507" s="76">
        <f t="shared" si="428"/>
        <v>-0.11262836624775585</v>
      </c>
      <c r="DJ507" s="76">
        <f t="shared" si="428"/>
        <v>-2.9579677883986077E-2</v>
      </c>
      <c r="DK507" s="76">
        <f t="shared" si="428"/>
        <v>-7.9402728115481325E-2</v>
      </c>
      <c r="DL507" s="195">
        <f t="shared" si="428"/>
        <v>-0.10127546253036823</v>
      </c>
      <c r="DM507" s="195">
        <f t="shared" si="429"/>
        <v>6.6084111809443957E-2</v>
      </c>
      <c r="DN507" s="195">
        <f t="shared" si="429"/>
        <v>4.6685013283264576E-2</v>
      </c>
      <c r="DO507" s="195">
        <f t="shared" si="429"/>
        <v>3.1845576372111717E-2</v>
      </c>
      <c r="DP507" s="195">
        <f t="shared" si="429"/>
        <v>3.4528958813234478E-2</v>
      </c>
    </row>
    <row r="508" spans="1:120" ht="17" thickBot="1" x14ac:dyDescent="0.25">
      <c r="A508" s="158" t="s">
        <v>56</v>
      </c>
      <c r="B508" s="159"/>
      <c r="C508" s="159"/>
      <c r="D508" s="159"/>
      <c r="E508" s="159"/>
      <c r="F508" s="159"/>
      <c r="G508" s="160" t="e">
        <f t="shared" si="427"/>
        <v>#REF!</v>
      </c>
      <c r="H508" s="160" t="e">
        <f t="shared" si="427"/>
        <v>#REF!</v>
      </c>
      <c r="I508" s="160" t="e">
        <f t="shared" si="427"/>
        <v>#REF!</v>
      </c>
      <c r="J508" s="160" t="e">
        <f t="shared" si="427"/>
        <v>#REF!</v>
      </c>
      <c r="K508" s="160" t="e">
        <f t="shared" si="427"/>
        <v>#REF!</v>
      </c>
      <c r="L508" s="160" t="e">
        <f t="shared" si="427"/>
        <v>#REF!</v>
      </c>
      <c r="M508" s="160" t="e">
        <f t="shared" si="427"/>
        <v>#REF!</v>
      </c>
      <c r="N508" s="160" t="e">
        <f t="shared" si="427"/>
        <v>#REF!</v>
      </c>
      <c r="O508" s="160" t="e">
        <f t="shared" si="427"/>
        <v>#REF!</v>
      </c>
      <c r="P508" s="160" t="e">
        <f t="shared" si="427"/>
        <v>#REF!</v>
      </c>
      <c r="Q508" s="160" t="e">
        <f t="shared" si="427"/>
        <v>#REF!</v>
      </c>
      <c r="R508" s="160" t="e">
        <f t="shared" si="427"/>
        <v>#REF!</v>
      </c>
      <c r="S508" s="160" t="e">
        <f t="shared" si="427"/>
        <v>#REF!</v>
      </c>
      <c r="T508" s="160" t="e">
        <f t="shared" si="427"/>
        <v>#REF!</v>
      </c>
      <c r="U508" s="160" t="e">
        <f t="shared" si="427"/>
        <v>#REF!</v>
      </c>
      <c r="V508" s="160" t="e">
        <f t="shared" si="427"/>
        <v>#REF!</v>
      </c>
      <c r="W508" s="160" t="e">
        <f t="shared" si="427"/>
        <v>#REF!</v>
      </c>
      <c r="X508" s="160" t="e">
        <f t="shared" si="427"/>
        <v>#REF!</v>
      </c>
      <c r="Y508" s="160" t="e">
        <f t="shared" si="427"/>
        <v>#REF!</v>
      </c>
      <c r="Z508" s="160" t="e">
        <f t="shared" si="427"/>
        <v>#REF!</v>
      </c>
      <c r="AA508" s="160" t="e">
        <f t="shared" si="427"/>
        <v>#REF!</v>
      </c>
      <c r="AB508" s="160" t="e">
        <f t="shared" si="427"/>
        <v>#REF!</v>
      </c>
      <c r="AC508" s="160" t="e">
        <f t="shared" si="427"/>
        <v>#REF!</v>
      </c>
      <c r="AD508" s="160" t="e">
        <f t="shared" si="427"/>
        <v>#REF!</v>
      </c>
      <c r="AE508" s="160" t="e">
        <f t="shared" si="427"/>
        <v>#REF!</v>
      </c>
      <c r="AF508" s="160" t="e">
        <f t="shared" si="427"/>
        <v>#REF!</v>
      </c>
      <c r="AG508" s="160" t="e">
        <f t="shared" si="427"/>
        <v>#REF!</v>
      </c>
      <c r="AH508" s="160" t="e">
        <f t="shared" si="427"/>
        <v>#REF!</v>
      </c>
      <c r="AI508" s="160" t="e">
        <f t="shared" si="427"/>
        <v>#REF!</v>
      </c>
      <c r="AJ508" s="160" t="e">
        <f t="shared" si="427"/>
        <v>#REF!</v>
      </c>
      <c r="AK508" s="160" t="e">
        <f t="shared" si="427"/>
        <v>#REF!</v>
      </c>
      <c r="AL508" s="160" t="e">
        <f t="shared" si="427"/>
        <v>#REF!</v>
      </c>
      <c r="AM508" s="160" t="e">
        <f t="shared" si="427"/>
        <v>#REF!</v>
      </c>
      <c r="AN508" s="160" t="e">
        <f t="shared" si="427"/>
        <v>#REF!</v>
      </c>
      <c r="AO508" s="160" t="e">
        <f t="shared" si="427"/>
        <v>#REF!</v>
      </c>
      <c r="AP508" s="160" t="e">
        <f t="shared" si="427"/>
        <v>#REF!</v>
      </c>
      <c r="AQ508" s="160" t="e">
        <f t="shared" si="427"/>
        <v>#REF!</v>
      </c>
      <c r="AR508" s="160" t="e">
        <f t="shared" si="427"/>
        <v>#REF!</v>
      </c>
      <c r="AS508" s="160" t="e">
        <f t="shared" si="427"/>
        <v>#REF!</v>
      </c>
      <c r="AT508" s="160" t="e">
        <f t="shared" si="427"/>
        <v>#REF!</v>
      </c>
      <c r="AU508" s="160" t="e">
        <f t="shared" si="427"/>
        <v>#REF!</v>
      </c>
      <c r="AV508" s="160" t="e">
        <f t="shared" si="427"/>
        <v>#REF!</v>
      </c>
      <c r="AW508" s="160" t="e">
        <f t="shared" si="427"/>
        <v>#REF!</v>
      </c>
      <c r="AX508" s="160" t="e">
        <f t="shared" si="427"/>
        <v>#REF!</v>
      </c>
      <c r="AY508" s="160" t="e">
        <f t="shared" si="427"/>
        <v>#REF!</v>
      </c>
      <c r="AZ508" s="160">
        <f t="shared" si="427"/>
        <v>9.0168957366716374E-3</v>
      </c>
      <c r="BA508" s="160">
        <f t="shared" si="427"/>
        <v>7.0861977789529407E-2</v>
      </c>
      <c r="BB508" s="160">
        <f t="shared" si="427"/>
        <v>8.0449438202247148E-2</v>
      </c>
      <c r="BC508" s="160">
        <f t="shared" si="427"/>
        <v>1.6561931536299035E-2</v>
      </c>
      <c r="BD508" s="160">
        <f t="shared" si="427"/>
        <v>4.3539619031051746E-2</v>
      </c>
      <c r="BE508" s="160">
        <f ca="1">BE505/AZ505-1</f>
        <v>1.7753822276206366E-2</v>
      </c>
      <c r="BF508" s="160">
        <f t="shared" si="427"/>
        <v>1.3251028806584353E-2</v>
      </c>
      <c r="BG508" s="160">
        <f t="shared" si="427"/>
        <v>-4.4259567387687215E-2</v>
      </c>
      <c r="BH508" s="160">
        <f t="shared" ca="1" si="430"/>
        <v>-4.5248611145002116E-2</v>
      </c>
      <c r="BI508" s="160">
        <f t="shared" ca="1" si="430"/>
        <v>-1.5058656529432946E-2</v>
      </c>
      <c r="BJ508" s="160">
        <f t="shared" ca="1" si="430"/>
        <v>-9.0330229951170127E-2</v>
      </c>
      <c r="BK508" s="160">
        <f t="shared" si="427"/>
        <v>-0.10567784907806033</v>
      </c>
      <c r="BL508" s="160">
        <f t="shared" si="427"/>
        <v>-3.9867688022284131E-2</v>
      </c>
      <c r="BM508" s="160">
        <f ca="1">BM505/BH505-1</f>
        <v>-3.5696029988072975E-2</v>
      </c>
      <c r="BN508" s="160">
        <f ca="1">BN505/BI505-1</f>
        <v>-6.8432255172041434E-2</v>
      </c>
      <c r="BO508" s="160">
        <f t="shared" si="428"/>
        <v>-3.8140755318151975E-2</v>
      </c>
      <c r="BP508" s="160">
        <f t="shared" si="428"/>
        <v>-6.9028156221616621E-3</v>
      </c>
      <c r="BQ508" s="160">
        <f t="shared" si="428"/>
        <v>-4.2883046237534028E-2</v>
      </c>
      <c r="BR508" s="160">
        <f t="shared" si="428"/>
        <v>-7.3946461701563715E-2</v>
      </c>
      <c r="BS508" s="160">
        <f t="shared" si="428"/>
        <v>-4.0787591124838207E-2</v>
      </c>
      <c r="BT508" s="160">
        <f t="shared" si="428"/>
        <v>-8.1742010911925123E-2</v>
      </c>
      <c r="BU508" s="160">
        <f t="shared" si="428"/>
        <v>-0.10508505578928118</v>
      </c>
      <c r="BV508" s="160">
        <f t="shared" si="428"/>
        <v>-4.5846357866818233E-2</v>
      </c>
      <c r="BW508" s="160">
        <f t="shared" si="428"/>
        <v>-2.5472238122495661E-2</v>
      </c>
      <c r="BX508" s="160">
        <f t="shared" si="428"/>
        <v>-6.4848355707081473E-2</v>
      </c>
      <c r="BY508" s="160">
        <f t="shared" si="428"/>
        <v>-1.198938992042442E-2</v>
      </c>
      <c r="BZ508" s="160">
        <f t="shared" si="428"/>
        <v>6.0296371997956566E-3</v>
      </c>
      <c r="CA508" s="160">
        <f t="shared" si="428"/>
        <v>4.5964459446043771E-2</v>
      </c>
      <c r="CB508" s="160">
        <f t="shared" si="428"/>
        <v>-9.7895252080274497E-3</v>
      </c>
      <c r="CC508" s="160">
        <f t="shared" si="428"/>
        <v>7.8231809205528968E-3</v>
      </c>
      <c r="CD508" s="160">
        <f t="shared" si="428"/>
        <v>1.3101374570446689E-2</v>
      </c>
      <c r="CE508" s="160">
        <f t="shared" si="428"/>
        <v>8.7362860625761485E-3</v>
      </c>
      <c r="CF508" s="160">
        <f t="shared" si="428"/>
        <v>-2.0026575550493586E-2</v>
      </c>
      <c r="CG508" s="160">
        <f t="shared" si="428"/>
        <v>3.1438457736035597E-2</v>
      </c>
      <c r="CH508" s="160">
        <f t="shared" si="428"/>
        <v>7.9383023086392335E-3</v>
      </c>
      <c r="CI508" s="160">
        <f t="shared" si="428"/>
        <v>6.389654441382242E-2</v>
      </c>
      <c r="CJ508" s="160">
        <f t="shared" si="428"/>
        <v>5.3856998992950711E-2</v>
      </c>
      <c r="CK508" s="160">
        <f t="shared" si="428"/>
        <v>4.5326876513317238E-2</v>
      </c>
      <c r="CL508" s="160">
        <f t="shared" si="428"/>
        <v>5.4155084826991384E-2</v>
      </c>
      <c r="CM508" s="160">
        <f>CM505/CH505-1</f>
        <v>5.4073723300850141E-2</v>
      </c>
      <c r="CN508" s="160">
        <f t="shared" si="428"/>
        <v>7.7634305754822108E-2</v>
      </c>
      <c r="CO508" s="160">
        <f t="shared" si="428"/>
        <v>0.12376729607828141</v>
      </c>
      <c r="CP508" s="160">
        <f t="shared" si="428"/>
        <v>0.14861484295376637</v>
      </c>
      <c r="CQ508" s="160">
        <f t="shared" si="428"/>
        <v>7.9105291871249372E-2</v>
      </c>
      <c r="CR508" s="160">
        <f>CR505/CM505-1</f>
        <v>0.107522356156869</v>
      </c>
      <c r="CS508" s="160">
        <f t="shared" si="428"/>
        <v>0.11473742603550297</v>
      </c>
      <c r="CT508" s="160">
        <f t="shared" si="428"/>
        <v>-7.551020408163267E-2</v>
      </c>
      <c r="CU508" s="160">
        <f t="shared" si="428"/>
        <v>1.2422360248447228E-2</v>
      </c>
      <c r="CV508" s="160">
        <f t="shared" si="428"/>
        <v>5.4432086282440117E-2</v>
      </c>
      <c r="CW508" s="160">
        <f t="shared" si="428"/>
        <v>2.4637062339880389E-2</v>
      </c>
      <c r="CX508" s="160">
        <f t="shared" si="428"/>
        <v>2.7287053164136932E-2</v>
      </c>
      <c r="CY508" s="160">
        <f t="shared" si="428"/>
        <v>4.8657100809418763E-2</v>
      </c>
      <c r="CZ508" s="160">
        <f t="shared" si="428"/>
        <v>4.8043980559318022E-2</v>
      </c>
      <c r="DA508" s="160">
        <f t="shared" si="428"/>
        <v>8.046987374140957E-2</v>
      </c>
      <c r="DB508" s="160">
        <f>DB505/CW505-1</f>
        <v>5.1423094553485926E-2</v>
      </c>
      <c r="DC508" s="160">
        <f t="shared" si="428"/>
        <v>0.28386888422412393</v>
      </c>
      <c r="DD508" s="160">
        <f t="shared" si="428"/>
        <v>0.27997544075081127</v>
      </c>
      <c r="DE508" s="160">
        <f t="shared" si="428"/>
        <v>0.1372206173027215</v>
      </c>
      <c r="DF508" s="160">
        <f t="shared" si="428"/>
        <v>2.2853339250055393E-2</v>
      </c>
      <c r="DG508" s="160">
        <f t="shared" si="428"/>
        <v>0.17482462050651981</v>
      </c>
      <c r="DH508" s="160">
        <f t="shared" si="428"/>
        <v>-0.13662055087410385</v>
      </c>
      <c r="DI508" s="160">
        <f t="shared" si="428"/>
        <v>-1.3050777770164057E-2</v>
      </c>
      <c r="DJ508" s="160">
        <f t="shared" si="428"/>
        <v>3.1548900327561968E-2</v>
      </c>
      <c r="DK508" s="160">
        <f t="shared" si="428"/>
        <v>6.3687635574838364E-3</v>
      </c>
      <c r="DL508" s="210">
        <f t="shared" si="428"/>
        <v>-3.0412421563997039E-2</v>
      </c>
      <c r="DM508" s="210">
        <f t="shared" si="429"/>
        <v>6.7963860830434042E-2</v>
      </c>
      <c r="DN508" s="210">
        <f t="shared" si="429"/>
        <v>5.1766983839984571E-2</v>
      </c>
      <c r="DO508" s="210">
        <f t="shared" si="429"/>
        <v>2.2571567078902621E-2</v>
      </c>
      <c r="DP508" s="210">
        <f t="shared" si="429"/>
        <v>2.6747154040685395E-2</v>
      </c>
    </row>
    <row r="509" spans="1:120" x14ac:dyDescent="0.2">
      <c r="A509" s="66"/>
      <c r="B509" s="31"/>
      <c r="C509" s="31"/>
      <c r="D509" s="31"/>
      <c r="E509" s="31"/>
      <c r="F509" s="31"/>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c r="BP509" s="69"/>
      <c r="BQ509" s="69"/>
      <c r="BR509" s="69"/>
      <c r="BS509" s="69"/>
      <c r="BT509" s="69"/>
      <c r="BU509" s="69"/>
      <c r="BV509" s="69"/>
      <c r="BW509" s="69"/>
      <c r="BX509" s="69"/>
      <c r="BY509" s="69"/>
      <c r="BZ509" s="69"/>
      <c r="CA509" s="69"/>
      <c r="CB509" s="69"/>
      <c r="CC509" s="69"/>
      <c r="CD509" s="69"/>
      <c r="CE509" s="69"/>
      <c r="CF509" s="69"/>
      <c r="CG509" s="69"/>
      <c r="CH509" s="69"/>
      <c r="CI509" s="69"/>
      <c r="CJ509" s="69"/>
      <c r="CK509" s="69"/>
      <c r="CL509" s="69"/>
      <c r="CM509" s="69"/>
      <c r="CN509" s="69"/>
      <c r="CO509" s="69"/>
      <c r="CP509" s="69"/>
      <c r="CQ509" s="69"/>
      <c r="CR509" s="69"/>
      <c r="CS509" s="69"/>
      <c r="CT509" s="69"/>
      <c r="CU509" s="69"/>
      <c r="CV509" s="69"/>
      <c r="CW509" s="69"/>
      <c r="CX509" s="69"/>
      <c r="CY509" s="69"/>
      <c r="CZ509" s="69"/>
      <c r="DA509" s="69"/>
      <c r="DB509" s="69"/>
      <c r="DC509" s="69"/>
      <c r="DD509" s="69"/>
      <c r="DE509" s="69"/>
      <c r="DF509" s="69"/>
      <c r="DG509" s="69"/>
      <c r="DH509" s="69"/>
      <c r="DI509" s="69"/>
      <c r="DJ509" s="69"/>
      <c r="DK509" s="69"/>
      <c r="DL509" s="69"/>
      <c r="DM509" s="69"/>
      <c r="DN509" s="69"/>
      <c r="DO509" s="69"/>
      <c r="DP509" s="69"/>
    </row>
    <row r="510" spans="1:120" x14ac:dyDescent="0.2">
      <c r="A510" s="66" t="s">
        <v>332</v>
      </c>
      <c r="B510" s="31"/>
      <c r="C510" s="31"/>
      <c r="D510" s="31"/>
      <c r="E510" s="31"/>
      <c r="F510" s="31"/>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c r="BT510" s="69"/>
      <c r="BU510" s="69"/>
      <c r="BV510" s="69"/>
      <c r="BW510" s="69"/>
      <c r="BX510" s="69"/>
      <c r="BY510" s="69"/>
      <c r="BZ510" s="69"/>
      <c r="CA510" s="69"/>
      <c r="CB510" s="69"/>
      <c r="CC510" s="69"/>
      <c r="CD510" s="69"/>
      <c r="CE510" s="69"/>
      <c r="CF510" s="69"/>
      <c r="CG510" s="69"/>
      <c r="CH510" s="140">
        <f>CH49+CH43+CH73+CH55+CH61</f>
        <v>6157</v>
      </c>
      <c r="CI510" s="69"/>
      <c r="CJ510" s="69"/>
      <c r="CK510" s="69"/>
      <c r="CL510" s="69"/>
      <c r="CM510" s="69"/>
      <c r="CN510" s="69"/>
      <c r="CO510" s="69"/>
      <c r="CP510" s="69"/>
      <c r="CQ510" s="69"/>
      <c r="CR510" s="69"/>
      <c r="CS510" s="69"/>
      <c r="CT510" s="69"/>
      <c r="CU510" s="69"/>
      <c r="CV510" s="69"/>
      <c r="CW510" s="69"/>
      <c r="CX510" s="69"/>
      <c r="CY510" s="69"/>
      <c r="CZ510" s="69"/>
      <c r="DA510" s="69"/>
      <c r="DB510" s="69"/>
      <c r="DC510" s="69"/>
      <c r="DD510" s="69"/>
      <c r="DE510" s="69"/>
      <c r="DF510" s="69"/>
      <c r="DG510" s="69"/>
      <c r="DH510" s="69"/>
      <c r="DI510" s="69"/>
      <c r="DJ510" s="69"/>
      <c r="DK510" s="69"/>
      <c r="DL510" s="69"/>
      <c r="DM510" s="69"/>
      <c r="DN510" s="69"/>
      <c r="DO510" s="69"/>
      <c r="DP510" s="69"/>
    </row>
    <row r="511" spans="1:120" x14ac:dyDescent="0.2">
      <c r="A511" s="66" t="s">
        <v>333</v>
      </c>
      <c r="B511" s="31"/>
      <c r="C511" s="31"/>
      <c r="D511" s="31"/>
      <c r="E511" s="31"/>
      <c r="F511" s="31"/>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c r="BT511" s="69"/>
      <c r="BU511" s="69"/>
      <c r="BV511" s="69"/>
      <c r="BW511" s="69"/>
      <c r="BX511" s="69"/>
      <c r="BY511" s="69"/>
      <c r="BZ511" s="69"/>
      <c r="CA511" s="69"/>
      <c r="CB511" s="69"/>
      <c r="CC511" s="69"/>
      <c r="CD511" s="69"/>
      <c r="CE511" s="69"/>
      <c r="CF511" s="69"/>
      <c r="CG511" s="69"/>
      <c r="CH511" s="69">
        <f>CH510/CH505</f>
        <v>0.15345313162026766</v>
      </c>
      <c r="CI511" s="69"/>
      <c r="CJ511" s="69"/>
      <c r="CK511" s="69"/>
      <c r="CL511" s="69"/>
      <c r="CM511" s="69"/>
      <c r="CN511" s="69"/>
      <c r="CO511" s="69"/>
      <c r="CP511" s="69"/>
      <c r="CQ511" s="69"/>
      <c r="CR511" s="69"/>
      <c r="CS511" s="69"/>
      <c r="CT511" s="69"/>
      <c r="CU511" s="69"/>
      <c r="CV511" s="69"/>
      <c r="CW511" s="69"/>
      <c r="CX511" s="69"/>
      <c r="CY511" s="69"/>
      <c r="CZ511" s="69"/>
      <c r="DA511" s="69"/>
      <c r="DB511" s="69"/>
      <c r="DC511" s="69"/>
      <c r="DD511" s="69"/>
      <c r="DE511" s="69"/>
      <c r="DF511" s="69"/>
      <c r="DG511" s="69"/>
      <c r="DH511" s="69"/>
      <c r="DI511" s="69"/>
      <c r="DJ511" s="69"/>
      <c r="DK511" s="69"/>
      <c r="DL511" s="69"/>
      <c r="DM511" s="69"/>
      <c r="DN511" s="69"/>
      <c r="DO511" s="69"/>
      <c r="DP511" s="69"/>
    </row>
    <row r="512" spans="1:120" x14ac:dyDescent="0.2">
      <c r="A512" s="66"/>
      <c r="B512" s="31"/>
      <c r="C512" s="31"/>
      <c r="D512" s="31"/>
      <c r="E512" s="31"/>
      <c r="F512" s="31"/>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c r="BP512" s="69"/>
      <c r="BQ512" s="69"/>
      <c r="BR512" s="69"/>
      <c r="BS512" s="69"/>
      <c r="BT512" s="69"/>
      <c r="BU512" s="69"/>
      <c r="BV512" s="69"/>
      <c r="BW512" s="69"/>
      <c r="BX512" s="69"/>
      <c r="BY512" s="69"/>
      <c r="BZ512" s="69"/>
      <c r="CA512" s="69"/>
      <c r="CB512" s="69"/>
      <c r="CC512" s="69"/>
      <c r="CD512" s="69"/>
      <c r="CE512" s="69"/>
      <c r="CF512" s="69"/>
      <c r="CG512" s="69"/>
      <c r="CH512" s="69"/>
      <c r="CI512" s="69"/>
      <c r="CJ512" s="69"/>
      <c r="CK512" s="69"/>
      <c r="CL512" s="69"/>
      <c r="CM512" s="69"/>
      <c r="CN512" s="69"/>
      <c r="CO512" s="69"/>
      <c r="CP512" s="69"/>
      <c r="CQ512" s="69"/>
      <c r="CR512" s="69"/>
      <c r="CS512" s="69"/>
      <c r="CT512" s="69"/>
      <c r="CU512" s="69"/>
      <c r="CV512" s="69"/>
      <c r="CW512" s="69"/>
      <c r="CX512" s="69"/>
      <c r="CY512" s="69"/>
      <c r="CZ512" s="69"/>
      <c r="DA512" s="69"/>
      <c r="DB512" s="69"/>
      <c r="DC512" s="69"/>
      <c r="DD512" s="69"/>
      <c r="DE512" s="69"/>
      <c r="DF512" s="69"/>
      <c r="DG512" s="69"/>
      <c r="DH512" s="69"/>
      <c r="DI512" s="69"/>
      <c r="DJ512" s="69"/>
      <c r="DK512" s="69"/>
      <c r="DL512" s="69"/>
      <c r="DM512" s="69"/>
      <c r="DN512" s="69"/>
      <c r="DO512" s="69"/>
      <c r="DP512" s="69"/>
    </row>
    <row r="513" spans="1:120" x14ac:dyDescent="0.2">
      <c r="A513" s="302" t="s">
        <v>559</v>
      </c>
      <c r="B513" s="31"/>
      <c r="C513" s="31"/>
      <c r="D513" s="31"/>
      <c r="E513" s="31"/>
      <c r="F513" s="31"/>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c r="BT513" s="69"/>
      <c r="BU513" s="69"/>
      <c r="BV513" s="69"/>
      <c r="BW513" s="69"/>
      <c r="BX513" s="69"/>
      <c r="BY513" s="69"/>
      <c r="BZ513" s="69"/>
      <c r="CA513" s="69"/>
      <c r="CB513" s="69"/>
      <c r="CC513" s="69"/>
      <c r="CD513" s="69"/>
      <c r="CE513" s="69"/>
      <c r="CF513" s="69"/>
      <c r="CG513" s="69"/>
      <c r="CH513" s="69"/>
      <c r="CI513" s="69"/>
      <c r="CJ513" s="69"/>
      <c r="CK513" s="69"/>
      <c r="CL513" s="69"/>
      <c r="CM513" s="69"/>
      <c r="CN513" s="69"/>
      <c r="CO513" s="69"/>
      <c r="CP513" s="69"/>
      <c r="CQ513" s="69"/>
      <c r="CR513" s="69"/>
      <c r="CS513" s="69"/>
      <c r="CT513" s="69"/>
      <c r="CU513" s="69"/>
      <c r="CV513" s="69"/>
      <c r="CW513" s="69"/>
      <c r="CX513" s="69"/>
      <c r="CY513" s="69"/>
      <c r="CZ513" s="69"/>
      <c r="DA513" s="69"/>
      <c r="DB513" s="69"/>
      <c r="DC513" s="69"/>
      <c r="DD513" s="69"/>
      <c r="DE513" s="69"/>
      <c r="DF513" s="69"/>
      <c r="DG513" s="69"/>
      <c r="DH513" s="69"/>
      <c r="DI513" s="69"/>
      <c r="DJ513" s="69"/>
      <c r="DK513" s="69"/>
      <c r="DL513" s="69"/>
      <c r="DM513" s="69"/>
      <c r="DN513" s="69"/>
      <c r="DO513" s="69"/>
      <c r="DP513" s="69"/>
    </row>
    <row r="514" spans="1:120" x14ac:dyDescent="0.2">
      <c r="A514" s="66"/>
      <c r="B514" s="31"/>
      <c r="C514" s="31"/>
      <c r="D514" s="31"/>
      <c r="E514" s="31"/>
      <c r="F514" s="31"/>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c r="BT514" s="69"/>
      <c r="BU514" s="69"/>
      <c r="BV514" s="69"/>
      <c r="BW514" s="69"/>
      <c r="BX514" s="69"/>
      <c r="BY514" s="69"/>
      <c r="BZ514" s="69"/>
      <c r="CA514" s="69"/>
      <c r="CB514" s="69"/>
      <c r="CC514" s="69"/>
      <c r="CD514" s="69"/>
      <c r="CE514" s="69"/>
      <c r="CF514" s="69"/>
      <c r="CG514" s="69"/>
      <c r="CH514" s="69"/>
      <c r="CI514" s="69"/>
      <c r="CJ514" s="69"/>
      <c r="CK514" s="69"/>
      <c r="CL514" s="69"/>
      <c r="CM514" s="69"/>
      <c r="CN514" s="69"/>
      <c r="CO514" s="69"/>
      <c r="CP514" s="69"/>
      <c r="CQ514" s="69"/>
      <c r="CR514" s="69"/>
      <c r="CS514" s="69"/>
      <c r="CT514" s="69"/>
      <c r="CU514" s="69"/>
      <c r="CV514" s="69"/>
      <c r="CW514" s="69"/>
      <c r="CX514" s="69"/>
      <c r="CY514" s="69"/>
      <c r="CZ514" s="69"/>
      <c r="DA514" s="69"/>
      <c r="DB514" s="69"/>
      <c r="DC514" s="69"/>
      <c r="DD514" s="69"/>
      <c r="DE514" s="69"/>
      <c r="DF514" s="69"/>
      <c r="DG514" s="69"/>
      <c r="DH514" s="69"/>
      <c r="DI514" s="69"/>
      <c r="DJ514" s="69"/>
      <c r="DK514" s="69"/>
      <c r="DL514" s="69"/>
      <c r="DM514" s="69"/>
      <c r="DN514" s="69"/>
      <c r="DO514" s="69"/>
      <c r="DP514" s="69"/>
    </row>
    <row r="515" spans="1:120" x14ac:dyDescent="0.2">
      <c r="A515" s="66"/>
      <c r="B515" s="31"/>
      <c r="C515" s="31"/>
      <c r="D515" s="31"/>
      <c r="E515" s="31"/>
      <c r="F515" s="31"/>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c r="AW515" s="69"/>
      <c r="AX515" s="69"/>
      <c r="AY515" s="69"/>
      <c r="AZ515" s="69"/>
      <c r="BA515" s="69"/>
      <c r="BB515" s="69"/>
      <c r="BC515" s="69"/>
      <c r="BD515" s="69"/>
      <c r="BE515" s="69"/>
      <c r="BF515" s="69"/>
      <c r="BG515" s="69"/>
      <c r="BH515" s="69"/>
      <c r="BI515" s="69"/>
      <c r="BJ515" s="69"/>
      <c r="BK515" s="69"/>
      <c r="BL515" s="69"/>
      <c r="BM515" s="69"/>
      <c r="BN515" s="69"/>
      <c r="BO515" s="69"/>
      <c r="BP515" s="69"/>
      <c r="BQ515" s="69"/>
      <c r="BR515" s="69"/>
      <c r="BS515" s="69"/>
      <c r="BT515" s="69"/>
      <c r="BU515" s="69"/>
      <c r="BV515" s="69"/>
      <c r="BW515" s="69"/>
      <c r="BX515" s="69"/>
      <c r="BY515" s="69"/>
      <c r="BZ515" s="69"/>
      <c r="CA515" s="69"/>
      <c r="CB515" s="69"/>
      <c r="CC515" s="69"/>
      <c r="CD515" s="69"/>
      <c r="CE515" s="69"/>
      <c r="CF515" s="69"/>
      <c r="CG515" s="69"/>
      <c r="CH515" s="69"/>
      <c r="CI515" s="69"/>
      <c r="CJ515" s="69"/>
      <c r="CK515" s="69"/>
      <c r="CL515" s="69"/>
      <c r="CM515" s="69"/>
      <c r="CN515" s="69"/>
      <c r="CO515" s="69"/>
      <c r="CP515" s="69"/>
      <c r="CQ515" s="69"/>
      <c r="CR515" s="69"/>
      <c r="CS515" s="69"/>
      <c r="CT515" s="69"/>
      <c r="CU515" s="69"/>
      <c r="CV515" s="69"/>
      <c r="CW515" s="69"/>
      <c r="CX515" s="69"/>
      <c r="CY515" s="69"/>
      <c r="CZ515" s="69"/>
      <c r="DA515" s="69"/>
      <c r="DB515" s="69"/>
      <c r="DC515" s="69"/>
      <c r="DD515" s="69"/>
      <c r="DE515" s="69"/>
      <c r="DF515" s="69"/>
      <c r="DG515" s="69"/>
      <c r="DH515" s="69"/>
      <c r="DI515" s="69"/>
      <c r="DJ515" s="69"/>
      <c r="DK515" s="69"/>
      <c r="DL515" s="69"/>
      <c r="DM515" s="69"/>
      <c r="DN515" s="69"/>
      <c r="DO515" s="69"/>
      <c r="DP515" s="69"/>
    </row>
    <row r="516" spans="1:120" x14ac:dyDescent="0.2">
      <c r="A516" s="66"/>
      <c r="B516" s="31"/>
      <c r="C516" s="31"/>
      <c r="D516" s="31"/>
      <c r="E516" s="31"/>
      <c r="F516" s="31"/>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c r="BT516" s="69"/>
      <c r="BU516" s="69"/>
      <c r="BV516" s="69"/>
      <c r="BW516" s="69"/>
      <c r="BX516" s="69"/>
      <c r="BY516" s="69"/>
      <c r="BZ516" s="69"/>
      <c r="CA516" s="69"/>
      <c r="CB516" s="69"/>
      <c r="CC516" s="69"/>
      <c r="CD516" s="69"/>
      <c r="CE516" s="69"/>
      <c r="CF516" s="69"/>
      <c r="CG516" s="69"/>
      <c r="CH516" s="69"/>
      <c r="CI516" s="69"/>
      <c r="CJ516" s="69"/>
      <c r="CK516" s="69"/>
      <c r="CL516" s="69"/>
      <c r="CM516" s="69"/>
      <c r="CN516" s="69"/>
      <c r="CO516" s="69"/>
      <c r="CP516" s="69"/>
      <c r="CQ516" s="69"/>
      <c r="CR516" s="69"/>
      <c r="CS516" s="69"/>
      <c r="CT516" s="69"/>
      <c r="CU516" s="69"/>
      <c r="CV516" s="69"/>
      <c r="CW516" s="69"/>
      <c r="CX516" s="69"/>
      <c r="CY516" s="69"/>
      <c r="CZ516" s="69"/>
      <c r="DA516" s="69"/>
      <c r="DB516" s="69"/>
      <c r="DC516" s="69"/>
      <c r="DD516" s="69"/>
      <c r="DE516" s="69"/>
      <c r="DF516" s="69"/>
      <c r="DG516" s="69"/>
      <c r="DH516" s="69"/>
      <c r="DI516" s="69"/>
      <c r="DJ516" s="69"/>
      <c r="DK516" s="69"/>
      <c r="DL516" s="69"/>
      <c r="DM516" s="69"/>
      <c r="DN516" s="69"/>
      <c r="DO516" s="69"/>
      <c r="DP516" s="69"/>
    </row>
    <row r="517" spans="1:120" x14ac:dyDescent="0.2">
      <c r="A517" s="66"/>
      <c r="B517" s="31"/>
      <c r="C517" s="31"/>
      <c r="D517" s="31"/>
      <c r="E517" s="31"/>
      <c r="F517" s="31"/>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c r="BT517" s="69"/>
      <c r="BU517" s="69"/>
      <c r="BV517" s="69"/>
      <c r="BW517" s="69"/>
      <c r="BX517" s="69"/>
      <c r="BY517" s="69"/>
      <c r="BZ517" s="69"/>
      <c r="CA517" s="69"/>
      <c r="CB517" s="69"/>
      <c r="CC517" s="69"/>
      <c r="CD517" s="69"/>
      <c r="CE517" s="69"/>
      <c r="CF517" s="69"/>
      <c r="CG517" s="69"/>
      <c r="CH517" s="69"/>
      <c r="CI517" s="69"/>
      <c r="CJ517" s="69"/>
      <c r="CK517" s="69"/>
      <c r="CL517" s="69"/>
      <c r="CM517" s="69"/>
      <c r="CN517" s="69"/>
      <c r="CO517" s="69"/>
      <c r="CP517" s="69"/>
      <c r="CQ517" s="69"/>
      <c r="CR517" s="69"/>
      <c r="CS517" s="69"/>
      <c r="CT517" s="69"/>
      <c r="CU517" s="69"/>
      <c r="CV517" s="69"/>
      <c r="CW517" s="69"/>
      <c r="CX517" s="69"/>
      <c r="CY517" s="69"/>
      <c r="CZ517" s="69"/>
      <c r="DA517" s="69"/>
      <c r="DB517" s="69"/>
      <c r="DC517" s="69"/>
      <c r="DD517" s="69"/>
      <c r="DE517" s="69"/>
      <c r="DF517" s="69"/>
      <c r="DG517" s="69"/>
      <c r="DH517" s="69"/>
      <c r="DI517" s="69"/>
      <c r="DJ517" s="69"/>
      <c r="DK517" s="69"/>
      <c r="DL517" s="69"/>
      <c r="DM517" s="69"/>
      <c r="DN517" s="69"/>
      <c r="DO517" s="69"/>
      <c r="DP517" s="69"/>
    </row>
    <row r="518" spans="1:120" x14ac:dyDescent="0.2">
      <c r="A518" s="66"/>
      <c r="B518" s="31"/>
      <c r="C518" s="31"/>
      <c r="D518" s="31"/>
      <c r="E518" s="31"/>
      <c r="F518" s="31"/>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c r="AW518" s="69"/>
      <c r="AX518" s="69"/>
      <c r="AY518" s="69"/>
      <c r="AZ518" s="69"/>
      <c r="BA518" s="69"/>
      <c r="BB518" s="69"/>
      <c r="BC518" s="69"/>
      <c r="BD518" s="69"/>
      <c r="BE518" s="69"/>
      <c r="BF518" s="69"/>
      <c r="BG518" s="69"/>
      <c r="BH518" s="69"/>
      <c r="BI518" s="69"/>
      <c r="BJ518" s="69"/>
      <c r="BK518" s="69"/>
      <c r="BL518" s="69"/>
      <c r="BM518" s="69"/>
      <c r="BN518" s="69"/>
      <c r="BO518" s="69"/>
      <c r="BP518" s="69"/>
      <c r="BQ518" s="69"/>
      <c r="BR518" s="69"/>
      <c r="BS518" s="69"/>
      <c r="BT518" s="69"/>
      <c r="BU518" s="69"/>
      <c r="BV518" s="69"/>
      <c r="BW518" s="69"/>
      <c r="BX518" s="69"/>
      <c r="BY518" s="69"/>
      <c r="BZ518" s="69"/>
      <c r="CA518" s="69"/>
      <c r="CB518" s="69"/>
      <c r="CC518" s="69"/>
      <c r="CD518" s="69"/>
      <c r="CE518" s="69"/>
      <c r="CF518" s="69"/>
      <c r="CG518" s="69"/>
      <c r="CH518" s="69"/>
      <c r="CI518" s="69"/>
      <c r="CJ518" s="69"/>
      <c r="CK518" s="69"/>
      <c r="CL518" s="69"/>
      <c r="CM518" s="69"/>
      <c r="CN518" s="69"/>
      <c r="CO518" s="69"/>
      <c r="CP518" s="69"/>
      <c r="CQ518" s="69"/>
      <c r="CR518" s="69"/>
      <c r="CS518" s="69"/>
      <c r="CT518" s="69"/>
      <c r="CU518" s="69"/>
      <c r="CV518" s="69"/>
      <c r="CW518" s="69"/>
      <c r="CX518" s="69"/>
      <c r="CY518" s="69"/>
      <c r="CZ518" s="69"/>
      <c r="DA518" s="69"/>
      <c r="DB518" s="69"/>
      <c r="DC518" s="69"/>
      <c r="DD518" s="69"/>
      <c r="DE518" s="69"/>
      <c r="DF518" s="69"/>
      <c r="DG518" s="69"/>
      <c r="DH518" s="69"/>
      <c r="DI518" s="69"/>
      <c r="DJ518" s="69"/>
      <c r="DK518" s="69"/>
      <c r="DL518" s="69"/>
      <c r="DM518" s="69"/>
      <c r="DN518" s="69"/>
      <c r="DO518" s="69"/>
      <c r="DP518" s="69"/>
    </row>
    <row r="519" spans="1:120" x14ac:dyDescent="0.2">
      <c r="A519" s="66"/>
      <c r="B519" s="31"/>
      <c r="C519" s="31"/>
      <c r="D519" s="31"/>
      <c r="E519" s="31"/>
      <c r="F519" s="31"/>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c r="AW519" s="69"/>
      <c r="AX519" s="69"/>
      <c r="AY519" s="69"/>
      <c r="AZ519" s="69"/>
      <c r="BA519" s="69"/>
      <c r="BB519" s="69"/>
      <c r="BC519" s="69"/>
      <c r="BD519" s="69"/>
      <c r="BE519" s="69"/>
      <c r="BF519" s="69"/>
      <c r="BG519" s="69"/>
      <c r="BH519" s="69"/>
      <c r="BI519" s="69"/>
      <c r="BJ519" s="69"/>
      <c r="BK519" s="69"/>
      <c r="BL519" s="69"/>
      <c r="BM519" s="69"/>
      <c r="BN519" s="69"/>
      <c r="BO519" s="69"/>
      <c r="BP519" s="69"/>
      <c r="BQ519" s="69"/>
      <c r="BR519" s="69"/>
      <c r="BS519" s="69"/>
      <c r="BT519" s="69"/>
      <c r="BU519" s="69"/>
      <c r="BV519" s="69"/>
      <c r="BW519" s="69"/>
      <c r="BX519" s="69"/>
      <c r="BY519" s="69"/>
      <c r="BZ519" s="69"/>
      <c r="CA519" s="69"/>
      <c r="CB519" s="69"/>
      <c r="CC519" s="69"/>
      <c r="CD519" s="69"/>
      <c r="CE519" s="69"/>
      <c r="CF519" s="69"/>
      <c r="CG519" s="69"/>
      <c r="CH519" s="69"/>
      <c r="CI519" s="69"/>
      <c r="CJ519" s="69"/>
      <c r="CK519" s="69"/>
      <c r="CL519" s="69"/>
      <c r="CM519" s="69"/>
      <c r="CN519" s="69"/>
      <c r="CO519" s="69"/>
      <c r="CP519" s="69"/>
      <c r="CQ519" s="69"/>
      <c r="CR519" s="69"/>
      <c r="CS519" s="69"/>
      <c r="CT519" s="69"/>
      <c r="CU519" s="69"/>
      <c r="CV519" s="69"/>
      <c r="CW519" s="69"/>
      <c r="CX519" s="69"/>
      <c r="CY519" s="69"/>
      <c r="CZ519" s="69"/>
      <c r="DA519" s="69"/>
      <c r="DB519" s="69"/>
      <c r="DC519" s="69"/>
      <c r="DD519" s="69"/>
      <c r="DE519" s="69"/>
      <c r="DF519" s="69"/>
      <c r="DG519" s="69"/>
      <c r="DH519" s="69"/>
      <c r="DI519" s="69"/>
      <c r="DJ519" s="69"/>
      <c r="DK519" s="69"/>
      <c r="DL519" s="69"/>
      <c r="DM519" s="69"/>
      <c r="DN519" s="69"/>
      <c r="DO519" s="69"/>
      <c r="DP519" s="69"/>
    </row>
    <row r="520" spans="1:120" x14ac:dyDescent="0.2">
      <c r="A520" s="66"/>
      <c r="B520" s="31"/>
      <c r="C520" s="31"/>
      <c r="D520" s="31"/>
      <c r="E520" s="31"/>
      <c r="F520" s="31"/>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c r="BT520" s="69"/>
      <c r="BU520" s="69"/>
      <c r="BV520" s="69"/>
      <c r="BW520" s="69"/>
      <c r="BX520" s="69"/>
      <c r="BY520" s="69"/>
      <c r="BZ520" s="69"/>
      <c r="CA520" s="69"/>
      <c r="CB520" s="69"/>
      <c r="CC520" s="69"/>
      <c r="CD520" s="69"/>
      <c r="CE520" s="69"/>
      <c r="CF520" s="69"/>
      <c r="CG520" s="69"/>
      <c r="CH520" s="69"/>
      <c r="CI520" s="69"/>
      <c r="CJ520" s="69"/>
      <c r="CK520" s="69"/>
      <c r="CL520" s="69"/>
      <c r="CM520" s="69"/>
      <c r="CN520" s="69"/>
      <c r="CO520" s="69"/>
      <c r="CP520" s="69"/>
      <c r="CQ520" s="69"/>
      <c r="CR520" s="69"/>
      <c r="CS520" s="69"/>
      <c r="CT520" s="69"/>
      <c r="CU520" s="69"/>
      <c r="CV520" s="69"/>
      <c r="CW520" s="69"/>
      <c r="CX520" s="69"/>
      <c r="CY520" s="69"/>
      <c r="CZ520" s="69"/>
      <c r="DA520" s="69"/>
      <c r="DB520" s="69"/>
      <c r="DC520" s="69"/>
      <c r="DD520" s="69"/>
      <c r="DE520" s="69"/>
      <c r="DF520" s="69"/>
      <c r="DG520" s="69"/>
      <c r="DH520" s="69"/>
      <c r="DI520" s="69"/>
      <c r="DJ520" s="69"/>
      <c r="DK520" s="69"/>
      <c r="DL520" s="69"/>
      <c r="DM520" s="69"/>
      <c r="DN520" s="69"/>
      <c r="DO520" s="69"/>
      <c r="DP520" s="69"/>
    </row>
    <row r="521" spans="1:120" x14ac:dyDescent="0.2">
      <c r="A521" s="66"/>
      <c r="B521" s="31"/>
      <c r="C521" s="31"/>
      <c r="D521" s="31"/>
      <c r="E521" s="31"/>
      <c r="F521" s="31"/>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c r="BT521" s="69"/>
      <c r="BU521" s="69"/>
      <c r="BV521" s="69"/>
      <c r="BW521" s="69"/>
      <c r="BX521" s="69"/>
      <c r="BY521" s="69"/>
      <c r="BZ521" s="69"/>
      <c r="CA521" s="69"/>
      <c r="CB521" s="69"/>
      <c r="CC521" s="69"/>
      <c r="CD521" s="69"/>
      <c r="CE521" s="69"/>
      <c r="CF521" s="69"/>
      <c r="CG521" s="69"/>
      <c r="CH521" s="69"/>
      <c r="CI521" s="69"/>
      <c r="CJ521" s="69"/>
      <c r="CK521" s="69"/>
      <c r="CL521" s="69"/>
      <c r="CM521" s="69"/>
      <c r="CN521" s="69"/>
      <c r="CO521" s="69"/>
      <c r="CP521" s="69"/>
      <c r="CQ521" s="69"/>
      <c r="CR521" s="69"/>
      <c r="CS521" s="69"/>
      <c r="CT521" s="69"/>
      <c r="CU521" s="69"/>
      <c r="CV521" s="69"/>
      <c r="CW521" s="69"/>
      <c r="CX521" s="69"/>
      <c r="CY521" s="69"/>
      <c r="CZ521" s="69"/>
      <c r="DA521" s="69"/>
      <c r="DB521" s="69"/>
      <c r="DC521" s="69"/>
      <c r="DD521" s="69"/>
      <c r="DE521" s="69"/>
      <c r="DF521" s="69"/>
      <c r="DG521" s="69"/>
      <c r="DH521" s="69"/>
      <c r="DI521" s="69"/>
      <c r="DJ521" s="69"/>
      <c r="DK521" s="69"/>
      <c r="DL521" s="69"/>
      <c r="DM521" s="69"/>
      <c r="DN521" s="69"/>
      <c r="DO521" s="69"/>
      <c r="DP521" s="69"/>
    </row>
    <row r="522" spans="1:120" x14ac:dyDescent="0.2">
      <c r="A522" s="66"/>
      <c r="B522" s="31"/>
      <c r="C522" s="31"/>
      <c r="D522" s="31"/>
      <c r="E522" s="31"/>
      <c r="F522" s="31"/>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c r="AW522" s="69"/>
      <c r="AX522" s="69"/>
      <c r="AY522" s="69"/>
      <c r="AZ522" s="69"/>
      <c r="BA522" s="69"/>
      <c r="BB522" s="69"/>
      <c r="BC522" s="69"/>
      <c r="BD522" s="69"/>
      <c r="BE522" s="69"/>
      <c r="BF522" s="69"/>
      <c r="BG522" s="69"/>
      <c r="BH522" s="69"/>
      <c r="BI522" s="69"/>
      <c r="BJ522" s="69"/>
      <c r="BK522" s="69"/>
      <c r="BL522" s="69"/>
      <c r="BM522" s="69"/>
      <c r="BN522" s="69"/>
      <c r="BO522" s="69"/>
      <c r="BP522" s="69"/>
      <c r="BQ522" s="69"/>
      <c r="BR522" s="69"/>
      <c r="BS522" s="69"/>
      <c r="BT522" s="69"/>
      <c r="BU522" s="69"/>
      <c r="BV522" s="69"/>
      <c r="BW522" s="69"/>
      <c r="BX522" s="69"/>
      <c r="BY522" s="69"/>
      <c r="BZ522" s="69"/>
      <c r="CA522" s="69"/>
      <c r="CB522" s="69"/>
      <c r="CC522" s="69"/>
      <c r="CD522" s="69"/>
      <c r="CE522" s="69"/>
      <c r="CF522" s="69"/>
      <c r="CG522" s="69"/>
      <c r="CH522" s="69"/>
      <c r="CI522" s="69"/>
      <c r="CJ522" s="69"/>
      <c r="CK522" s="69"/>
      <c r="CL522" s="69"/>
      <c r="CM522" s="69"/>
      <c r="CN522" s="69"/>
      <c r="CO522" s="69"/>
      <c r="CP522" s="69"/>
      <c r="CQ522" s="69"/>
      <c r="CR522" s="69"/>
      <c r="CS522" s="69"/>
      <c r="CT522" s="69"/>
      <c r="CU522" s="69"/>
      <c r="CV522" s="69"/>
      <c r="CW522" s="69"/>
      <c r="CX522" s="69"/>
      <c r="CY522" s="69"/>
      <c r="CZ522" s="69"/>
      <c r="DA522" s="69"/>
      <c r="DB522" s="69"/>
      <c r="DC522" s="69"/>
      <c r="DD522" s="69"/>
      <c r="DE522" s="69"/>
      <c r="DF522" s="69"/>
      <c r="DG522" s="69"/>
      <c r="DH522" s="69"/>
      <c r="DI522" s="69"/>
      <c r="DJ522" s="69"/>
      <c r="DK522" s="69"/>
      <c r="DL522" s="69"/>
      <c r="DM522" s="69"/>
      <c r="DN522" s="69"/>
      <c r="DO522" s="69"/>
      <c r="DP522" s="69"/>
    </row>
    <row r="523" spans="1:120" x14ac:dyDescent="0.2">
      <c r="A523" s="66"/>
      <c r="B523" s="31"/>
      <c r="C523" s="31"/>
      <c r="D523" s="31"/>
      <c r="E523" s="31"/>
      <c r="F523" s="31"/>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c r="BT523" s="69"/>
      <c r="BU523" s="69"/>
      <c r="BV523" s="69"/>
      <c r="BW523" s="69"/>
      <c r="BX523" s="69"/>
      <c r="BY523" s="69"/>
      <c r="BZ523" s="69"/>
      <c r="CA523" s="69"/>
      <c r="CB523" s="69"/>
      <c r="CC523" s="69"/>
      <c r="CD523" s="69"/>
      <c r="CE523" s="69"/>
      <c r="CF523" s="69"/>
      <c r="CG523" s="69"/>
      <c r="CH523" s="69"/>
      <c r="CI523" s="69"/>
      <c r="CJ523" s="69"/>
      <c r="CK523" s="69"/>
      <c r="CL523" s="69"/>
      <c r="CM523" s="69"/>
      <c r="CN523" s="69"/>
      <c r="CO523" s="69"/>
      <c r="CP523" s="69"/>
      <c r="CQ523" s="69"/>
      <c r="CR523" s="69"/>
      <c r="CS523" s="69"/>
      <c r="CT523" s="69"/>
      <c r="CU523" s="69"/>
      <c r="CV523" s="69"/>
      <c r="CW523" s="69"/>
      <c r="CX523" s="69"/>
      <c r="CY523" s="69"/>
      <c r="CZ523" s="69"/>
      <c r="DA523" s="69"/>
      <c r="DB523" s="69"/>
      <c r="DC523" s="69"/>
      <c r="DD523" s="69"/>
      <c r="DE523" s="69"/>
      <c r="DF523" s="69"/>
      <c r="DG523" s="69"/>
      <c r="DH523" s="69"/>
      <c r="DI523" s="69"/>
      <c r="DJ523" s="69"/>
      <c r="DK523" s="69"/>
      <c r="DL523" s="69"/>
      <c r="DM523" s="69"/>
      <c r="DN523" s="69"/>
      <c r="DO523" s="69"/>
      <c r="DP523" s="69"/>
    </row>
    <row r="524" spans="1:120" x14ac:dyDescent="0.2">
      <c r="A524" s="66"/>
      <c r="B524" s="31"/>
      <c r="C524" s="31"/>
      <c r="D524" s="31"/>
      <c r="E524" s="31"/>
      <c r="F524" s="31"/>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c r="BT524" s="69"/>
      <c r="BU524" s="69"/>
      <c r="BV524" s="69"/>
      <c r="BW524" s="69"/>
      <c r="BX524" s="69"/>
      <c r="BY524" s="69"/>
      <c r="BZ524" s="69"/>
      <c r="CA524" s="69"/>
      <c r="CB524" s="69"/>
      <c r="CC524" s="69"/>
      <c r="CD524" s="69"/>
      <c r="CE524" s="69"/>
      <c r="CF524" s="69"/>
      <c r="CG524" s="69"/>
      <c r="CH524" s="69"/>
      <c r="CI524" s="69"/>
      <c r="CJ524" s="69"/>
      <c r="CK524" s="69"/>
      <c r="CL524" s="69"/>
      <c r="CM524" s="69"/>
      <c r="CN524" s="69"/>
      <c r="CO524" s="69"/>
      <c r="CP524" s="69"/>
      <c r="CQ524" s="69"/>
      <c r="CR524" s="69"/>
      <c r="CS524" s="69"/>
      <c r="CT524" s="69"/>
      <c r="CU524" s="69"/>
      <c r="CV524" s="69"/>
      <c r="CW524" s="69"/>
      <c r="CX524" s="69"/>
      <c r="CY524" s="69"/>
      <c r="CZ524" s="69"/>
      <c r="DA524" s="69"/>
      <c r="DB524" s="69"/>
      <c r="DC524" s="69"/>
      <c r="DD524" s="69"/>
      <c r="DE524" s="69"/>
      <c r="DF524" s="69"/>
      <c r="DG524" s="69"/>
      <c r="DH524" s="69"/>
      <c r="DI524" s="69"/>
      <c r="DJ524" s="69"/>
      <c r="DK524" s="69"/>
      <c r="DL524" s="69"/>
      <c r="DM524" s="69"/>
      <c r="DN524" s="69"/>
      <c r="DO524" s="69"/>
      <c r="DP524" s="69"/>
    </row>
    <row r="525" spans="1:120" x14ac:dyDescent="0.2">
      <c r="A525" s="66"/>
      <c r="B525" s="31"/>
      <c r="C525" s="31"/>
      <c r="D525" s="31"/>
      <c r="E525" s="31"/>
      <c r="F525" s="31"/>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c r="AW525" s="69"/>
      <c r="AX525" s="69"/>
      <c r="AY525" s="69"/>
      <c r="AZ525" s="69"/>
      <c r="BA525" s="69"/>
      <c r="BB525" s="69"/>
      <c r="BC525" s="69"/>
      <c r="BD525" s="69"/>
      <c r="BE525" s="69"/>
      <c r="BF525" s="69"/>
      <c r="BG525" s="69"/>
      <c r="BH525" s="69"/>
      <c r="BI525" s="69"/>
      <c r="BJ525" s="69"/>
      <c r="BK525" s="69"/>
      <c r="BL525" s="69"/>
      <c r="BM525" s="69"/>
      <c r="BN525" s="69"/>
      <c r="BO525" s="69"/>
      <c r="BP525" s="69"/>
      <c r="BQ525" s="69"/>
      <c r="BR525" s="69"/>
      <c r="BS525" s="69"/>
      <c r="BT525" s="69"/>
      <c r="BU525" s="69"/>
      <c r="BV525" s="69"/>
      <c r="BW525" s="69"/>
      <c r="BX525" s="69"/>
      <c r="BY525" s="69"/>
      <c r="BZ525" s="69"/>
      <c r="CA525" s="69"/>
      <c r="CB525" s="69"/>
      <c r="CC525" s="69"/>
      <c r="CD525" s="69"/>
      <c r="CE525" s="69"/>
      <c r="CF525" s="69"/>
      <c r="CG525" s="69"/>
      <c r="CH525" s="69"/>
      <c r="CI525" s="69"/>
      <c r="CJ525" s="69"/>
      <c r="CK525" s="69"/>
      <c r="CL525" s="69"/>
      <c r="CM525" s="69"/>
      <c r="CN525" s="69"/>
      <c r="CO525" s="69"/>
      <c r="CP525" s="69"/>
      <c r="CQ525" s="69"/>
      <c r="CR525" s="69"/>
      <c r="CS525" s="69"/>
      <c r="CT525" s="69"/>
      <c r="CU525" s="69"/>
      <c r="CV525" s="69"/>
      <c r="CW525" s="69"/>
      <c r="CX525" s="69"/>
      <c r="CY525" s="69"/>
      <c r="CZ525" s="69"/>
      <c r="DA525" s="69"/>
      <c r="DB525" s="69"/>
      <c r="DC525" s="69"/>
      <c r="DD525" s="69"/>
      <c r="DE525" s="69"/>
      <c r="DF525" s="69"/>
      <c r="DG525" s="69"/>
      <c r="DH525" s="69"/>
      <c r="DI525" s="69"/>
      <c r="DJ525" s="69"/>
      <c r="DK525" s="69"/>
      <c r="DL525" s="69"/>
      <c r="DM525" s="69"/>
      <c r="DN525" s="69"/>
      <c r="DO525" s="69"/>
      <c r="DP525" s="69"/>
    </row>
    <row r="526" spans="1:120" x14ac:dyDescent="0.2">
      <c r="A526" s="66"/>
      <c r="B526" s="31"/>
      <c r="C526" s="31"/>
      <c r="D526" s="31"/>
      <c r="E526" s="31"/>
      <c r="F526" s="31"/>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c r="BT526" s="69"/>
      <c r="BU526" s="69"/>
      <c r="BV526" s="69"/>
      <c r="BW526" s="69"/>
      <c r="BX526" s="69"/>
      <c r="BY526" s="69"/>
      <c r="BZ526" s="69"/>
      <c r="CA526" s="69"/>
      <c r="CB526" s="69"/>
      <c r="CC526" s="69"/>
      <c r="CD526" s="69"/>
      <c r="CE526" s="69"/>
      <c r="CF526" s="69"/>
      <c r="CG526" s="69"/>
      <c r="CH526" s="69"/>
      <c r="CI526" s="69"/>
      <c r="CJ526" s="69"/>
      <c r="CK526" s="69"/>
      <c r="CL526" s="69"/>
      <c r="CM526" s="69"/>
      <c r="CN526" s="69"/>
      <c r="CO526" s="69"/>
      <c r="CP526" s="69"/>
      <c r="CQ526" s="69"/>
      <c r="CR526" s="69"/>
      <c r="CS526" s="69"/>
      <c r="CT526" s="69"/>
      <c r="CU526" s="69"/>
      <c r="CV526" s="69"/>
      <c r="CW526" s="69"/>
      <c r="CX526" s="69"/>
      <c r="CY526" s="69"/>
      <c r="CZ526" s="69"/>
      <c r="DA526" s="69"/>
      <c r="DB526" s="69"/>
      <c r="DC526" s="69"/>
      <c r="DD526" s="69"/>
      <c r="DE526" s="69"/>
      <c r="DF526" s="69"/>
      <c r="DG526" s="69"/>
      <c r="DH526" s="69"/>
      <c r="DI526" s="69"/>
      <c r="DJ526" s="69"/>
      <c r="DK526" s="69"/>
      <c r="DL526" s="69"/>
      <c r="DM526" s="69"/>
      <c r="DN526" s="69"/>
      <c r="DO526" s="69"/>
      <c r="DP526" s="69"/>
    </row>
    <row r="527" spans="1:120" x14ac:dyDescent="0.2">
      <c r="A527" s="66"/>
      <c r="B527" s="31"/>
      <c r="C527" s="31"/>
      <c r="D527" s="31"/>
      <c r="E527" s="31"/>
      <c r="F527" s="31"/>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c r="BT527" s="69"/>
      <c r="BU527" s="69"/>
      <c r="BV527" s="69"/>
      <c r="BW527" s="69"/>
      <c r="BX527" s="69"/>
      <c r="BY527" s="69"/>
      <c r="BZ527" s="69"/>
      <c r="CA527" s="69"/>
      <c r="CB527" s="69"/>
      <c r="CC527" s="69"/>
      <c r="CD527" s="69"/>
      <c r="CE527" s="69"/>
      <c r="CF527" s="69"/>
      <c r="CG527" s="69"/>
      <c r="CH527" s="69"/>
      <c r="CI527" s="69"/>
      <c r="CJ527" s="69"/>
      <c r="CK527" s="69"/>
      <c r="CL527" s="69"/>
      <c r="CM527" s="69"/>
      <c r="CN527" s="69"/>
      <c r="CO527" s="69"/>
      <c r="CP527" s="69"/>
      <c r="CQ527" s="69"/>
      <c r="CR527" s="69"/>
      <c r="CS527" s="69"/>
      <c r="CT527" s="69"/>
      <c r="CU527" s="69"/>
      <c r="CV527" s="69"/>
      <c r="CW527" s="69"/>
      <c r="CX527" s="69"/>
      <c r="CY527" s="69"/>
      <c r="CZ527" s="69"/>
      <c r="DA527" s="69"/>
      <c r="DB527" s="69"/>
      <c r="DC527" s="69"/>
      <c r="DD527" s="69"/>
      <c r="DE527" s="69"/>
      <c r="DF527" s="69"/>
      <c r="DG527" s="69"/>
      <c r="DH527" s="69"/>
      <c r="DI527" s="69"/>
      <c r="DJ527" s="69"/>
      <c r="DK527" s="69"/>
      <c r="DL527" s="69"/>
      <c r="DM527" s="69"/>
      <c r="DN527" s="69"/>
      <c r="DO527" s="69"/>
      <c r="DP527" s="69"/>
    </row>
    <row r="528" spans="1:120" x14ac:dyDescent="0.2">
      <c r="A528" s="66"/>
      <c r="B528" s="31"/>
      <c r="C528" s="31"/>
      <c r="D528" s="31"/>
      <c r="E528" s="31"/>
      <c r="F528" s="31"/>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c r="AW528" s="69"/>
      <c r="AX528" s="69"/>
      <c r="AY528" s="69"/>
      <c r="AZ528" s="69"/>
      <c r="BA528" s="69"/>
      <c r="BB528" s="69"/>
      <c r="BC528" s="69"/>
      <c r="BD528" s="69"/>
      <c r="BE528" s="69"/>
      <c r="BF528" s="69"/>
      <c r="BG528" s="69"/>
      <c r="BH528" s="69"/>
      <c r="BI528" s="69"/>
      <c r="BJ528" s="69"/>
      <c r="BK528" s="69"/>
      <c r="BL528" s="69"/>
      <c r="BM528" s="69"/>
      <c r="BN528" s="69"/>
      <c r="BO528" s="69"/>
      <c r="BP528" s="69"/>
      <c r="BQ528" s="69"/>
      <c r="BR528" s="69"/>
      <c r="BS528" s="69"/>
      <c r="BT528" s="69"/>
      <c r="BU528" s="69"/>
      <c r="BV528" s="69"/>
      <c r="BW528" s="69"/>
      <c r="BX528" s="69"/>
      <c r="BY528" s="69"/>
      <c r="BZ528" s="69"/>
      <c r="CA528" s="69"/>
      <c r="CB528" s="69"/>
      <c r="CC528" s="69"/>
      <c r="CD528" s="69"/>
      <c r="CE528" s="69"/>
      <c r="CF528" s="69"/>
      <c r="CG528" s="69"/>
      <c r="CH528" s="69"/>
      <c r="CI528" s="69"/>
      <c r="CJ528" s="69"/>
      <c r="CK528" s="69"/>
      <c r="CL528" s="69"/>
      <c r="CM528" s="69"/>
      <c r="CN528" s="69"/>
      <c r="CO528" s="69"/>
      <c r="CP528" s="69"/>
      <c r="CQ528" s="69"/>
      <c r="CR528" s="69"/>
      <c r="CS528" s="69"/>
      <c r="CT528" s="69"/>
      <c r="CU528" s="69"/>
      <c r="CV528" s="69"/>
      <c r="CW528" s="69"/>
      <c r="CX528" s="69"/>
      <c r="CY528" s="69"/>
      <c r="CZ528" s="69"/>
      <c r="DA528" s="69"/>
      <c r="DB528" s="69"/>
      <c r="DC528" s="69"/>
      <c r="DD528" s="69"/>
      <c r="DE528" s="69"/>
      <c r="DF528" s="69"/>
      <c r="DG528" s="69"/>
      <c r="DH528" s="69"/>
      <c r="DI528" s="69"/>
      <c r="DJ528" s="69"/>
      <c r="DK528" s="69"/>
      <c r="DL528" s="69"/>
      <c r="DM528" s="69"/>
      <c r="DN528" s="69"/>
      <c r="DO528" s="69"/>
      <c r="DP528" s="69"/>
    </row>
    <row r="529" spans="1:120" x14ac:dyDescent="0.2">
      <c r="A529" s="66"/>
      <c r="B529" s="31"/>
      <c r="C529" s="31"/>
      <c r="D529" s="31"/>
      <c r="E529" s="31"/>
      <c r="F529" s="31"/>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c r="AW529" s="69"/>
      <c r="AX529" s="69"/>
      <c r="AY529" s="69"/>
      <c r="AZ529" s="69"/>
      <c r="BA529" s="69"/>
      <c r="BB529" s="69"/>
      <c r="BC529" s="69"/>
      <c r="BD529" s="69"/>
      <c r="BE529" s="69"/>
      <c r="BF529" s="69"/>
      <c r="BG529" s="69"/>
      <c r="BH529" s="69"/>
      <c r="BI529" s="69"/>
      <c r="BJ529" s="69"/>
      <c r="BK529" s="69"/>
      <c r="BL529" s="69"/>
      <c r="BM529" s="69"/>
      <c r="BN529" s="69"/>
      <c r="BO529" s="69"/>
      <c r="BP529" s="69"/>
      <c r="BQ529" s="69"/>
      <c r="BR529" s="69"/>
      <c r="BS529" s="69"/>
      <c r="BT529" s="69"/>
      <c r="BU529" s="69"/>
      <c r="BV529" s="69"/>
      <c r="BW529" s="69"/>
      <c r="BX529" s="69"/>
      <c r="BY529" s="69"/>
      <c r="BZ529" s="69"/>
      <c r="CA529" s="69"/>
      <c r="CB529" s="69"/>
      <c r="CC529" s="69"/>
      <c r="CD529" s="69"/>
      <c r="CE529" s="69"/>
      <c r="CF529" s="69"/>
      <c r="CG529" s="69"/>
      <c r="CH529" s="69"/>
      <c r="CI529" s="69"/>
      <c r="CJ529" s="69"/>
      <c r="CK529" s="69"/>
      <c r="CL529" s="69"/>
      <c r="CM529" s="69"/>
      <c r="CN529" s="69"/>
      <c r="CO529" s="69"/>
      <c r="CP529" s="69"/>
      <c r="CQ529" s="69"/>
      <c r="CR529" s="69"/>
      <c r="CS529" s="69"/>
      <c r="CT529" s="69"/>
      <c r="CU529" s="69"/>
      <c r="CV529" s="69"/>
      <c r="CW529" s="69"/>
      <c r="CX529" s="69"/>
      <c r="CY529" s="69"/>
      <c r="CZ529" s="69"/>
      <c r="DA529" s="69"/>
      <c r="DB529" s="69"/>
      <c r="DC529" s="69"/>
      <c r="DD529" s="69"/>
      <c r="DE529" s="69"/>
      <c r="DF529" s="69"/>
      <c r="DG529" s="69"/>
      <c r="DH529" s="69"/>
      <c r="DI529" s="69"/>
      <c r="DJ529" s="69"/>
      <c r="DK529" s="69"/>
      <c r="DL529" s="69"/>
      <c r="DM529" s="69"/>
      <c r="DN529" s="69"/>
      <c r="DO529" s="69"/>
      <c r="DP529" s="69"/>
    </row>
    <row r="530" spans="1:120" x14ac:dyDescent="0.2">
      <c r="A530" s="66"/>
      <c r="B530" s="31"/>
      <c r="C530" s="31"/>
      <c r="D530" s="31"/>
      <c r="E530" s="31"/>
      <c r="F530" s="31"/>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c r="BT530" s="69"/>
      <c r="BU530" s="69"/>
      <c r="BV530" s="69"/>
      <c r="BW530" s="69"/>
      <c r="BX530" s="69"/>
      <c r="BY530" s="69"/>
      <c r="BZ530" s="69"/>
      <c r="CA530" s="69"/>
      <c r="CB530" s="69"/>
      <c r="CC530" s="69"/>
      <c r="CD530" s="69"/>
      <c r="CE530" s="69"/>
      <c r="CF530" s="69"/>
      <c r="CG530" s="69"/>
      <c r="CH530" s="69"/>
      <c r="CI530" s="69"/>
      <c r="CJ530" s="69"/>
      <c r="CK530" s="69"/>
      <c r="CL530" s="69"/>
      <c r="CM530" s="69"/>
      <c r="CN530" s="69"/>
      <c r="CO530" s="69"/>
      <c r="CP530" s="69"/>
      <c r="CQ530" s="69"/>
      <c r="CR530" s="69"/>
      <c r="CS530" s="69"/>
      <c r="CT530" s="69"/>
      <c r="CU530" s="69"/>
      <c r="CV530" s="69"/>
      <c r="CW530" s="69"/>
      <c r="CX530" s="69"/>
      <c r="CY530" s="69"/>
      <c r="CZ530" s="69"/>
      <c r="DA530" s="69"/>
      <c r="DB530" s="69"/>
      <c r="DC530" s="69"/>
      <c r="DD530" s="69"/>
      <c r="DE530" s="69"/>
      <c r="DF530" s="69"/>
      <c r="DG530" s="69"/>
      <c r="DH530" s="69"/>
      <c r="DI530" s="69"/>
      <c r="DJ530" s="69"/>
      <c r="DK530" s="69"/>
      <c r="DL530" s="69"/>
      <c r="DM530" s="69"/>
      <c r="DN530" s="69"/>
      <c r="DO530" s="69"/>
      <c r="DP530" s="69"/>
    </row>
    <row r="531" spans="1:120" x14ac:dyDescent="0.2">
      <c r="A531" s="66"/>
      <c r="B531" s="31"/>
      <c r="C531" s="31"/>
      <c r="D531" s="31"/>
      <c r="E531" s="31"/>
      <c r="F531" s="31"/>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c r="BT531" s="69"/>
      <c r="BU531" s="69"/>
      <c r="BV531" s="69"/>
      <c r="BW531" s="69"/>
      <c r="BX531" s="69"/>
      <c r="BY531" s="69"/>
      <c r="BZ531" s="69"/>
      <c r="CA531" s="69"/>
      <c r="CB531" s="69"/>
      <c r="CC531" s="69"/>
      <c r="CD531" s="69"/>
      <c r="CE531" s="69"/>
      <c r="CF531" s="69"/>
      <c r="CG531" s="69"/>
      <c r="CH531" s="69"/>
      <c r="CI531" s="69"/>
      <c r="CJ531" s="69"/>
      <c r="CK531" s="69"/>
      <c r="CL531" s="69"/>
      <c r="CM531" s="69"/>
      <c r="CN531" s="69"/>
      <c r="CO531" s="69"/>
      <c r="CP531" s="69"/>
      <c r="CQ531" s="69"/>
      <c r="CR531" s="69"/>
      <c r="CS531" s="69"/>
      <c r="CT531" s="69"/>
      <c r="CU531" s="69"/>
      <c r="CV531" s="69"/>
      <c r="CW531" s="69"/>
      <c r="CX531" s="69"/>
      <c r="CY531" s="69"/>
      <c r="CZ531" s="69"/>
      <c r="DA531" s="69"/>
      <c r="DB531" s="69"/>
      <c r="DC531" s="69"/>
      <c r="DD531" s="69"/>
      <c r="DE531" s="69"/>
      <c r="DF531" s="69"/>
      <c r="DG531" s="69"/>
      <c r="DH531" s="69"/>
      <c r="DI531" s="69"/>
      <c r="DJ531" s="69"/>
      <c r="DK531" s="69"/>
      <c r="DL531" s="69"/>
      <c r="DM531" s="69"/>
      <c r="DN531" s="69"/>
      <c r="DO531" s="69"/>
      <c r="DP531" s="69"/>
    </row>
    <row r="532" spans="1:120" x14ac:dyDescent="0.2">
      <c r="A532" s="66"/>
      <c r="B532" s="31"/>
      <c r="C532" s="31"/>
      <c r="D532" s="31"/>
      <c r="E532" s="31"/>
      <c r="F532" s="31"/>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c r="AW532" s="69"/>
      <c r="AX532" s="69"/>
      <c r="AY532" s="69"/>
      <c r="AZ532" s="69"/>
      <c r="BA532" s="69"/>
      <c r="BB532" s="69"/>
      <c r="BC532" s="69"/>
      <c r="BD532" s="69"/>
      <c r="BE532" s="69"/>
      <c r="BF532" s="69"/>
      <c r="BG532" s="69"/>
      <c r="BH532" s="69"/>
      <c r="BI532" s="69"/>
      <c r="BJ532" s="69"/>
      <c r="BK532" s="69"/>
      <c r="BL532" s="69"/>
      <c r="BM532" s="69"/>
      <c r="BN532" s="69"/>
      <c r="BO532" s="69"/>
      <c r="BP532" s="69"/>
      <c r="BQ532" s="69"/>
      <c r="BR532" s="69"/>
      <c r="BS532" s="69"/>
      <c r="BT532" s="69"/>
      <c r="BU532" s="69"/>
      <c r="BV532" s="69"/>
      <c r="BW532" s="69"/>
      <c r="BX532" s="69"/>
      <c r="BY532" s="69"/>
      <c r="BZ532" s="69"/>
      <c r="CA532" s="69"/>
      <c r="CB532" s="69"/>
      <c r="CC532" s="69"/>
      <c r="CD532" s="69"/>
      <c r="CE532" s="69"/>
      <c r="CF532" s="69"/>
      <c r="CG532" s="69"/>
      <c r="CH532" s="69"/>
      <c r="CI532" s="69"/>
      <c r="CJ532" s="69"/>
      <c r="CK532" s="69"/>
      <c r="CL532" s="69"/>
      <c r="CM532" s="69"/>
      <c r="CN532" s="69"/>
      <c r="CO532" s="69"/>
      <c r="CP532" s="69"/>
      <c r="CQ532" s="69"/>
      <c r="CR532" s="69"/>
      <c r="CS532" s="69"/>
      <c r="CT532" s="69"/>
      <c r="CU532" s="69"/>
      <c r="CV532" s="69"/>
      <c r="CW532" s="69"/>
      <c r="CX532" s="69"/>
      <c r="CY532" s="69"/>
      <c r="CZ532" s="69"/>
      <c r="DA532" s="69"/>
      <c r="DB532" s="69"/>
      <c r="DC532" s="69"/>
      <c r="DD532" s="69"/>
      <c r="DE532" s="69"/>
      <c r="DF532" s="69"/>
      <c r="DG532" s="69"/>
      <c r="DH532" s="69"/>
      <c r="DI532" s="69"/>
      <c r="DJ532" s="69"/>
      <c r="DK532" s="69"/>
      <c r="DL532" s="69"/>
      <c r="DM532" s="69"/>
      <c r="DN532" s="69"/>
      <c r="DO532" s="69"/>
      <c r="DP532" s="69"/>
    </row>
    <row r="533" spans="1:120" x14ac:dyDescent="0.2">
      <c r="A533" s="66"/>
      <c r="B533" s="31"/>
      <c r="C533" s="31"/>
      <c r="D533" s="31"/>
      <c r="E533" s="31"/>
      <c r="F533" s="31"/>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c r="AW533" s="69"/>
      <c r="AX533" s="69"/>
      <c r="AY533" s="69"/>
      <c r="AZ533" s="69"/>
      <c r="BA533" s="69"/>
      <c r="BB533" s="69"/>
      <c r="BC533" s="69"/>
      <c r="BD533" s="69"/>
      <c r="BE533" s="69"/>
      <c r="BF533" s="69"/>
      <c r="BG533" s="69"/>
      <c r="BH533" s="69"/>
      <c r="BI533" s="69"/>
      <c r="BJ533" s="69"/>
      <c r="BK533" s="69"/>
      <c r="BL533" s="69"/>
      <c r="BM533" s="69"/>
      <c r="BN533" s="69"/>
      <c r="BO533" s="69"/>
      <c r="BP533" s="69"/>
      <c r="BQ533" s="69"/>
      <c r="BR533" s="69"/>
      <c r="BS533" s="69"/>
      <c r="BT533" s="69"/>
      <c r="BU533" s="69"/>
      <c r="BV533" s="69"/>
      <c r="BW533" s="69"/>
      <c r="BX533" s="69"/>
      <c r="BY533" s="69"/>
      <c r="BZ533" s="69"/>
      <c r="CA533" s="69"/>
      <c r="CB533" s="69"/>
      <c r="CC533" s="69"/>
      <c r="CD533" s="69"/>
      <c r="CE533" s="69"/>
      <c r="CF533" s="69"/>
      <c r="CG533" s="69"/>
      <c r="CH533" s="69"/>
      <c r="CI533" s="69"/>
      <c r="CJ533" s="69"/>
      <c r="CK533" s="69"/>
      <c r="CL533" s="69"/>
      <c r="CM533" s="69"/>
      <c r="CN533" s="69"/>
      <c r="CO533" s="69"/>
      <c r="CP533" s="69"/>
      <c r="CQ533" s="69"/>
      <c r="CR533" s="69"/>
      <c r="CS533" s="69"/>
      <c r="CT533" s="69"/>
      <c r="CU533" s="69"/>
      <c r="CV533" s="69"/>
      <c r="CW533" s="69"/>
      <c r="CX533" s="69"/>
      <c r="CY533" s="69"/>
      <c r="CZ533" s="69"/>
      <c r="DA533" s="69"/>
      <c r="DB533" s="69"/>
      <c r="DC533" s="69"/>
      <c r="DD533" s="69"/>
      <c r="DE533" s="69"/>
      <c r="DF533" s="69"/>
      <c r="DG533" s="69"/>
      <c r="DH533" s="69"/>
      <c r="DI533" s="69"/>
      <c r="DJ533" s="69"/>
      <c r="DK533" s="69"/>
      <c r="DL533" s="69"/>
      <c r="DM533" s="69"/>
      <c r="DN533" s="69"/>
      <c r="DO533" s="69"/>
      <c r="DP533" s="69"/>
    </row>
    <row r="534" spans="1:120" x14ac:dyDescent="0.2">
      <c r="A534" s="66"/>
      <c r="B534" s="31"/>
      <c r="C534" s="31"/>
      <c r="D534" s="31"/>
      <c r="E534" s="31"/>
      <c r="F534" s="31"/>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c r="BT534" s="69"/>
      <c r="BU534" s="69"/>
      <c r="BV534" s="69"/>
      <c r="BW534" s="69"/>
      <c r="BX534" s="69"/>
      <c r="BY534" s="69"/>
      <c r="BZ534" s="69"/>
      <c r="CA534" s="69"/>
      <c r="CB534" s="69"/>
      <c r="CC534" s="69"/>
      <c r="CD534" s="69"/>
      <c r="CE534" s="69"/>
      <c r="CF534" s="69"/>
      <c r="CG534" s="69"/>
      <c r="CH534" s="69"/>
      <c r="CI534" s="69"/>
      <c r="CJ534" s="69"/>
      <c r="CK534" s="69"/>
      <c r="CL534" s="69"/>
      <c r="CM534" s="69"/>
      <c r="CN534" s="69"/>
      <c r="CO534" s="69"/>
      <c r="CP534" s="69"/>
      <c r="CQ534" s="69"/>
      <c r="CR534" s="69"/>
      <c r="CS534" s="69"/>
      <c r="CT534" s="69"/>
      <c r="CU534" s="69"/>
      <c r="CV534" s="69"/>
      <c r="CW534" s="69"/>
      <c r="CX534" s="69"/>
      <c r="CY534" s="69"/>
      <c r="CZ534" s="69"/>
      <c r="DA534" s="69"/>
      <c r="DB534" s="69"/>
      <c r="DC534" s="69"/>
      <c r="DD534" s="69"/>
      <c r="DE534" s="69"/>
      <c r="DF534" s="69"/>
      <c r="DG534" s="69"/>
      <c r="DH534" s="69"/>
      <c r="DI534" s="69"/>
      <c r="DJ534" s="69"/>
      <c r="DK534" s="69"/>
      <c r="DL534" s="69"/>
      <c r="DM534" s="69"/>
      <c r="DN534" s="69"/>
      <c r="DO534" s="69"/>
      <c r="DP534" s="69"/>
    </row>
    <row r="535" spans="1:120" x14ac:dyDescent="0.2">
      <c r="A535" s="66"/>
      <c r="B535" s="31"/>
      <c r="C535" s="31"/>
      <c r="D535" s="31"/>
      <c r="E535" s="31"/>
      <c r="F535" s="31"/>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c r="BT535" s="69"/>
      <c r="BU535" s="69"/>
      <c r="BV535" s="69"/>
      <c r="BW535" s="69"/>
      <c r="BX535" s="69"/>
      <c r="BY535" s="69"/>
      <c r="BZ535" s="69"/>
      <c r="CA535" s="69"/>
      <c r="CB535" s="69"/>
      <c r="CC535" s="69"/>
      <c r="CD535" s="69"/>
      <c r="CE535" s="69"/>
      <c r="CF535" s="69"/>
      <c r="CG535" s="69"/>
      <c r="CH535" s="69"/>
      <c r="CI535" s="69"/>
      <c r="CJ535" s="69"/>
      <c r="CK535" s="69"/>
      <c r="CL535" s="69"/>
      <c r="CM535" s="69"/>
      <c r="CN535" s="69"/>
      <c r="CO535" s="69"/>
      <c r="CP535" s="69"/>
      <c r="CQ535" s="69"/>
      <c r="CR535" s="69"/>
      <c r="CS535" s="69"/>
      <c r="CT535" s="69"/>
      <c r="CU535" s="69"/>
      <c r="CV535" s="69"/>
      <c r="CW535" s="69"/>
      <c r="CX535" s="69"/>
      <c r="CY535" s="69"/>
      <c r="CZ535" s="69"/>
      <c r="DA535" s="69"/>
      <c r="DB535" s="69"/>
      <c r="DC535" s="69"/>
      <c r="DD535" s="69"/>
      <c r="DE535" s="69"/>
      <c r="DF535" s="69"/>
      <c r="DG535" s="69"/>
      <c r="DH535" s="69"/>
      <c r="DI535" s="69"/>
      <c r="DJ535" s="69"/>
      <c r="DK535" s="69"/>
      <c r="DL535" s="69"/>
      <c r="DM535" s="69"/>
      <c r="DN535" s="69"/>
      <c r="DO535" s="69"/>
      <c r="DP535" s="69"/>
    </row>
    <row r="536" spans="1:120" x14ac:dyDescent="0.2">
      <c r="A536" s="66"/>
      <c r="B536" s="31"/>
      <c r="C536" s="31"/>
      <c r="D536" s="31"/>
      <c r="E536" s="31"/>
      <c r="F536" s="31"/>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c r="AW536" s="69"/>
      <c r="AX536" s="69"/>
      <c r="AY536" s="69"/>
      <c r="AZ536" s="69"/>
      <c r="BA536" s="69"/>
      <c r="BB536" s="69"/>
      <c r="BC536" s="69"/>
      <c r="BD536" s="69"/>
      <c r="BE536" s="69"/>
      <c r="BF536" s="69"/>
      <c r="BG536" s="69"/>
      <c r="BH536" s="69"/>
      <c r="BI536" s="69"/>
      <c r="BJ536" s="69"/>
      <c r="BK536" s="69"/>
      <c r="BL536" s="69"/>
      <c r="BM536" s="69"/>
      <c r="BN536" s="69"/>
      <c r="BO536" s="69"/>
      <c r="BP536" s="69"/>
      <c r="BQ536" s="69"/>
      <c r="BR536" s="69"/>
      <c r="BS536" s="69"/>
      <c r="BT536" s="69"/>
      <c r="BU536" s="69"/>
      <c r="BV536" s="69"/>
      <c r="BW536" s="69"/>
      <c r="BX536" s="69"/>
      <c r="BY536" s="69"/>
      <c r="BZ536" s="69"/>
      <c r="CA536" s="69"/>
      <c r="CB536" s="69"/>
      <c r="CC536" s="69"/>
      <c r="CD536" s="69"/>
      <c r="CE536" s="69"/>
      <c r="CF536" s="69"/>
      <c r="CG536" s="69"/>
      <c r="CH536" s="69"/>
      <c r="CI536" s="69"/>
      <c r="CJ536" s="69"/>
      <c r="CK536" s="69"/>
      <c r="CL536" s="69"/>
      <c r="CM536" s="69"/>
      <c r="CN536" s="69"/>
      <c r="CO536" s="69"/>
      <c r="CP536" s="69"/>
      <c r="CQ536" s="69"/>
      <c r="CR536" s="69"/>
      <c r="CS536" s="69"/>
      <c r="CT536" s="69"/>
      <c r="CU536" s="69"/>
      <c r="CV536" s="69"/>
      <c r="CW536" s="69"/>
      <c r="CX536" s="69"/>
      <c r="CY536" s="69"/>
      <c r="CZ536" s="69"/>
      <c r="DA536" s="69"/>
      <c r="DB536" s="69"/>
      <c r="DC536" s="69"/>
      <c r="DD536" s="69"/>
      <c r="DE536" s="69"/>
      <c r="DF536" s="69"/>
      <c r="DG536" s="69"/>
      <c r="DH536" s="69"/>
      <c r="DI536" s="69"/>
      <c r="DJ536" s="69"/>
      <c r="DK536" s="69"/>
      <c r="DL536" s="69"/>
      <c r="DM536" s="69"/>
      <c r="DN536" s="69"/>
      <c r="DO536" s="69"/>
      <c r="DP536" s="69"/>
    </row>
    <row r="537" spans="1:120" x14ac:dyDescent="0.2">
      <c r="A537" s="66"/>
      <c r="B537" s="31"/>
      <c r="C537" s="31"/>
      <c r="D537" s="31"/>
      <c r="E537" s="31"/>
      <c r="F537" s="31"/>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c r="BT537" s="69"/>
      <c r="BU537" s="69"/>
      <c r="BV537" s="69"/>
      <c r="BW537" s="69"/>
      <c r="BX537" s="69"/>
      <c r="BY537" s="69"/>
      <c r="BZ537" s="69"/>
      <c r="CA537" s="69"/>
      <c r="CB537" s="69"/>
      <c r="CC537" s="69"/>
      <c r="CD537" s="69"/>
      <c r="CE537" s="69"/>
      <c r="CF537" s="69"/>
      <c r="CG537" s="69"/>
      <c r="CH537" s="69"/>
      <c r="CI537" s="69"/>
      <c r="CJ537" s="69"/>
      <c r="CK537" s="69"/>
      <c r="CL537" s="69"/>
      <c r="CM537" s="69"/>
      <c r="CN537" s="69"/>
      <c r="CO537" s="69"/>
      <c r="CP537" s="69"/>
      <c r="CQ537" s="69"/>
      <c r="CR537" s="69"/>
      <c r="CS537" s="69"/>
      <c r="CT537" s="69"/>
      <c r="CU537" s="69"/>
      <c r="CV537" s="69"/>
      <c r="CW537" s="69"/>
      <c r="CX537" s="69"/>
      <c r="CY537" s="69"/>
      <c r="CZ537" s="69"/>
      <c r="DA537" s="69"/>
      <c r="DB537" s="69"/>
      <c r="DC537" s="69"/>
      <c r="DD537" s="69"/>
      <c r="DE537" s="69"/>
      <c r="DF537" s="69"/>
      <c r="DG537" s="69"/>
      <c r="DH537" s="69"/>
      <c r="DI537" s="69"/>
      <c r="DJ537" s="69"/>
      <c r="DK537" s="69"/>
      <c r="DL537" s="69"/>
      <c r="DM537" s="69"/>
      <c r="DN537" s="69"/>
      <c r="DO537" s="69"/>
      <c r="DP537" s="69"/>
    </row>
    <row r="538" spans="1:120" x14ac:dyDescent="0.2">
      <c r="A538" s="66"/>
      <c r="B538" s="31"/>
      <c r="C538" s="31"/>
      <c r="D538" s="31"/>
      <c r="E538" s="31"/>
      <c r="F538" s="31"/>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c r="BT538" s="69"/>
      <c r="BU538" s="69"/>
      <c r="BV538" s="69"/>
      <c r="BW538" s="69"/>
      <c r="BX538" s="69"/>
      <c r="BY538" s="69"/>
      <c r="BZ538" s="69"/>
      <c r="CA538" s="69"/>
      <c r="CB538" s="69"/>
      <c r="CC538" s="69"/>
      <c r="CD538" s="69"/>
      <c r="CE538" s="69"/>
      <c r="CF538" s="69"/>
      <c r="CG538" s="69"/>
      <c r="CH538" s="69"/>
      <c r="CI538" s="69"/>
      <c r="CJ538" s="69"/>
      <c r="CK538" s="69"/>
      <c r="CL538" s="69"/>
      <c r="CM538" s="69"/>
      <c r="CN538" s="69"/>
      <c r="CO538" s="69"/>
      <c r="CP538" s="69"/>
      <c r="CQ538" s="69"/>
      <c r="CR538" s="69"/>
      <c r="CS538" s="69"/>
      <c r="CT538" s="69"/>
      <c r="CU538" s="69"/>
      <c r="CV538" s="69"/>
      <c r="CW538" s="69"/>
      <c r="CX538" s="69"/>
      <c r="CY538" s="69"/>
      <c r="CZ538" s="69"/>
      <c r="DA538" s="69"/>
      <c r="DB538" s="69"/>
      <c r="DC538" s="69"/>
      <c r="DD538" s="69"/>
      <c r="DE538" s="69"/>
      <c r="DF538" s="69"/>
      <c r="DG538" s="69"/>
      <c r="DH538" s="69"/>
      <c r="DI538" s="69"/>
      <c r="DJ538" s="69"/>
      <c r="DK538" s="69"/>
      <c r="DL538" s="69"/>
      <c r="DM538" s="69"/>
      <c r="DN538" s="69"/>
      <c r="DO538" s="69"/>
      <c r="DP538" s="69"/>
    </row>
    <row r="539" spans="1:120" x14ac:dyDescent="0.2">
      <c r="A539" s="66"/>
      <c r="B539" s="31"/>
      <c r="C539" s="31"/>
      <c r="D539" s="31"/>
      <c r="E539" s="31"/>
      <c r="F539" s="31"/>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c r="AW539" s="69"/>
      <c r="AX539" s="69"/>
      <c r="AY539" s="69"/>
      <c r="AZ539" s="69"/>
      <c r="BA539" s="69"/>
      <c r="BB539" s="69"/>
      <c r="BC539" s="69"/>
      <c r="BD539" s="69"/>
      <c r="BE539" s="69"/>
      <c r="BF539" s="69"/>
      <c r="BG539" s="69"/>
      <c r="BH539" s="69"/>
      <c r="BI539" s="69"/>
      <c r="BJ539" s="69"/>
      <c r="BK539" s="69"/>
      <c r="BL539" s="69"/>
      <c r="BM539" s="69"/>
      <c r="BN539" s="69"/>
      <c r="BO539" s="69"/>
      <c r="BP539" s="69"/>
      <c r="BQ539" s="69"/>
      <c r="BR539" s="69"/>
      <c r="BS539" s="69"/>
      <c r="BT539" s="69"/>
      <c r="BU539" s="69"/>
      <c r="BV539" s="69"/>
      <c r="BW539" s="69"/>
      <c r="BX539" s="69"/>
      <c r="BY539" s="69"/>
      <c r="BZ539" s="69"/>
      <c r="CA539" s="69"/>
      <c r="CB539" s="69"/>
      <c r="CC539" s="69"/>
      <c r="CD539" s="69"/>
      <c r="CE539" s="69"/>
      <c r="CF539" s="69"/>
      <c r="CG539" s="69"/>
      <c r="CH539" s="69"/>
      <c r="CI539" s="69"/>
      <c r="CJ539" s="69"/>
      <c r="CK539" s="69"/>
      <c r="CL539" s="69"/>
      <c r="CM539" s="69"/>
      <c r="CN539" s="69"/>
      <c r="CO539" s="69"/>
      <c r="CP539" s="69"/>
      <c r="CQ539" s="69"/>
      <c r="CR539" s="69"/>
      <c r="CS539" s="69"/>
      <c r="CT539" s="69"/>
      <c r="CU539" s="69"/>
      <c r="CV539" s="69"/>
      <c r="CW539" s="69"/>
      <c r="CX539" s="69"/>
      <c r="CY539" s="69"/>
      <c r="CZ539" s="69"/>
      <c r="DA539" s="69"/>
      <c r="DB539" s="69"/>
      <c r="DC539" s="69"/>
      <c r="DD539" s="69"/>
      <c r="DE539" s="69"/>
      <c r="DF539" s="69"/>
      <c r="DG539" s="69"/>
      <c r="DH539" s="69"/>
      <c r="DI539" s="69"/>
      <c r="DJ539" s="69"/>
      <c r="DK539" s="69"/>
      <c r="DL539" s="69"/>
      <c r="DM539" s="69"/>
      <c r="DN539" s="69"/>
      <c r="DO539" s="69"/>
      <c r="DP539" s="69"/>
    </row>
    <row r="540" spans="1:120" x14ac:dyDescent="0.2">
      <c r="A540" s="66"/>
      <c r="B540" s="31"/>
      <c r="C540" s="31"/>
      <c r="D540" s="31"/>
      <c r="E540" s="31"/>
      <c r="F540" s="31"/>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c r="BT540" s="69"/>
      <c r="BU540" s="69"/>
      <c r="BV540" s="69"/>
      <c r="BW540" s="69"/>
      <c r="BX540" s="69"/>
      <c r="BY540" s="69"/>
      <c r="BZ540" s="69"/>
      <c r="CA540" s="69"/>
      <c r="CB540" s="69"/>
      <c r="CC540" s="69"/>
      <c r="CD540" s="69"/>
      <c r="CE540" s="69"/>
      <c r="CF540" s="69"/>
      <c r="CG540" s="69"/>
      <c r="CH540" s="69"/>
      <c r="CI540" s="69"/>
      <c r="CJ540" s="69"/>
      <c r="CK540" s="69"/>
      <c r="CL540" s="69"/>
      <c r="CM540" s="69"/>
      <c r="CN540" s="69"/>
      <c r="CO540" s="69"/>
      <c r="CP540" s="69"/>
      <c r="CQ540" s="69"/>
      <c r="CR540" s="69"/>
      <c r="CS540" s="69"/>
      <c r="CT540" s="69"/>
      <c r="CU540" s="69"/>
      <c r="CV540" s="69"/>
      <c r="CW540" s="69"/>
      <c r="CX540" s="69"/>
      <c r="CY540" s="69"/>
      <c r="CZ540" s="69"/>
      <c r="DA540" s="69"/>
      <c r="DB540" s="69"/>
      <c r="DC540" s="69"/>
      <c r="DD540" s="69"/>
      <c r="DE540" s="69"/>
      <c r="DF540" s="69"/>
      <c r="DG540" s="69"/>
      <c r="DH540" s="69"/>
      <c r="DI540" s="69"/>
      <c r="DJ540" s="69"/>
      <c r="DK540" s="69"/>
      <c r="DL540" s="69"/>
      <c r="DM540" s="69"/>
      <c r="DN540" s="69"/>
      <c r="DO540" s="69"/>
      <c r="DP540" s="69"/>
    </row>
    <row r="541" spans="1:120" x14ac:dyDescent="0.2">
      <c r="A541" s="66"/>
      <c r="B541" s="31"/>
      <c r="C541" s="31"/>
      <c r="D541" s="31"/>
      <c r="E541" s="31"/>
      <c r="F541" s="31"/>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c r="BT541" s="69"/>
      <c r="BU541" s="69"/>
      <c r="BV541" s="69"/>
      <c r="BW541" s="69"/>
      <c r="BX541" s="69"/>
      <c r="BY541" s="69"/>
      <c r="BZ541" s="69"/>
      <c r="CA541" s="69"/>
      <c r="CB541" s="69"/>
      <c r="CC541" s="69"/>
      <c r="CD541" s="69"/>
      <c r="CE541" s="69"/>
      <c r="CF541" s="69"/>
      <c r="CG541" s="69"/>
      <c r="CH541" s="69"/>
      <c r="CI541" s="69"/>
      <c r="CJ541" s="69"/>
      <c r="CK541" s="69"/>
      <c r="CL541" s="69"/>
      <c r="CM541" s="69"/>
      <c r="CN541" s="69"/>
      <c r="CO541" s="69"/>
      <c r="CP541" s="69"/>
      <c r="CQ541" s="69"/>
      <c r="CR541" s="69"/>
      <c r="CS541" s="69"/>
      <c r="CT541" s="69"/>
      <c r="CU541" s="69"/>
      <c r="CV541" s="69"/>
      <c r="CW541" s="69"/>
      <c r="CX541" s="69"/>
      <c r="CY541" s="69"/>
      <c r="CZ541" s="69"/>
      <c r="DA541" s="69"/>
      <c r="DB541" s="69"/>
      <c r="DC541" s="69"/>
      <c r="DD541" s="69"/>
      <c r="DE541" s="69"/>
      <c r="DF541" s="69"/>
      <c r="DG541" s="69"/>
      <c r="DH541" s="69"/>
      <c r="DI541" s="69"/>
      <c r="DJ541" s="69"/>
      <c r="DK541" s="69"/>
      <c r="DL541" s="69"/>
      <c r="DM541" s="69"/>
      <c r="DN541" s="69"/>
      <c r="DO541" s="69"/>
      <c r="DP541" s="69"/>
    </row>
    <row r="542" spans="1:120" x14ac:dyDescent="0.2">
      <c r="A542" s="66"/>
      <c r="B542" s="31"/>
      <c r="C542" s="31"/>
      <c r="D542" s="31"/>
      <c r="E542" s="31"/>
      <c r="F542" s="31"/>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c r="AW542" s="69"/>
      <c r="AX542" s="69"/>
      <c r="AY542" s="69"/>
      <c r="AZ542" s="69"/>
      <c r="BA542" s="69"/>
      <c r="BB542" s="69"/>
      <c r="BC542" s="69"/>
      <c r="BD542" s="69"/>
      <c r="BE542" s="69"/>
      <c r="BF542" s="69"/>
      <c r="BG542" s="69"/>
      <c r="BH542" s="69"/>
      <c r="BI542" s="69"/>
      <c r="BJ542" s="69"/>
      <c r="BK542" s="69"/>
      <c r="BL542" s="69"/>
      <c r="BM542" s="69"/>
      <c r="BN542" s="69"/>
      <c r="BO542" s="69"/>
      <c r="BP542" s="69"/>
      <c r="BQ542" s="69"/>
      <c r="BR542" s="69"/>
      <c r="BS542" s="69"/>
      <c r="BT542" s="69"/>
      <c r="BU542" s="69"/>
      <c r="BV542" s="69"/>
      <c r="BW542" s="69"/>
      <c r="BX542" s="69"/>
      <c r="BY542" s="69"/>
      <c r="BZ542" s="69"/>
      <c r="CA542" s="69"/>
      <c r="CB542" s="69"/>
      <c r="CC542" s="69"/>
      <c r="CD542" s="69"/>
      <c r="CE542" s="69"/>
      <c r="CF542" s="69"/>
      <c r="CG542" s="69"/>
      <c r="CH542" s="69"/>
      <c r="CI542" s="69"/>
      <c r="CJ542" s="69"/>
      <c r="CK542" s="69"/>
      <c r="CL542" s="69"/>
      <c r="CM542" s="69"/>
      <c r="CN542" s="69"/>
      <c r="CO542" s="69"/>
      <c r="CP542" s="69"/>
      <c r="CQ542" s="69"/>
      <c r="CR542" s="69"/>
      <c r="CS542" s="69"/>
      <c r="CT542" s="69"/>
      <c r="CU542" s="69"/>
      <c r="CV542" s="69"/>
      <c r="CW542" s="69"/>
      <c r="CX542" s="69"/>
      <c r="CY542" s="69"/>
      <c r="CZ542" s="69"/>
      <c r="DA542" s="69"/>
      <c r="DB542" s="69"/>
      <c r="DC542" s="69"/>
      <c r="DD542" s="69"/>
      <c r="DE542" s="69"/>
      <c r="DF542" s="69"/>
      <c r="DG542" s="69"/>
      <c r="DH542" s="69"/>
      <c r="DI542" s="69"/>
      <c r="DJ542" s="69"/>
      <c r="DK542" s="69"/>
      <c r="DL542" s="69"/>
      <c r="DM542" s="69"/>
      <c r="DN542" s="69"/>
      <c r="DO542" s="69"/>
      <c r="DP542" s="69"/>
    </row>
    <row r="543" spans="1:120" x14ac:dyDescent="0.2">
      <c r="A543" s="66"/>
      <c r="B543" s="31"/>
      <c r="C543" s="31"/>
      <c r="D543" s="31"/>
      <c r="E543" s="31"/>
      <c r="F543" s="31"/>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c r="AW543" s="69"/>
      <c r="AX543" s="69"/>
      <c r="AY543" s="69"/>
      <c r="AZ543" s="69"/>
      <c r="BA543" s="69"/>
      <c r="BB543" s="69"/>
      <c r="BC543" s="69"/>
      <c r="BD543" s="69"/>
      <c r="BE543" s="69"/>
      <c r="BF543" s="69"/>
      <c r="BG543" s="69"/>
      <c r="BH543" s="69"/>
      <c r="BI543" s="69"/>
      <c r="BJ543" s="69"/>
      <c r="BK543" s="69"/>
      <c r="BL543" s="69"/>
      <c r="BM543" s="69"/>
      <c r="BN543" s="69"/>
      <c r="BO543" s="69"/>
      <c r="BP543" s="69"/>
      <c r="BQ543" s="69"/>
      <c r="BR543" s="69"/>
      <c r="BS543" s="69"/>
      <c r="BT543" s="69"/>
      <c r="BU543" s="69"/>
      <c r="BV543" s="69"/>
      <c r="BW543" s="69"/>
      <c r="BX543" s="69"/>
      <c r="BY543" s="69"/>
      <c r="BZ543" s="69"/>
      <c r="CA543" s="69"/>
      <c r="CB543" s="69"/>
      <c r="CC543" s="69"/>
      <c r="CD543" s="69"/>
      <c r="CE543" s="69"/>
      <c r="CF543" s="69"/>
      <c r="CG543" s="69"/>
      <c r="CH543" s="69"/>
      <c r="CI543" s="69"/>
      <c r="CJ543" s="69"/>
      <c r="CK543" s="69"/>
      <c r="CL543" s="69"/>
      <c r="CM543" s="69"/>
      <c r="CN543" s="69"/>
      <c r="CO543" s="69"/>
      <c r="CP543" s="69"/>
      <c r="CQ543" s="69"/>
      <c r="CR543" s="69"/>
      <c r="CS543" s="69"/>
      <c r="CT543" s="69"/>
      <c r="CU543" s="69"/>
      <c r="CV543" s="69"/>
      <c r="CW543" s="69"/>
      <c r="CX543" s="69"/>
      <c r="CY543" s="69"/>
      <c r="CZ543" s="69"/>
      <c r="DA543" s="69"/>
      <c r="DB543" s="69"/>
      <c r="DC543" s="69"/>
      <c r="DD543" s="69"/>
      <c r="DE543" s="69"/>
      <c r="DF543" s="69"/>
      <c r="DG543" s="69"/>
      <c r="DH543" s="69"/>
      <c r="DI543" s="69"/>
      <c r="DJ543" s="69"/>
      <c r="DK543" s="69"/>
      <c r="DL543" s="69"/>
      <c r="DM543" s="69"/>
      <c r="DN543" s="69"/>
      <c r="DO543" s="69"/>
      <c r="DP543" s="69"/>
    </row>
    <row r="544" spans="1:120" x14ac:dyDescent="0.2">
      <c r="A544" s="66"/>
      <c r="B544" s="31"/>
      <c r="C544" s="31"/>
      <c r="D544" s="31"/>
      <c r="E544" s="31"/>
      <c r="F544" s="31"/>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c r="BT544" s="69"/>
      <c r="BU544" s="69"/>
      <c r="BV544" s="69"/>
      <c r="BW544" s="69"/>
      <c r="BX544" s="69"/>
      <c r="BY544" s="69"/>
      <c r="BZ544" s="69"/>
      <c r="CA544" s="69"/>
      <c r="CB544" s="69"/>
      <c r="CC544" s="69"/>
      <c r="CD544" s="69"/>
      <c r="CE544" s="69"/>
      <c r="CF544" s="69"/>
      <c r="CG544" s="69"/>
      <c r="CH544" s="69"/>
      <c r="CI544" s="69"/>
      <c r="CJ544" s="69"/>
      <c r="CK544" s="69"/>
      <c r="CL544" s="69"/>
      <c r="CM544" s="69"/>
      <c r="CN544" s="69"/>
      <c r="CO544" s="69"/>
      <c r="CP544" s="69"/>
      <c r="CQ544" s="69"/>
      <c r="CR544" s="69"/>
      <c r="CS544" s="69"/>
      <c r="CT544" s="69"/>
      <c r="CU544" s="69"/>
      <c r="CV544" s="69"/>
      <c r="CW544" s="69"/>
      <c r="CX544" s="69"/>
      <c r="CY544" s="69"/>
      <c r="CZ544" s="69"/>
      <c r="DA544" s="69"/>
      <c r="DB544" s="69"/>
      <c r="DC544" s="69"/>
      <c r="DD544" s="69"/>
      <c r="DE544" s="69"/>
      <c r="DF544" s="69"/>
      <c r="DG544" s="69"/>
      <c r="DH544" s="69"/>
      <c r="DI544" s="69"/>
      <c r="DJ544" s="69"/>
      <c r="DK544" s="69"/>
      <c r="DL544" s="69"/>
      <c r="DM544" s="69"/>
      <c r="DN544" s="69"/>
      <c r="DO544" s="69"/>
      <c r="DP544" s="69"/>
    </row>
    <row r="545" spans="1:120" x14ac:dyDescent="0.2">
      <c r="A545" s="66"/>
      <c r="B545" s="31"/>
      <c r="C545" s="31"/>
      <c r="D545" s="31"/>
      <c r="E545" s="31"/>
      <c r="F545" s="31"/>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c r="BT545" s="69"/>
      <c r="BU545" s="69"/>
      <c r="BV545" s="69"/>
      <c r="BW545" s="69"/>
      <c r="BX545" s="69"/>
      <c r="BY545" s="69"/>
      <c r="BZ545" s="69"/>
      <c r="CA545" s="69"/>
      <c r="CB545" s="69"/>
      <c r="CC545" s="69"/>
      <c r="CD545" s="69"/>
      <c r="CE545" s="69"/>
      <c r="CF545" s="69"/>
      <c r="CG545" s="69"/>
      <c r="CH545" s="69"/>
      <c r="CI545" s="69"/>
      <c r="CJ545" s="69"/>
      <c r="CK545" s="69"/>
      <c r="CL545" s="69"/>
      <c r="CM545" s="69"/>
      <c r="CN545" s="69"/>
      <c r="CO545" s="69"/>
      <c r="CP545" s="69"/>
      <c r="CQ545" s="69"/>
      <c r="CR545" s="69"/>
      <c r="CS545" s="69"/>
      <c r="CT545" s="69"/>
      <c r="CU545" s="69"/>
      <c r="CV545" s="69"/>
      <c r="CW545" s="69"/>
      <c r="CX545" s="69"/>
      <c r="CY545" s="69"/>
      <c r="CZ545" s="69"/>
      <c r="DA545" s="69"/>
      <c r="DB545" s="69"/>
      <c r="DC545" s="69"/>
      <c r="DD545" s="69"/>
      <c r="DE545" s="69"/>
      <c r="DF545" s="69"/>
      <c r="DG545" s="69"/>
      <c r="DH545" s="69"/>
      <c r="DI545" s="69"/>
      <c r="DJ545" s="69"/>
      <c r="DK545" s="69"/>
      <c r="DL545" s="69"/>
      <c r="DM545" s="69"/>
      <c r="DN545" s="69"/>
      <c r="DO545" s="69"/>
      <c r="DP545" s="69"/>
    </row>
    <row r="546" spans="1:120" x14ac:dyDescent="0.2">
      <c r="A546" s="66"/>
      <c r="B546" s="31"/>
      <c r="C546" s="31"/>
      <c r="D546" s="31"/>
      <c r="E546" s="31"/>
      <c r="F546" s="31"/>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c r="AW546" s="69"/>
      <c r="AX546" s="69"/>
      <c r="AY546" s="69"/>
      <c r="AZ546" s="69"/>
      <c r="BA546" s="69"/>
      <c r="BB546" s="69"/>
      <c r="BC546" s="69"/>
      <c r="BD546" s="69"/>
      <c r="BE546" s="69"/>
      <c r="BF546" s="69"/>
      <c r="BG546" s="69"/>
      <c r="BH546" s="69"/>
      <c r="BI546" s="69"/>
      <c r="BJ546" s="69"/>
      <c r="BK546" s="69"/>
      <c r="BL546" s="69"/>
      <c r="BM546" s="69"/>
      <c r="BN546" s="69"/>
      <c r="BO546" s="69"/>
      <c r="BP546" s="69"/>
      <c r="BQ546" s="69"/>
      <c r="BR546" s="69"/>
      <c r="BS546" s="69"/>
      <c r="BT546" s="69"/>
      <c r="BU546" s="69"/>
      <c r="BV546" s="69"/>
      <c r="BW546" s="69"/>
      <c r="BX546" s="69"/>
      <c r="BY546" s="69"/>
      <c r="BZ546" s="69"/>
      <c r="CA546" s="69"/>
      <c r="CB546" s="69"/>
      <c r="CC546" s="69"/>
      <c r="CD546" s="69"/>
      <c r="CE546" s="69"/>
      <c r="CF546" s="69"/>
      <c r="CG546" s="69"/>
      <c r="CH546" s="69"/>
      <c r="CI546" s="69"/>
      <c r="CJ546" s="69"/>
      <c r="CK546" s="69"/>
      <c r="CL546" s="69"/>
      <c r="CM546" s="69"/>
      <c r="CN546" s="69"/>
      <c r="CO546" s="69"/>
      <c r="CP546" s="69"/>
      <c r="CQ546" s="69"/>
      <c r="CR546" s="69"/>
      <c r="CS546" s="69"/>
      <c r="CT546" s="69"/>
      <c r="CU546" s="69"/>
      <c r="CV546" s="69"/>
      <c r="CW546" s="69"/>
      <c r="CX546" s="69"/>
      <c r="CY546" s="69"/>
      <c r="CZ546" s="69"/>
      <c r="DA546" s="69"/>
      <c r="DB546" s="69"/>
      <c r="DC546" s="69"/>
      <c r="DD546" s="69"/>
      <c r="DE546" s="69"/>
      <c r="DF546" s="69"/>
      <c r="DG546" s="69"/>
      <c r="DH546" s="69"/>
      <c r="DI546" s="69"/>
      <c r="DJ546" s="69"/>
      <c r="DK546" s="69"/>
      <c r="DL546" s="69"/>
      <c r="DM546" s="69"/>
      <c r="DN546" s="69"/>
      <c r="DO546" s="69"/>
      <c r="DP546" s="69"/>
    </row>
    <row r="547" spans="1:120" x14ac:dyDescent="0.2">
      <c r="A547" s="66"/>
      <c r="B547" s="31"/>
      <c r="C547" s="31"/>
      <c r="D547" s="31"/>
      <c r="E547" s="31"/>
      <c r="F547" s="31"/>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c r="BT547" s="69"/>
      <c r="BU547" s="69"/>
      <c r="BV547" s="69"/>
      <c r="BW547" s="69"/>
      <c r="BX547" s="69"/>
      <c r="BY547" s="69"/>
      <c r="BZ547" s="69"/>
      <c r="CA547" s="69"/>
      <c r="CB547" s="69"/>
      <c r="CC547" s="69"/>
      <c r="CD547" s="69"/>
      <c r="CE547" s="69"/>
      <c r="CF547" s="69"/>
      <c r="CG547" s="69"/>
      <c r="CH547" s="69"/>
      <c r="CI547" s="69"/>
      <c r="CJ547" s="69"/>
      <c r="CK547" s="69"/>
      <c r="CL547" s="69"/>
      <c r="CM547" s="69"/>
      <c r="CN547" s="69"/>
      <c r="CO547" s="69"/>
      <c r="CP547" s="69"/>
      <c r="CQ547" s="69"/>
      <c r="CR547" s="69"/>
      <c r="CS547" s="69"/>
      <c r="CT547" s="69"/>
      <c r="CU547" s="69"/>
      <c r="CV547" s="69"/>
      <c r="CW547" s="69"/>
      <c r="CX547" s="69"/>
      <c r="CY547" s="69"/>
      <c r="CZ547" s="69"/>
      <c r="DA547" s="69"/>
      <c r="DB547" s="69"/>
      <c r="DC547" s="69"/>
      <c r="DD547" s="69"/>
      <c r="DE547" s="69"/>
      <c r="DF547" s="69"/>
      <c r="DG547" s="69"/>
      <c r="DH547" s="69"/>
      <c r="DI547" s="69"/>
      <c r="DJ547" s="69"/>
      <c r="DK547" s="69"/>
      <c r="DL547" s="69"/>
      <c r="DM547" s="69"/>
      <c r="DN547" s="69"/>
      <c r="DO547" s="69"/>
      <c r="DP547" s="69"/>
    </row>
    <row r="548" spans="1:120" x14ac:dyDescent="0.2">
      <c r="A548" s="66"/>
      <c r="B548" s="31"/>
      <c r="C548" s="31"/>
      <c r="D548" s="31"/>
      <c r="E548" s="31"/>
      <c r="F548" s="31"/>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c r="BT548" s="69"/>
      <c r="BU548" s="69"/>
      <c r="BV548" s="69"/>
      <c r="BW548" s="69"/>
      <c r="BX548" s="69"/>
      <c r="BY548" s="69"/>
      <c r="BZ548" s="69"/>
      <c r="CA548" s="69"/>
      <c r="CB548" s="69"/>
      <c r="CC548" s="69"/>
      <c r="CD548" s="69"/>
      <c r="CE548" s="69"/>
      <c r="CF548" s="69"/>
      <c r="CG548" s="69"/>
      <c r="CH548" s="69"/>
      <c r="CI548" s="69"/>
      <c r="CJ548" s="69"/>
      <c r="CK548" s="69"/>
      <c r="CL548" s="69"/>
      <c r="CM548" s="69"/>
      <c r="CN548" s="69"/>
      <c r="CO548" s="69"/>
      <c r="CP548" s="69"/>
      <c r="CQ548" s="69"/>
      <c r="CR548" s="69"/>
      <c r="CS548" s="69"/>
      <c r="CT548" s="69"/>
      <c r="CU548" s="69"/>
      <c r="CV548" s="69"/>
      <c r="CW548" s="69"/>
      <c r="CX548" s="69"/>
      <c r="CY548" s="69"/>
      <c r="CZ548" s="69"/>
      <c r="DA548" s="69"/>
      <c r="DB548" s="69"/>
      <c r="DC548" s="69"/>
      <c r="DD548" s="69"/>
      <c r="DE548" s="69"/>
      <c r="DF548" s="69"/>
      <c r="DG548" s="69"/>
      <c r="DH548" s="69"/>
      <c r="DI548" s="69"/>
      <c r="DJ548" s="69"/>
      <c r="DK548" s="69"/>
      <c r="DL548" s="69"/>
      <c r="DM548" s="69"/>
      <c r="DN548" s="69"/>
      <c r="DO548" s="69"/>
      <c r="DP548" s="69"/>
    </row>
    <row r="549" spans="1:120" x14ac:dyDescent="0.2">
      <c r="A549" s="66"/>
      <c r="B549" s="31"/>
      <c r="C549" s="31"/>
      <c r="D549" s="31"/>
      <c r="E549" s="31"/>
      <c r="F549" s="31"/>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c r="BT549" s="69"/>
      <c r="BU549" s="69"/>
      <c r="BV549" s="69"/>
      <c r="BW549" s="69"/>
      <c r="BX549" s="69"/>
      <c r="BY549" s="69"/>
      <c r="BZ549" s="69"/>
      <c r="CA549" s="69"/>
      <c r="CB549" s="69"/>
      <c r="CC549" s="69"/>
      <c r="CD549" s="69"/>
      <c r="CE549" s="69"/>
      <c r="CF549" s="69"/>
      <c r="CG549" s="69"/>
      <c r="CH549" s="69"/>
      <c r="CI549" s="69"/>
      <c r="CJ549" s="69"/>
      <c r="CK549" s="69"/>
      <c r="CL549" s="69"/>
      <c r="CM549" s="69"/>
      <c r="CN549" s="69"/>
      <c r="CO549" s="69"/>
      <c r="CP549" s="69"/>
      <c r="CQ549" s="69"/>
      <c r="CR549" s="69"/>
      <c r="CS549" s="69"/>
      <c r="CT549" s="69"/>
      <c r="CU549" s="69"/>
      <c r="CV549" s="69"/>
      <c r="CW549" s="69"/>
      <c r="CX549" s="69"/>
      <c r="CY549" s="69"/>
      <c r="CZ549" s="69"/>
      <c r="DA549" s="69"/>
      <c r="DB549" s="69"/>
      <c r="DC549" s="69"/>
      <c r="DD549" s="69"/>
      <c r="DE549" s="69"/>
      <c r="DF549" s="69"/>
      <c r="DG549" s="69"/>
      <c r="DH549" s="69"/>
      <c r="DI549" s="69"/>
      <c r="DJ549" s="69"/>
      <c r="DK549" s="69"/>
      <c r="DL549" s="69"/>
      <c r="DM549" s="69"/>
      <c r="DN549" s="69"/>
      <c r="DO549" s="69"/>
      <c r="DP549" s="69"/>
    </row>
    <row r="550" spans="1:120" x14ac:dyDescent="0.2">
      <c r="A550" s="66"/>
      <c r="B550" s="31"/>
      <c r="C550" s="31"/>
      <c r="D550" s="31"/>
      <c r="E550" s="31"/>
      <c r="F550" s="31"/>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c r="BT550" s="69"/>
      <c r="BU550" s="69"/>
      <c r="BV550" s="69"/>
      <c r="BW550" s="69"/>
      <c r="BX550" s="69"/>
      <c r="BY550" s="69"/>
      <c r="BZ550" s="69"/>
      <c r="CA550" s="69"/>
      <c r="CB550" s="69"/>
      <c r="CC550" s="69"/>
      <c r="CD550" s="69"/>
      <c r="CE550" s="69"/>
      <c r="CF550" s="69"/>
      <c r="CG550" s="69"/>
      <c r="CH550" s="69"/>
      <c r="CI550" s="69"/>
      <c r="CJ550" s="69"/>
      <c r="CK550" s="69"/>
      <c r="CL550" s="69"/>
      <c r="CM550" s="69"/>
      <c r="CN550" s="69"/>
      <c r="CO550" s="69"/>
      <c r="CP550" s="69"/>
      <c r="CQ550" s="69"/>
      <c r="CR550" s="69"/>
      <c r="CS550" s="69"/>
      <c r="CT550" s="69"/>
      <c r="CU550" s="69"/>
      <c r="CV550" s="69"/>
      <c r="CW550" s="69"/>
      <c r="CX550" s="69"/>
      <c r="CY550" s="69"/>
      <c r="CZ550" s="69"/>
      <c r="DA550" s="69"/>
      <c r="DB550" s="69"/>
      <c r="DC550" s="69"/>
      <c r="DD550" s="69"/>
      <c r="DE550" s="69"/>
      <c r="DF550" s="69"/>
      <c r="DG550" s="69"/>
      <c r="DH550" s="69"/>
      <c r="DI550" s="69"/>
      <c r="DJ550" s="69"/>
      <c r="DK550" s="69"/>
      <c r="DL550" s="69"/>
      <c r="DM550" s="69"/>
      <c r="DN550" s="69"/>
      <c r="DO550" s="69"/>
      <c r="DP550" s="69"/>
    </row>
    <row r="551" spans="1:120" x14ac:dyDescent="0.2">
      <c r="A551" s="66"/>
      <c r="B551" s="31"/>
      <c r="C551" s="31"/>
      <c r="D551" s="31"/>
      <c r="E551" s="31"/>
      <c r="F551" s="31"/>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c r="BT551" s="69"/>
      <c r="BU551" s="69"/>
      <c r="BV551" s="69"/>
      <c r="BW551" s="69"/>
      <c r="BX551" s="69"/>
      <c r="BY551" s="69"/>
      <c r="BZ551" s="69"/>
      <c r="CA551" s="69"/>
      <c r="CB551" s="69"/>
      <c r="CC551" s="69"/>
      <c r="CD551" s="69"/>
      <c r="CE551" s="69"/>
      <c r="CF551" s="69"/>
      <c r="CG551" s="69"/>
      <c r="CH551" s="69"/>
      <c r="CI551" s="69"/>
      <c r="CJ551" s="69"/>
      <c r="CK551" s="69"/>
      <c r="CL551" s="69"/>
      <c r="CM551" s="69"/>
      <c r="CN551" s="69"/>
      <c r="CO551" s="69"/>
      <c r="CP551" s="69"/>
      <c r="CQ551" s="69"/>
      <c r="CR551" s="69"/>
      <c r="CS551" s="69"/>
      <c r="CT551" s="69"/>
      <c r="CU551" s="69"/>
      <c r="CV551" s="69"/>
      <c r="CW551" s="69"/>
      <c r="CX551" s="69"/>
      <c r="CY551" s="69"/>
      <c r="CZ551" s="69"/>
      <c r="DA551" s="69"/>
      <c r="DB551" s="69"/>
      <c r="DC551" s="69"/>
      <c r="DD551" s="69"/>
      <c r="DE551" s="69"/>
      <c r="DF551" s="69"/>
      <c r="DG551" s="69"/>
      <c r="DH551" s="69"/>
      <c r="DI551" s="69"/>
      <c r="DJ551" s="69"/>
      <c r="DK551" s="69"/>
      <c r="DL551" s="69"/>
      <c r="DM551" s="69"/>
      <c r="DN551" s="69"/>
      <c r="DO551" s="69"/>
      <c r="DP551" s="69"/>
    </row>
    <row r="552" spans="1:120" x14ac:dyDescent="0.2">
      <c r="A552" s="66"/>
      <c r="B552" s="31"/>
      <c r="C552" s="31"/>
      <c r="D552" s="31"/>
      <c r="E552" s="31"/>
      <c r="F552" s="31"/>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c r="BT552" s="69"/>
      <c r="BU552" s="69"/>
      <c r="BV552" s="69"/>
      <c r="BW552" s="69"/>
      <c r="BX552" s="69"/>
      <c r="BY552" s="69"/>
      <c r="BZ552" s="69"/>
      <c r="CA552" s="69"/>
      <c r="CB552" s="69"/>
      <c r="CC552" s="69"/>
      <c r="CD552" s="69"/>
      <c r="CE552" s="69"/>
      <c r="CF552" s="69"/>
      <c r="CG552" s="69"/>
      <c r="CH552" s="69"/>
      <c r="CI552" s="69"/>
      <c r="CJ552" s="69"/>
      <c r="CK552" s="69"/>
      <c r="CL552" s="69"/>
      <c r="CM552" s="69"/>
      <c r="CN552" s="69"/>
      <c r="CO552" s="69"/>
      <c r="CP552" s="69"/>
      <c r="CQ552" s="69"/>
      <c r="CR552" s="69"/>
      <c r="CS552" s="69"/>
      <c r="CT552" s="69"/>
      <c r="CU552" s="69"/>
      <c r="CV552" s="69"/>
      <c r="CW552" s="69"/>
      <c r="CX552" s="69"/>
      <c r="CY552" s="69"/>
      <c r="CZ552" s="69"/>
      <c r="DA552" s="69"/>
      <c r="DB552" s="69"/>
      <c r="DC552" s="69"/>
      <c r="DD552" s="69"/>
      <c r="DE552" s="69"/>
      <c r="DF552" s="69"/>
      <c r="DG552" s="69"/>
      <c r="DH552" s="69"/>
      <c r="DI552" s="69"/>
      <c r="DJ552" s="69"/>
      <c r="DK552" s="69"/>
      <c r="DL552" s="69"/>
      <c r="DM552" s="69"/>
      <c r="DN552" s="69"/>
      <c r="DO552" s="69"/>
      <c r="DP552" s="69"/>
    </row>
    <row r="553" spans="1:120" x14ac:dyDescent="0.2">
      <c r="A553" s="66"/>
      <c r="B553" s="31"/>
      <c r="C553" s="31"/>
      <c r="D553" s="31"/>
      <c r="E553" s="31"/>
      <c r="F553" s="31"/>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c r="BT553" s="69"/>
      <c r="BU553" s="69"/>
      <c r="BV553" s="69"/>
      <c r="BW553" s="69"/>
      <c r="BX553" s="69"/>
      <c r="BY553" s="69"/>
      <c r="BZ553" s="69"/>
      <c r="CA553" s="69"/>
      <c r="CB553" s="69"/>
      <c r="CC553" s="69"/>
      <c r="CD553" s="69"/>
      <c r="CE553" s="69"/>
      <c r="CF553" s="69"/>
      <c r="CG553" s="69"/>
      <c r="CH553" s="69"/>
      <c r="CI553" s="69"/>
      <c r="CJ553" s="69"/>
      <c r="CK553" s="69"/>
      <c r="CL553" s="69"/>
      <c r="CM553" s="69"/>
      <c r="CN553" s="69"/>
      <c r="CO553" s="69"/>
      <c r="CP553" s="69"/>
      <c r="CQ553" s="69"/>
      <c r="CR553" s="69"/>
      <c r="CS553" s="69"/>
      <c r="CT553" s="69"/>
      <c r="CU553" s="69"/>
      <c r="CV553" s="69"/>
      <c r="CW553" s="69"/>
      <c r="CX553" s="69"/>
      <c r="CY553" s="69"/>
      <c r="CZ553" s="69"/>
      <c r="DA553" s="69"/>
      <c r="DB553" s="69"/>
      <c r="DC553" s="69"/>
      <c r="DD553" s="69"/>
      <c r="DE553" s="69"/>
      <c r="DF553" s="69"/>
      <c r="DG553" s="69"/>
      <c r="DH553" s="69"/>
      <c r="DI553" s="69"/>
      <c r="DJ553" s="69"/>
      <c r="DK553" s="69"/>
      <c r="DL553" s="69"/>
      <c r="DM553" s="69"/>
      <c r="DN553" s="69"/>
      <c r="DO553" s="69"/>
      <c r="DP553" s="69"/>
    </row>
    <row r="554" spans="1:120" x14ac:dyDescent="0.2">
      <c r="A554" s="66"/>
      <c r="B554" s="31"/>
      <c r="C554" s="31"/>
      <c r="D554" s="31"/>
      <c r="E554" s="31"/>
      <c r="F554" s="31"/>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c r="BT554" s="69"/>
      <c r="BU554" s="69"/>
      <c r="BV554" s="69"/>
      <c r="BW554" s="69"/>
      <c r="BX554" s="69"/>
      <c r="BY554" s="69"/>
      <c r="BZ554" s="69"/>
      <c r="CA554" s="69"/>
      <c r="CB554" s="69"/>
      <c r="CC554" s="69"/>
      <c r="CD554" s="69"/>
      <c r="CE554" s="69"/>
      <c r="CF554" s="69"/>
      <c r="CG554" s="69"/>
      <c r="CH554" s="69"/>
      <c r="CI554" s="69"/>
      <c r="CJ554" s="69"/>
      <c r="CK554" s="69"/>
      <c r="CL554" s="69"/>
      <c r="CM554" s="69"/>
      <c r="CN554" s="69"/>
      <c r="CO554" s="69"/>
      <c r="CP554" s="69"/>
      <c r="CQ554" s="69"/>
      <c r="CR554" s="69"/>
      <c r="CS554" s="69"/>
      <c r="CT554" s="69"/>
      <c r="CU554" s="69"/>
      <c r="CV554" s="69"/>
      <c r="CW554" s="69"/>
      <c r="CX554" s="69"/>
      <c r="CY554" s="69"/>
      <c r="CZ554" s="69"/>
      <c r="DA554" s="69"/>
      <c r="DB554" s="69"/>
      <c r="DC554" s="69"/>
      <c r="DD554" s="69"/>
      <c r="DE554" s="69"/>
      <c r="DF554" s="69"/>
      <c r="DG554" s="69"/>
      <c r="DH554" s="69"/>
      <c r="DI554" s="69"/>
      <c r="DJ554" s="69"/>
      <c r="DK554" s="69"/>
      <c r="DL554" s="69"/>
      <c r="DM554" s="69"/>
      <c r="DN554" s="69"/>
      <c r="DO554" s="69"/>
      <c r="DP554" s="69"/>
    </row>
    <row r="555" spans="1:120" x14ac:dyDescent="0.2">
      <c r="A555" s="66"/>
      <c r="B555" s="31"/>
      <c r="C555" s="31"/>
      <c r="D555" s="31"/>
      <c r="E555" s="31"/>
      <c r="F555" s="31"/>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c r="BT555" s="69"/>
      <c r="BU555" s="69"/>
      <c r="BV555" s="69"/>
      <c r="BW555" s="69"/>
      <c r="BX555" s="69"/>
      <c r="BY555" s="69"/>
      <c r="BZ555" s="69"/>
      <c r="CA555" s="69"/>
      <c r="CB555" s="69"/>
      <c r="CC555" s="69"/>
      <c r="CD555" s="69"/>
      <c r="CE555" s="69"/>
      <c r="CF555" s="69"/>
      <c r="CG555" s="69"/>
      <c r="CH555" s="69"/>
      <c r="CI555" s="69"/>
      <c r="CJ555" s="69"/>
      <c r="CK555" s="69"/>
      <c r="CL555" s="69"/>
      <c r="CM555" s="69"/>
      <c r="CN555" s="69"/>
      <c r="CO555" s="69"/>
      <c r="CP555" s="69"/>
      <c r="CQ555" s="69"/>
      <c r="CR555" s="69"/>
      <c r="CS555" s="69"/>
      <c r="CT555" s="69"/>
      <c r="CU555" s="69"/>
      <c r="CV555" s="69"/>
      <c r="CW555" s="69"/>
      <c r="CX555" s="69"/>
      <c r="CY555" s="69"/>
      <c r="CZ555" s="69"/>
      <c r="DA555" s="69"/>
      <c r="DB555" s="69"/>
      <c r="DC555" s="69"/>
      <c r="DD555" s="69"/>
      <c r="DE555" s="69"/>
      <c r="DF555" s="69"/>
      <c r="DG555" s="69"/>
      <c r="DH555" s="69"/>
      <c r="DI555" s="69"/>
      <c r="DJ555" s="69"/>
      <c r="DK555" s="69"/>
      <c r="DL555" s="69"/>
      <c r="DM555" s="69"/>
      <c r="DN555" s="69"/>
      <c r="DO555" s="69"/>
      <c r="DP555" s="69"/>
    </row>
    <row r="556" spans="1:120" x14ac:dyDescent="0.2">
      <c r="A556" s="66"/>
      <c r="B556" s="31"/>
      <c r="C556" s="31"/>
      <c r="D556" s="31"/>
      <c r="E556" s="31"/>
      <c r="F556" s="31"/>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c r="BT556" s="69"/>
      <c r="BU556" s="69"/>
      <c r="BV556" s="69"/>
      <c r="BW556" s="69"/>
      <c r="BX556" s="69"/>
      <c r="BY556" s="69"/>
      <c r="BZ556" s="69"/>
      <c r="CA556" s="69"/>
      <c r="CB556" s="69"/>
      <c r="CC556" s="69"/>
      <c r="CD556" s="69"/>
      <c r="CE556" s="69"/>
      <c r="CF556" s="69"/>
      <c r="CG556" s="69"/>
      <c r="CH556" s="69"/>
      <c r="CI556" s="69"/>
      <c r="CJ556" s="69"/>
      <c r="CK556" s="69"/>
      <c r="CL556" s="69"/>
      <c r="CM556" s="69"/>
      <c r="CN556" s="69"/>
      <c r="CO556" s="69"/>
      <c r="CP556" s="69"/>
      <c r="CQ556" s="69"/>
      <c r="CR556" s="69"/>
      <c r="CS556" s="69"/>
      <c r="CT556" s="69"/>
      <c r="CU556" s="69"/>
      <c r="CV556" s="69"/>
      <c r="CW556" s="69"/>
      <c r="CX556" s="69"/>
      <c r="CY556" s="69"/>
      <c r="CZ556" s="69"/>
      <c r="DA556" s="69"/>
      <c r="DB556" s="69"/>
      <c r="DC556" s="69"/>
      <c r="DD556" s="69"/>
      <c r="DE556" s="69"/>
      <c r="DF556" s="69"/>
      <c r="DG556" s="69"/>
      <c r="DH556" s="69"/>
      <c r="DI556" s="69"/>
      <c r="DJ556" s="69"/>
      <c r="DK556" s="69"/>
      <c r="DL556" s="69"/>
      <c r="DM556" s="69"/>
      <c r="DN556" s="69"/>
      <c r="DO556" s="69"/>
      <c r="DP556" s="69"/>
    </row>
    <row r="557" spans="1:120" x14ac:dyDescent="0.2">
      <c r="A557" s="66"/>
      <c r="B557" s="31"/>
      <c r="C557" s="31"/>
      <c r="D557" s="31"/>
      <c r="E557" s="31"/>
      <c r="F557" s="31"/>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c r="BT557" s="69"/>
      <c r="BU557" s="69"/>
      <c r="BV557" s="69"/>
      <c r="BW557" s="69"/>
      <c r="BX557" s="69"/>
      <c r="BY557" s="69"/>
      <c r="BZ557" s="69"/>
      <c r="CA557" s="69"/>
      <c r="CB557" s="69"/>
      <c r="CC557" s="69"/>
      <c r="CD557" s="69"/>
      <c r="CE557" s="69"/>
      <c r="CF557" s="69"/>
      <c r="CG557" s="69"/>
      <c r="CH557" s="69"/>
      <c r="CI557" s="69"/>
      <c r="CJ557" s="69"/>
      <c r="CK557" s="69"/>
      <c r="CL557" s="69"/>
      <c r="CM557" s="69"/>
      <c r="CN557" s="69"/>
      <c r="CO557" s="69"/>
      <c r="CP557" s="69"/>
      <c r="CQ557" s="69"/>
      <c r="CR557" s="69"/>
      <c r="CS557" s="69"/>
      <c r="CT557" s="69"/>
      <c r="CU557" s="69"/>
      <c r="CV557" s="69"/>
      <c r="CW557" s="69"/>
      <c r="CX557" s="69"/>
      <c r="CY557" s="69"/>
      <c r="CZ557" s="69"/>
      <c r="DA557" s="69"/>
      <c r="DB557" s="69"/>
      <c r="DC557" s="69"/>
      <c r="DD557" s="69"/>
      <c r="DE557" s="69"/>
      <c r="DF557" s="69"/>
      <c r="DG557" s="69"/>
      <c r="DH557" s="69"/>
      <c r="DI557" s="69"/>
      <c r="DJ557" s="69"/>
      <c r="DK557" s="69"/>
      <c r="DL557" s="69"/>
      <c r="DM557" s="69"/>
      <c r="DN557" s="69"/>
      <c r="DO557" s="69"/>
      <c r="DP557" s="69"/>
    </row>
    <row r="558" spans="1:120" x14ac:dyDescent="0.2">
      <c r="A558" s="66"/>
      <c r="B558" s="31"/>
      <c r="C558" s="31"/>
      <c r="D558" s="31"/>
      <c r="E558" s="31"/>
      <c r="F558" s="31"/>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c r="BT558" s="69"/>
      <c r="BU558" s="69"/>
      <c r="BV558" s="69"/>
      <c r="BW558" s="69"/>
      <c r="BX558" s="69"/>
      <c r="BY558" s="69"/>
      <c r="BZ558" s="69"/>
      <c r="CA558" s="69"/>
      <c r="CB558" s="69"/>
      <c r="CC558" s="69"/>
      <c r="CD558" s="69"/>
      <c r="CE558" s="69"/>
      <c r="CF558" s="69"/>
      <c r="CG558" s="69"/>
      <c r="CH558" s="69"/>
      <c r="CI558" s="69"/>
      <c r="CJ558" s="69"/>
      <c r="CK558" s="69"/>
      <c r="CL558" s="69"/>
      <c r="CM558" s="69"/>
      <c r="CN558" s="69"/>
      <c r="CO558" s="69"/>
      <c r="CP558" s="69"/>
      <c r="CQ558" s="69"/>
      <c r="CR558" s="69"/>
      <c r="CS558" s="69"/>
      <c r="CT558" s="69"/>
      <c r="CU558" s="69"/>
      <c r="CV558" s="69"/>
      <c r="CW558" s="69"/>
      <c r="CX558" s="69"/>
      <c r="CY558" s="69"/>
      <c r="CZ558" s="69"/>
      <c r="DA558" s="69"/>
      <c r="DB558" s="69"/>
      <c r="DC558" s="69"/>
      <c r="DD558" s="69"/>
      <c r="DE558" s="69"/>
      <c r="DF558" s="69"/>
      <c r="DG558" s="69"/>
      <c r="DH558" s="69"/>
      <c r="DI558" s="69"/>
      <c r="DJ558" s="69"/>
      <c r="DK558" s="69"/>
      <c r="DL558" s="69"/>
      <c r="DM558" s="69"/>
      <c r="DN558" s="69"/>
      <c r="DO558" s="69"/>
      <c r="DP558" s="69"/>
    </row>
    <row r="559" spans="1:120" x14ac:dyDescent="0.2">
      <c r="A559" s="66"/>
      <c r="B559" s="31"/>
      <c r="C559" s="31"/>
      <c r="D559" s="31"/>
      <c r="E559" s="31"/>
      <c r="F559" s="31"/>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c r="BT559" s="69"/>
      <c r="BU559" s="69"/>
      <c r="BV559" s="69"/>
      <c r="BW559" s="69"/>
      <c r="BX559" s="69"/>
      <c r="BY559" s="69"/>
      <c r="BZ559" s="69"/>
      <c r="CA559" s="69"/>
      <c r="CB559" s="69"/>
      <c r="CC559" s="69"/>
      <c r="CD559" s="69"/>
      <c r="CE559" s="69"/>
      <c r="CF559" s="69"/>
      <c r="CG559" s="69"/>
      <c r="CH559" s="69"/>
      <c r="CI559" s="69"/>
      <c r="CJ559" s="69"/>
      <c r="CK559" s="69"/>
      <c r="CL559" s="69"/>
      <c r="CM559" s="69"/>
      <c r="CN559" s="69"/>
      <c r="CO559" s="69"/>
      <c r="CP559" s="69"/>
      <c r="CQ559" s="69"/>
      <c r="CR559" s="69"/>
      <c r="CS559" s="69"/>
      <c r="CT559" s="69"/>
      <c r="CU559" s="69"/>
      <c r="CV559" s="69"/>
      <c r="CW559" s="69"/>
      <c r="CX559" s="69"/>
      <c r="CY559" s="69"/>
      <c r="CZ559" s="69"/>
      <c r="DA559" s="69"/>
      <c r="DB559" s="69"/>
      <c r="DC559" s="69"/>
      <c r="DD559" s="69"/>
      <c r="DE559" s="69"/>
      <c r="DF559" s="69"/>
      <c r="DG559" s="69"/>
      <c r="DH559" s="69"/>
      <c r="DI559" s="69"/>
      <c r="DJ559" s="69"/>
      <c r="DK559" s="69"/>
      <c r="DL559" s="69"/>
      <c r="DM559" s="69"/>
      <c r="DN559" s="69"/>
      <c r="DO559" s="69"/>
      <c r="DP559" s="69"/>
    </row>
    <row r="560" spans="1:120" x14ac:dyDescent="0.2">
      <c r="A560" s="66"/>
      <c r="B560" s="31"/>
      <c r="C560" s="31"/>
      <c r="D560" s="31"/>
      <c r="E560" s="31"/>
      <c r="F560" s="31"/>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c r="BT560" s="69"/>
      <c r="BU560" s="69"/>
      <c r="BV560" s="69"/>
      <c r="BW560" s="69"/>
      <c r="BX560" s="69"/>
      <c r="BY560" s="69"/>
      <c r="BZ560" s="69"/>
      <c r="CA560" s="69"/>
      <c r="CB560" s="69"/>
      <c r="CC560" s="69"/>
      <c r="CD560" s="69"/>
      <c r="CE560" s="69"/>
      <c r="CF560" s="69"/>
      <c r="CG560" s="69"/>
      <c r="CH560" s="69"/>
      <c r="CI560" s="69"/>
      <c r="CJ560" s="69"/>
      <c r="CK560" s="69"/>
      <c r="CL560" s="69"/>
      <c r="CM560" s="69"/>
      <c r="CN560" s="69"/>
      <c r="CO560" s="69"/>
      <c r="CP560" s="69"/>
      <c r="CQ560" s="69"/>
      <c r="CR560" s="69"/>
      <c r="CS560" s="69"/>
      <c r="CT560" s="69"/>
      <c r="CU560" s="69"/>
      <c r="CV560" s="69"/>
      <c r="CW560" s="69"/>
      <c r="CX560" s="69"/>
      <c r="CY560" s="69"/>
      <c r="CZ560" s="69"/>
      <c r="DA560" s="69"/>
      <c r="DB560" s="69"/>
      <c r="DC560" s="69"/>
      <c r="DD560" s="69"/>
      <c r="DE560" s="69"/>
      <c r="DF560" s="69"/>
      <c r="DG560" s="69"/>
      <c r="DH560" s="69"/>
      <c r="DI560" s="69"/>
      <c r="DJ560" s="69"/>
      <c r="DK560" s="69"/>
      <c r="DL560" s="69"/>
      <c r="DM560" s="69"/>
      <c r="DN560" s="69"/>
      <c r="DO560" s="69"/>
      <c r="DP560" s="69"/>
    </row>
    <row r="561" spans="1:120" x14ac:dyDescent="0.2">
      <c r="A561" s="66"/>
      <c r="B561" s="31"/>
      <c r="C561" s="31"/>
      <c r="D561" s="31"/>
      <c r="E561" s="31"/>
      <c r="F561" s="31"/>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c r="BT561" s="69"/>
      <c r="BU561" s="69"/>
      <c r="BV561" s="69"/>
      <c r="BW561" s="69"/>
      <c r="BX561" s="69"/>
      <c r="BY561" s="69"/>
      <c r="BZ561" s="69"/>
      <c r="CA561" s="69"/>
      <c r="CB561" s="69"/>
      <c r="CC561" s="69"/>
      <c r="CD561" s="69"/>
      <c r="CE561" s="69"/>
      <c r="CF561" s="69"/>
      <c r="CG561" s="69"/>
      <c r="CH561" s="69"/>
      <c r="CI561" s="69"/>
      <c r="CJ561" s="69"/>
      <c r="CK561" s="69"/>
      <c r="CL561" s="69"/>
      <c r="CM561" s="69"/>
      <c r="CN561" s="69"/>
      <c r="CO561" s="69"/>
      <c r="CP561" s="69"/>
      <c r="CQ561" s="69"/>
      <c r="CR561" s="69"/>
      <c r="CS561" s="69"/>
      <c r="CT561" s="69"/>
      <c r="CU561" s="69"/>
      <c r="CV561" s="69"/>
      <c r="CW561" s="69"/>
      <c r="CX561" s="69"/>
      <c r="CY561" s="69"/>
      <c r="CZ561" s="69"/>
      <c r="DA561" s="69"/>
      <c r="DB561" s="69"/>
      <c r="DC561" s="69"/>
      <c r="DD561" s="69"/>
      <c r="DE561" s="69"/>
      <c r="DF561" s="69"/>
      <c r="DG561" s="69"/>
      <c r="DH561" s="69"/>
      <c r="DI561" s="69"/>
      <c r="DJ561" s="69"/>
      <c r="DK561" s="69"/>
      <c r="DL561" s="69"/>
      <c r="DM561" s="69"/>
      <c r="DN561" s="69"/>
      <c r="DO561" s="69"/>
      <c r="DP561" s="69"/>
    </row>
    <row r="562" spans="1:120" x14ac:dyDescent="0.2">
      <c r="A562" s="66"/>
      <c r="B562" s="31"/>
      <c r="C562" s="31"/>
      <c r="D562" s="31"/>
      <c r="E562" s="31"/>
      <c r="F562" s="31"/>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c r="AW562" s="69"/>
      <c r="AX562" s="69"/>
      <c r="AY562" s="69"/>
      <c r="AZ562" s="69"/>
      <c r="BA562" s="69"/>
      <c r="BB562" s="69"/>
      <c r="BC562" s="69"/>
      <c r="BD562" s="69"/>
      <c r="BE562" s="69"/>
      <c r="BF562" s="69"/>
      <c r="BG562" s="69"/>
      <c r="BH562" s="69"/>
      <c r="BI562" s="69"/>
      <c r="BJ562" s="69"/>
      <c r="BK562" s="69"/>
      <c r="BL562" s="69"/>
      <c r="BM562" s="69"/>
      <c r="BN562" s="69"/>
      <c r="BO562" s="69"/>
      <c r="BP562" s="69"/>
      <c r="BQ562" s="69"/>
      <c r="BR562" s="69"/>
      <c r="BS562" s="69"/>
      <c r="BT562" s="69"/>
      <c r="BU562" s="69"/>
      <c r="BV562" s="69"/>
      <c r="BW562" s="69"/>
      <c r="BX562" s="69"/>
      <c r="BY562" s="69"/>
      <c r="BZ562" s="69"/>
      <c r="CA562" s="69"/>
      <c r="CB562" s="69"/>
      <c r="CC562" s="69"/>
      <c r="CD562" s="69"/>
      <c r="CE562" s="69"/>
      <c r="CF562" s="69"/>
      <c r="CG562" s="69"/>
      <c r="CH562" s="69"/>
      <c r="CI562" s="69"/>
      <c r="CJ562" s="69"/>
      <c r="CK562" s="69"/>
      <c r="CL562" s="69"/>
      <c r="CM562" s="69"/>
      <c r="CN562" s="69"/>
      <c r="CO562" s="69"/>
      <c r="CP562" s="69"/>
      <c r="CQ562" s="69"/>
      <c r="CR562" s="69"/>
      <c r="CS562" s="69"/>
      <c r="CT562" s="69"/>
      <c r="CU562" s="69"/>
      <c r="CV562" s="69"/>
      <c r="CW562" s="69"/>
      <c r="CX562" s="69"/>
      <c r="CY562" s="69"/>
      <c r="CZ562" s="69"/>
      <c r="DA562" s="69"/>
      <c r="DB562" s="69"/>
      <c r="DC562" s="69"/>
      <c r="DD562" s="69"/>
      <c r="DE562" s="69"/>
      <c r="DF562" s="69"/>
      <c r="DG562" s="69"/>
      <c r="DH562" s="69"/>
      <c r="DI562" s="69"/>
      <c r="DJ562" s="69"/>
      <c r="DK562" s="69"/>
      <c r="DL562" s="69"/>
      <c r="DM562" s="69"/>
      <c r="DN562" s="69"/>
      <c r="DO562" s="69"/>
      <c r="DP562" s="69"/>
    </row>
    <row r="563" spans="1:120" x14ac:dyDescent="0.2">
      <c r="A563" s="66"/>
      <c r="B563" s="31"/>
      <c r="C563" s="31"/>
      <c r="D563" s="31"/>
      <c r="E563" s="31"/>
      <c r="F563" s="31"/>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c r="BT563" s="69"/>
      <c r="BU563" s="69"/>
      <c r="BV563" s="69"/>
      <c r="BW563" s="69"/>
      <c r="BX563" s="69"/>
      <c r="BY563" s="69"/>
      <c r="BZ563" s="69"/>
      <c r="CA563" s="69"/>
      <c r="CB563" s="69"/>
      <c r="CC563" s="69"/>
      <c r="CD563" s="69"/>
      <c r="CE563" s="69"/>
      <c r="CF563" s="69"/>
      <c r="CG563" s="69"/>
      <c r="CH563" s="69"/>
      <c r="CI563" s="69"/>
      <c r="CJ563" s="69"/>
      <c r="CK563" s="69"/>
      <c r="CL563" s="69"/>
      <c r="CM563" s="69"/>
      <c r="CN563" s="69"/>
      <c r="CO563" s="69"/>
      <c r="CP563" s="69"/>
      <c r="CQ563" s="69"/>
      <c r="CR563" s="69"/>
      <c r="CS563" s="69"/>
      <c r="CT563" s="69"/>
      <c r="CU563" s="69"/>
      <c r="CV563" s="69"/>
      <c r="CW563" s="69"/>
      <c r="CX563" s="69"/>
      <c r="CY563" s="69"/>
      <c r="CZ563" s="69"/>
      <c r="DA563" s="69"/>
      <c r="DB563" s="69"/>
      <c r="DC563" s="69"/>
      <c r="DD563" s="69"/>
      <c r="DE563" s="69"/>
      <c r="DF563" s="69"/>
      <c r="DG563" s="69"/>
      <c r="DH563" s="69"/>
      <c r="DI563" s="69"/>
      <c r="DJ563" s="69"/>
      <c r="DK563" s="69"/>
      <c r="DL563" s="69"/>
      <c r="DM563" s="69"/>
      <c r="DN563" s="69"/>
      <c r="DO563" s="69"/>
      <c r="DP563" s="69"/>
    </row>
    <row r="564" spans="1:120" x14ac:dyDescent="0.2">
      <c r="A564" s="66"/>
      <c r="B564" s="31"/>
      <c r="C564" s="31"/>
      <c r="D564" s="31"/>
      <c r="E564" s="31"/>
      <c r="F564" s="31"/>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c r="BT564" s="69"/>
      <c r="BU564" s="69"/>
      <c r="BV564" s="69"/>
      <c r="BW564" s="69"/>
      <c r="BX564" s="69"/>
      <c r="BY564" s="69"/>
      <c r="BZ564" s="69"/>
      <c r="CA564" s="69"/>
      <c r="CB564" s="69"/>
      <c r="CC564" s="69"/>
      <c r="CD564" s="69"/>
      <c r="CE564" s="69"/>
      <c r="CF564" s="69"/>
      <c r="CG564" s="69"/>
      <c r="CH564" s="69"/>
      <c r="CI564" s="69"/>
      <c r="CJ564" s="69"/>
      <c r="CK564" s="69"/>
      <c r="CL564" s="69"/>
      <c r="CM564" s="69"/>
      <c r="CN564" s="69"/>
      <c r="CO564" s="69"/>
      <c r="CP564" s="69"/>
      <c r="CQ564" s="69"/>
      <c r="CR564" s="69"/>
      <c r="CS564" s="69"/>
      <c r="CT564" s="69"/>
      <c r="CU564" s="69"/>
      <c r="CV564" s="69"/>
      <c r="CW564" s="69"/>
      <c r="CX564" s="69"/>
      <c r="CY564" s="69"/>
      <c r="CZ564" s="69"/>
      <c r="DA564" s="69"/>
      <c r="DB564" s="69"/>
      <c r="DC564" s="69"/>
      <c r="DD564" s="69"/>
      <c r="DE564" s="69"/>
      <c r="DF564" s="69"/>
      <c r="DG564" s="69"/>
      <c r="DH564" s="69"/>
      <c r="DI564" s="69"/>
      <c r="DJ564" s="69"/>
      <c r="DK564" s="69"/>
      <c r="DL564" s="69"/>
      <c r="DM564" s="69"/>
      <c r="DN564" s="69"/>
      <c r="DO564" s="69"/>
      <c r="DP564" s="69"/>
    </row>
    <row r="565" spans="1:120" x14ac:dyDescent="0.2">
      <c r="A565" s="66"/>
      <c r="B565" s="31"/>
      <c r="C565" s="31"/>
      <c r="D565" s="31"/>
      <c r="E565" s="31"/>
      <c r="F565" s="31"/>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c r="BT565" s="69"/>
      <c r="BU565" s="69"/>
      <c r="BV565" s="69"/>
      <c r="BW565" s="69"/>
      <c r="BX565" s="69"/>
      <c r="BY565" s="69"/>
      <c r="BZ565" s="69"/>
      <c r="CA565" s="69"/>
      <c r="CB565" s="69"/>
      <c r="CC565" s="69"/>
      <c r="CD565" s="69"/>
      <c r="CE565" s="69"/>
      <c r="CF565" s="69"/>
      <c r="CG565" s="69"/>
      <c r="CH565" s="69"/>
      <c r="CI565" s="69"/>
      <c r="CJ565" s="69"/>
      <c r="CK565" s="69"/>
      <c r="CL565" s="69"/>
      <c r="CM565" s="69"/>
      <c r="CN565" s="69"/>
      <c r="CO565" s="69"/>
      <c r="CP565" s="69"/>
      <c r="CQ565" s="69"/>
      <c r="CR565" s="69"/>
      <c r="CS565" s="69"/>
      <c r="CT565" s="69"/>
      <c r="CU565" s="69"/>
      <c r="CV565" s="69"/>
      <c r="CW565" s="69"/>
      <c r="CX565" s="69"/>
      <c r="CY565" s="69"/>
      <c r="CZ565" s="69"/>
      <c r="DA565" s="69"/>
      <c r="DB565" s="69"/>
      <c r="DC565" s="69"/>
      <c r="DD565" s="69"/>
      <c r="DE565" s="69"/>
      <c r="DF565" s="69"/>
      <c r="DG565" s="69"/>
      <c r="DH565" s="69"/>
      <c r="DI565" s="69"/>
      <c r="DJ565" s="69"/>
      <c r="DK565" s="69"/>
      <c r="DL565" s="69"/>
      <c r="DM565" s="69"/>
      <c r="DN565" s="69"/>
      <c r="DO565" s="69"/>
      <c r="DP565" s="69"/>
    </row>
    <row r="566" spans="1:120" x14ac:dyDescent="0.2">
      <c r="A566" s="66"/>
      <c r="B566" s="31"/>
      <c r="C566" s="31"/>
      <c r="D566" s="31"/>
      <c r="E566" s="31"/>
      <c r="F566" s="31"/>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c r="BT566" s="69"/>
      <c r="BU566" s="69"/>
      <c r="BV566" s="69"/>
      <c r="BW566" s="69"/>
      <c r="BX566" s="69"/>
      <c r="BY566" s="69"/>
      <c r="BZ566" s="69"/>
      <c r="CA566" s="69"/>
      <c r="CB566" s="69"/>
      <c r="CC566" s="69"/>
      <c r="CD566" s="69"/>
      <c r="CE566" s="69"/>
      <c r="CF566" s="69"/>
      <c r="CG566" s="69"/>
      <c r="CH566" s="69"/>
      <c r="CI566" s="69"/>
      <c r="CJ566" s="69"/>
      <c r="CK566" s="69"/>
      <c r="CL566" s="69"/>
      <c r="CM566" s="69"/>
      <c r="CN566" s="69"/>
      <c r="CO566" s="69"/>
      <c r="CP566" s="69"/>
      <c r="CQ566" s="69"/>
      <c r="CR566" s="69"/>
      <c r="CS566" s="69"/>
      <c r="CT566" s="69"/>
      <c r="CU566" s="69"/>
      <c r="CV566" s="69"/>
      <c r="CW566" s="69"/>
      <c r="CX566" s="69"/>
      <c r="CY566" s="69"/>
      <c r="CZ566" s="69"/>
      <c r="DA566" s="69"/>
      <c r="DB566" s="69"/>
      <c r="DC566" s="69"/>
      <c r="DD566" s="69"/>
      <c r="DE566" s="69"/>
      <c r="DF566" s="69"/>
      <c r="DG566" s="69"/>
      <c r="DH566" s="69"/>
      <c r="DI566" s="69"/>
      <c r="DJ566" s="69"/>
      <c r="DK566" s="69"/>
      <c r="DL566" s="69"/>
      <c r="DM566" s="69"/>
      <c r="DN566" s="69"/>
      <c r="DO566" s="69"/>
      <c r="DP566" s="69"/>
    </row>
    <row r="567" spans="1:120" x14ac:dyDescent="0.2">
      <c r="A567" s="66"/>
      <c r="B567" s="31"/>
      <c r="C567" s="31"/>
      <c r="D567" s="31"/>
      <c r="E567" s="31"/>
      <c r="F567" s="31"/>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c r="BT567" s="69"/>
      <c r="BU567" s="69"/>
      <c r="BV567" s="69"/>
      <c r="BW567" s="69"/>
      <c r="BX567" s="69"/>
      <c r="BY567" s="69"/>
      <c r="BZ567" s="69"/>
      <c r="CA567" s="69"/>
      <c r="CB567" s="69"/>
      <c r="CC567" s="69"/>
      <c r="CD567" s="69"/>
      <c r="CE567" s="69"/>
      <c r="CF567" s="69"/>
      <c r="CG567" s="69"/>
      <c r="CH567" s="69"/>
      <c r="CI567" s="69"/>
      <c r="CJ567" s="69"/>
      <c r="CK567" s="69"/>
      <c r="CL567" s="69"/>
      <c r="CM567" s="69"/>
      <c r="CN567" s="69"/>
      <c r="CO567" s="69"/>
      <c r="CP567" s="69"/>
      <c r="CQ567" s="69"/>
      <c r="CR567" s="69"/>
      <c r="CS567" s="69"/>
      <c r="CT567" s="69"/>
      <c r="CU567" s="69"/>
      <c r="CV567" s="69"/>
      <c r="CW567" s="69"/>
      <c r="CX567" s="69"/>
      <c r="CY567" s="69"/>
      <c r="CZ567" s="69"/>
      <c r="DA567" s="69"/>
      <c r="DB567" s="69"/>
      <c r="DC567" s="69"/>
      <c r="DD567" s="69"/>
      <c r="DE567" s="69"/>
      <c r="DF567" s="69"/>
      <c r="DG567" s="69"/>
      <c r="DH567" s="69"/>
      <c r="DI567" s="69"/>
      <c r="DJ567" s="69"/>
      <c r="DK567" s="69"/>
      <c r="DL567" s="69"/>
      <c r="DM567" s="69"/>
      <c r="DN567" s="69"/>
      <c r="DO567" s="69"/>
      <c r="DP567" s="69"/>
    </row>
    <row r="568" spans="1:120" x14ac:dyDescent="0.2">
      <c r="A568" s="66"/>
      <c r="B568" s="31"/>
      <c r="C568" s="31"/>
      <c r="D568" s="31"/>
      <c r="E568" s="31"/>
      <c r="F568" s="31"/>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c r="BT568" s="69"/>
      <c r="BU568" s="69"/>
      <c r="BV568" s="69"/>
      <c r="BW568" s="69"/>
      <c r="BX568" s="69"/>
      <c r="BY568" s="69"/>
      <c r="BZ568" s="69"/>
      <c r="CA568" s="69"/>
      <c r="CB568" s="69"/>
      <c r="CC568" s="69"/>
      <c r="CD568" s="69"/>
      <c r="CE568" s="69"/>
      <c r="CF568" s="69"/>
      <c r="CG568" s="69"/>
      <c r="CH568" s="69"/>
      <c r="CI568" s="69"/>
      <c r="CJ568" s="69"/>
      <c r="CK568" s="69"/>
      <c r="CL568" s="69"/>
      <c r="CM568" s="69"/>
      <c r="CN568" s="69"/>
      <c r="CO568" s="69"/>
      <c r="CP568" s="69"/>
      <c r="CQ568" s="69"/>
      <c r="CR568" s="69"/>
      <c r="CS568" s="69"/>
      <c r="CT568" s="69"/>
      <c r="CU568" s="69"/>
      <c r="CV568" s="69"/>
      <c r="CW568" s="69"/>
      <c r="CX568" s="69"/>
      <c r="CY568" s="69"/>
      <c r="CZ568" s="69"/>
      <c r="DA568" s="69"/>
      <c r="DB568" s="69"/>
      <c r="DC568" s="69"/>
      <c r="DD568" s="69"/>
      <c r="DE568" s="69"/>
      <c r="DF568" s="69"/>
      <c r="DG568" s="69"/>
      <c r="DH568" s="69"/>
      <c r="DI568" s="69"/>
      <c r="DJ568" s="69"/>
      <c r="DK568" s="69"/>
      <c r="DL568" s="69"/>
      <c r="DM568" s="69"/>
      <c r="DN568" s="69"/>
      <c r="DO568" s="69"/>
      <c r="DP568" s="69"/>
    </row>
    <row r="569" spans="1:120" x14ac:dyDescent="0.2">
      <c r="A569" s="66"/>
      <c r="B569" s="31"/>
      <c r="C569" s="31"/>
      <c r="D569" s="31"/>
      <c r="E569" s="31"/>
      <c r="F569" s="31"/>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c r="BT569" s="69"/>
      <c r="BU569" s="69"/>
      <c r="BV569" s="69"/>
      <c r="BW569" s="69"/>
      <c r="BX569" s="69"/>
      <c r="BY569" s="69"/>
      <c r="BZ569" s="69"/>
      <c r="CA569" s="69"/>
      <c r="CB569" s="69"/>
      <c r="CC569" s="69"/>
      <c r="CD569" s="69"/>
      <c r="CE569" s="69"/>
      <c r="CF569" s="69"/>
      <c r="CG569" s="69"/>
      <c r="CH569" s="69"/>
      <c r="CI569" s="69"/>
      <c r="CJ569" s="69"/>
      <c r="CK569" s="69"/>
      <c r="CL569" s="69"/>
      <c r="CM569" s="69"/>
      <c r="CN569" s="69"/>
      <c r="CO569" s="69"/>
      <c r="CP569" s="69"/>
      <c r="CQ569" s="69"/>
      <c r="CR569" s="69"/>
      <c r="CS569" s="69"/>
      <c r="CT569" s="69"/>
      <c r="CU569" s="69"/>
      <c r="CV569" s="69"/>
      <c r="CW569" s="69"/>
      <c r="CX569" s="69"/>
      <c r="CY569" s="69"/>
      <c r="CZ569" s="69"/>
      <c r="DA569" s="69"/>
      <c r="DB569" s="69"/>
      <c r="DC569" s="69"/>
      <c r="DD569" s="69"/>
      <c r="DE569" s="69"/>
      <c r="DF569" s="69"/>
      <c r="DG569" s="69"/>
      <c r="DH569" s="69"/>
      <c r="DI569" s="69"/>
      <c r="DJ569" s="69"/>
      <c r="DK569" s="69"/>
      <c r="DL569" s="69"/>
      <c r="DM569" s="69"/>
      <c r="DN569" s="69"/>
      <c r="DO569" s="69"/>
      <c r="DP569" s="69"/>
    </row>
    <row r="570" spans="1:120" x14ac:dyDescent="0.2">
      <c r="A570" s="66"/>
      <c r="B570" s="31"/>
      <c r="C570" s="31"/>
      <c r="D570" s="31"/>
      <c r="E570" s="31"/>
      <c r="F570" s="31"/>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c r="BT570" s="69"/>
      <c r="BU570" s="69"/>
      <c r="BV570" s="69"/>
      <c r="BW570" s="69"/>
      <c r="BX570" s="69"/>
      <c r="BY570" s="69"/>
      <c r="BZ570" s="69"/>
      <c r="CA570" s="69"/>
      <c r="CB570" s="69"/>
      <c r="CC570" s="69"/>
      <c r="CD570" s="69"/>
      <c r="CE570" s="69"/>
      <c r="CF570" s="69"/>
      <c r="CG570" s="69"/>
      <c r="CH570" s="69"/>
      <c r="CI570" s="69"/>
      <c r="CJ570" s="69"/>
      <c r="CK570" s="69"/>
      <c r="CL570" s="69"/>
      <c r="CM570" s="69"/>
      <c r="CN570" s="69"/>
      <c r="CO570" s="69"/>
      <c r="CP570" s="69"/>
      <c r="CQ570" s="69"/>
      <c r="CR570" s="69"/>
      <c r="CS570" s="69"/>
      <c r="CT570" s="69"/>
      <c r="CU570" s="69"/>
      <c r="CV570" s="69"/>
      <c r="CW570" s="69"/>
      <c r="CX570" s="69"/>
      <c r="CY570" s="69"/>
      <c r="CZ570" s="69"/>
      <c r="DA570" s="69"/>
      <c r="DB570" s="69"/>
      <c r="DC570" s="69"/>
      <c r="DD570" s="69"/>
      <c r="DE570" s="69"/>
      <c r="DF570" s="69"/>
      <c r="DG570" s="69"/>
      <c r="DH570" s="69"/>
      <c r="DI570" s="69"/>
      <c r="DJ570" s="69"/>
      <c r="DK570" s="69"/>
      <c r="DL570" s="69"/>
      <c r="DM570" s="69"/>
      <c r="DN570" s="69"/>
      <c r="DO570" s="69"/>
      <c r="DP570" s="69"/>
    </row>
    <row r="571" spans="1:120" x14ac:dyDescent="0.2">
      <c r="A571" s="66"/>
      <c r="B571" s="31"/>
      <c r="C571" s="31"/>
      <c r="D571" s="31"/>
      <c r="E571" s="31"/>
      <c r="F571" s="31"/>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c r="BT571" s="69"/>
      <c r="BU571" s="69"/>
      <c r="BV571" s="69"/>
      <c r="BW571" s="69"/>
      <c r="BX571" s="69"/>
      <c r="BY571" s="69"/>
      <c r="BZ571" s="69"/>
      <c r="CA571" s="69"/>
      <c r="CB571" s="69"/>
      <c r="CC571" s="69"/>
      <c r="CD571" s="69"/>
      <c r="CE571" s="69"/>
      <c r="CF571" s="69"/>
      <c r="CG571" s="69"/>
      <c r="CH571" s="69"/>
      <c r="CI571" s="69"/>
      <c r="CJ571" s="69"/>
      <c r="CK571" s="69"/>
      <c r="CL571" s="69"/>
      <c r="CM571" s="69"/>
      <c r="CN571" s="69"/>
      <c r="CO571" s="69"/>
      <c r="CP571" s="69"/>
      <c r="CQ571" s="69"/>
      <c r="CR571" s="69"/>
      <c r="CS571" s="69"/>
      <c r="CT571" s="69"/>
      <c r="CU571" s="69"/>
      <c r="CV571" s="69"/>
      <c r="CW571" s="69"/>
      <c r="CX571" s="69"/>
      <c r="CY571" s="69"/>
      <c r="CZ571" s="69"/>
      <c r="DA571" s="69"/>
      <c r="DB571" s="69"/>
      <c r="DC571" s="69"/>
      <c r="DD571" s="69"/>
      <c r="DE571" s="69"/>
      <c r="DF571" s="69"/>
      <c r="DG571" s="69"/>
      <c r="DH571" s="69"/>
      <c r="DI571" s="69"/>
      <c r="DJ571" s="69"/>
      <c r="DK571" s="69"/>
      <c r="DL571" s="69"/>
      <c r="DM571" s="69"/>
      <c r="DN571" s="69"/>
      <c r="DO571" s="69"/>
      <c r="DP571" s="69"/>
    </row>
    <row r="572" spans="1:120" x14ac:dyDescent="0.2">
      <c r="A572" s="66"/>
      <c r="B572" s="31"/>
      <c r="C572" s="31"/>
      <c r="D572" s="31"/>
      <c r="E572" s="31"/>
      <c r="F572" s="31"/>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c r="BT572" s="69"/>
      <c r="BU572" s="69"/>
      <c r="BV572" s="69"/>
      <c r="BW572" s="69"/>
      <c r="BX572" s="69"/>
      <c r="BY572" s="69"/>
      <c r="BZ572" s="69"/>
      <c r="CA572" s="69"/>
      <c r="CB572" s="69"/>
      <c r="CC572" s="69"/>
      <c r="CD572" s="69"/>
      <c r="CE572" s="69"/>
      <c r="CF572" s="69"/>
      <c r="CG572" s="69"/>
      <c r="CH572" s="69"/>
      <c r="CI572" s="69"/>
      <c r="CJ572" s="69"/>
      <c r="CK572" s="69"/>
      <c r="CL572" s="69"/>
      <c r="CM572" s="69"/>
      <c r="CN572" s="69"/>
      <c r="CO572" s="69"/>
      <c r="CP572" s="69"/>
      <c r="CQ572" s="69"/>
      <c r="CR572" s="69"/>
      <c r="CS572" s="69"/>
      <c r="CT572" s="69"/>
      <c r="CU572" s="69"/>
      <c r="CV572" s="69"/>
      <c r="CW572" s="69"/>
      <c r="CX572" s="69"/>
      <c r="CY572" s="69"/>
      <c r="CZ572" s="69"/>
      <c r="DA572" s="69"/>
      <c r="DB572" s="69"/>
      <c r="DC572" s="69"/>
      <c r="DD572" s="69"/>
      <c r="DE572" s="69"/>
      <c r="DF572" s="69"/>
      <c r="DG572" s="69"/>
      <c r="DH572" s="69"/>
      <c r="DI572" s="69"/>
      <c r="DJ572" s="69"/>
      <c r="DK572" s="69"/>
      <c r="DL572" s="69"/>
      <c r="DM572" s="69"/>
      <c r="DN572" s="69"/>
      <c r="DO572" s="69"/>
      <c r="DP572" s="69"/>
    </row>
    <row r="573" spans="1:120" x14ac:dyDescent="0.2">
      <c r="A573" s="66"/>
      <c r="B573" s="31"/>
      <c r="C573" s="31"/>
      <c r="D573" s="31"/>
      <c r="E573" s="31"/>
      <c r="F573" s="31"/>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c r="BT573" s="69"/>
      <c r="BU573" s="69"/>
      <c r="BV573" s="69"/>
      <c r="BW573" s="69"/>
      <c r="BX573" s="69"/>
      <c r="BY573" s="69"/>
      <c r="BZ573" s="69"/>
      <c r="CA573" s="69"/>
      <c r="CB573" s="69"/>
      <c r="CC573" s="69"/>
      <c r="CD573" s="69"/>
      <c r="CE573" s="69"/>
      <c r="CF573" s="69"/>
      <c r="CG573" s="69"/>
      <c r="CH573" s="69"/>
      <c r="CI573" s="69"/>
      <c r="CJ573" s="69"/>
      <c r="CK573" s="69"/>
      <c r="CL573" s="69"/>
      <c r="CM573" s="69"/>
      <c r="CN573" s="69"/>
      <c r="CO573" s="69"/>
      <c r="CP573" s="69"/>
      <c r="CQ573" s="69"/>
      <c r="CR573" s="69"/>
      <c r="CS573" s="69"/>
      <c r="CT573" s="69"/>
      <c r="CU573" s="69"/>
      <c r="CV573" s="69"/>
      <c r="CW573" s="69"/>
      <c r="CX573" s="69"/>
      <c r="CY573" s="69"/>
      <c r="CZ573" s="69"/>
      <c r="DA573" s="69"/>
      <c r="DB573" s="69"/>
      <c r="DC573" s="69"/>
      <c r="DD573" s="69"/>
      <c r="DE573" s="69"/>
      <c r="DF573" s="69"/>
      <c r="DG573" s="69"/>
      <c r="DH573" s="69"/>
      <c r="DI573" s="69"/>
      <c r="DJ573" s="69"/>
      <c r="DK573" s="69"/>
      <c r="DL573" s="69"/>
      <c r="DM573" s="69"/>
      <c r="DN573" s="69"/>
      <c r="DO573" s="69"/>
      <c r="DP573" s="69"/>
    </row>
    <row r="574" spans="1:120" x14ac:dyDescent="0.2">
      <c r="A574" s="66"/>
      <c r="B574" s="31"/>
      <c r="C574" s="31"/>
      <c r="D574" s="31"/>
      <c r="E574" s="31"/>
      <c r="F574" s="31"/>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c r="BT574" s="69"/>
      <c r="BU574" s="69"/>
      <c r="BV574" s="69"/>
      <c r="BW574" s="69"/>
      <c r="BX574" s="69"/>
      <c r="BY574" s="69"/>
      <c r="BZ574" s="69"/>
      <c r="CA574" s="69"/>
      <c r="CB574" s="69"/>
      <c r="CC574" s="69"/>
      <c r="CD574" s="69"/>
      <c r="CE574" s="69"/>
      <c r="CF574" s="69"/>
      <c r="CG574" s="69"/>
      <c r="CH574" s="69"/>
      <c r="CI574" s="69"/>
      <c r="CJ574" s="69"/>
      <c r="CK574" s="69"/>
      <c r="CL574" s="69"/>
      <c r="CM574" s="69"/>
      <c r="CN574" s="69"/>
      <c r="CO574" s="69"/>
      <c r="CP574" s="69"/>
      <c r="CQ574" s="69"/>
      <c r="CR574" s="69"/>
      <c r="CS574" s="69"/>
      <c r="CT574" s="69"/>
      <c r="CU574" s="69"/>
      <c r="CV574" s="69"/>
      <c r="CW574" s="69"/>
      <c r="CX574" s="69"/>
      <c r="CY574" s="69"/>
      <c r="CZ574" s="69"/>
      <c r="DA574" s="69"/>
      <c r="DB574" s="69"/>
      <c r="DC574" s="69"/>
      <c r="DD574" s="69"/>
      <c r="DE574" s="69"/>
      <c r="DF574" s="69"/>
      <c r="DG574" s="69"/>
      <c r="DH574" s="69"/>
      <c r="DI574" s="69"/>
      <c r="DJ574" s="69"/>
      <c r="DK574" s="69"/>
      <c r="DL574" s="69"/>
      <c r="DM574" s="69"/>
      <c r="DN574" s="69"/>
      <c r="DO574" s="69"/>
      <c r="DP574" s="69"/>
    </row>
    <row r="575" spans="1:120" x14ac:dyDescent="0.2">
      <c r="A575" s="66"/>
      <c r="B575" s="31"/>
      <c r="C575" s="31"/>
      <c r="D575" s="31"/>
      <c r="E575" s="31"/>
      <c r="F575" s="31"/>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c r="BT575" s="69"/>
      <c r="BU575" s="69"/>
      <c r="BV575" s="69"/>
      <c r="BW575" s="69"/>
      <c r="BX575" s="69"/>
      <c r="BY575" s="69"/>
      <c r="BZ575" s="69"/>
      <c r="CA575" s="69"/>
      <c r="CB575" s="69"/>
      <c r="CC575" s="69"/>
      <c r="CD575" s="69"/>
      <c r="CE575" s="69"/>
      <c r="CF575" s="69"/>
      <c r="CG575" s="69"/>
      <c r="CH575" s="69"/>
      <c r="CI575" s="69"/>
      <c r="CJ575" s="69"/>
      <c r="CK575" s="69"/>
      <c r="CL575" s="69"/>
      <c r="CM575" s="69"/>
      <c r="CN575" s="69"/>
      <c r="CO575" s="69"/>
      <c r="CP575" s="69"/>
      <c r="CQ575" s="69"/>
      <c r="CR575" s="69"/>
      <c r="CS575" s="69"/>
      <c r="CT575" s="69"/>
      <c r="CU575" s="69"/>
      <c r="CV575" s="69"/>
      <c r="CW575" s="69"/>
      <c r="CX575" s="69"/>
      <c r="CY575" s="69"/>
      <c r="CZ575" s="69"/>
      <c r="DA575" s="69"/>
      <c r="DB575" s="69"/>
      <c r="DC575" s="69"/>
      <c r="DD575" s="69"/>
      <c r="DE575" s="69"/>
      <c r="DF575" s="69"/>
      <c r="DG575" s="69"/>
      <c r="DH575" s="69"/>
      <c r="DI575" s="69"/>
      <c r="DJ575" s="69"/>
      <c r="DK575" s="69"/>
      <c r="DL575" s="69"/>
      <c r="DM575" s="69"/>
      <c r="DN575" s="69"/>
      <c r="DO575" s="69"/>
      <c r="DP575" s="69"/>
    </row>
    <row r="576" spans="1:120" x14ac:dyDescent="0.2">
      <c r="A576" s="66"/>
      <c r="B576" s="31"/>
      <c r="C576" s="31"/>
      <c r="D576" s="31"/>
      <c r="E576" s="31"/>
      <c r="F576" s="31"/>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c r="BT576" s="69"/>
      <c r="BU576" s="69"/>
      <c r="BV576" s="69"/>
      <c r="BW576" s="69"/>
      <c r="BX576" s="69"/>
      <c r="BY576" s="69"/>
      <c r="BZ576" s="69"/>
      <c r="CA576" s="69"/>
      <c r="CB576" s="69"/>
      <c r="CC576" s="69"/>
      <c r="CD576" s="69"/>
      <c r="CE576" s="69"/>
      <c r="CF576" s="69"/>
      <c r="CG576" s="69"/>
      <c r="CH576" s="69"/>
      <c r="CI576" s="69"/>
      <c r="CJ576" s="69"/>
      <c r="CK576" s="69"/>
      <c r="CL576" s="69"/>
      <c r="CM576" s="69"/>
      <c r="CN576" s="69"/>
      <c r="CO576" s="69"/>
      <c r="CP576" s="69"/>
      <c r="CQ576" s="69"/>
      <c r="CR576" s="69"/>
      <c r="CS576" s="69"/>
      <c r="CT576" s="69"/>
      <c r="CU576" s="69"/>
      <c r="CV576" s="69"/>
      <c r="CW576" s="69"/>
      <c r="CX576" s="69"/>
      <c r="CY576" s="69"/>
      <c r="CZ576" s="69"/>
      <c r="DA576" s="69"/>
      <c r="DB576" s="69"/>
      <c r="DC576" s="69"/>
      <c r="DD576" s="69"/>
      <c r="DE576" s="69"/>
      <c r="DF576" s="69"/>
      <c r="DG576" s="69"/>
      <c r="DH576" s="69"/>
      <c r="DI576" s="69"/>
      <c r="DJ576" s="69"/>
      <c r="DK576" s="69"/>
      <c r="DL576" s="69"/>
      <c r="DM576" s="69"/>
      <c r="DN576" s="69"/>
      <c r="DO576" s="69"/>
      <c r="DP576" s="69"/>
    </row>
    <row r="577" spans="1:120" x14ac:dyDescent="0.2">
      <c r="A577" s="66"/>
      <c r="B577" s="31"/>
      <c r="C577" s="31"/>
      <c r="D577" s="31"/>
      <c r="E577" s="31"/>
      <c r="F577" s="31"/>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c r="BT577" s="69"/>
      <c r="BU577" s="69"/>
      <c r="BV577" s="69"/>
      <c r="BW577" s="69"/>
      <c r="BX577" s="69"/>
      <c r="BY577" s="69"/>
      <c r="BZ577" s="69"/>
      <c r="CA577" s="69"/>
      <c r="CB577" s="69"/>
      <c r="CC577" s="69"/>
      <c r="CD577" s="69"/>
      <c r="CE577" s="69"/>
      <c r="CF577" s="69"/>
      <c r="CG577" s="69"/>
      <c r="CH577" s="69"/>
      <c r="CI577" s="69"/>
      <c r="CJ577" s="69"/>
      <c r="CK577" s="69"/>
      <c r="CL577" s="69"/>
      <c r="CM577" s="69"/>
      <c r="CN577" s="69"/>
      <c r="CO577" s="69"/>
      <c r="CP577" s="69"/>
      <c r="CQ577" s="69"/>
      <c r="CR577" s="69"/>
      <c r="CS577" s="69"/>
      <c r="CT577" s="69"/>
      <c r="CU577" s="69"/>
      <c r="CV577" s="69"/>
      <c r="CW577" s="69"/>
      <c r="CX577" s="69"/>
      <c r="CY577" s="69"/>
      <c r="CZ577" s="69"/>
      <c r="DA577" s="69"/>
      <c r="DB577" s="69"/>
      <c r="DC577" s="69"/>
      <c r="DD577" s="69"/>
      <c r="DE577" s="69"/>
      <c r="DF577" s="69"/>
      <c r="DG577" s="69"/>
      <c r="DH577" s="69"/>
      <c r="DI577" s="69"/>
      <c r="DJ577" s="69"/>
      <c r="DK577" s="69"/>
      <c r="DL577" s="69"/>
      <c r="DM577" s="69"/>
      <c r="DN577" s="69"/>
      <c r="DO577" s="69"/>
      <c r="DP577" s="69"/>
    </row>
    <row r="578" spans="1:120" x14ac:dyDescent="0.2">
      <c r="A578" s="66"/>
      <c r="B578" s="31"/>
      <c r="C578" s="31"/>
      <c r="D578" s="31"/>
      <c r="E578" s="31"/>
      <c r="F578" s="31"/>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69"/>
      <c r="BM578" s="69"/>
      <c r="BN578" s="69"/>
      <c r="BO578" s="69"/>
      <c r="BP578" s="69"/>
      <c r="BQ578" s="69"/>
      <c r="BR578" s="69"/>
      <c r="BS578" s="69"/>
      <c r="BT578" s="69"/>
      <c r="BU578" s="69"/>
      <c r="BV578" s="69"/>
      <c r="BW578" s="69"/>
      <c r="BX578" s="69"/>
      <c r="BY578" s="69"/>
      <c r="BZ578" s="69"/>
      <c r="CA578" s="69"/>
      <c r="CB578" s="69"/>
      <c r="CC578" s="69"/>
      <c r="CD578" s="69"/>
      <c r="CE578" s="69"/>
      <c r="CF578" s="69"/>
      <c r="CG578" s="69"/>
      <c r="CH578" s="69"/>
      <c r="CI578" s="69"/>
      <c r="CJ578" s="69"/>
      <c r="CK578" s="69"/>
      <c r="CL578" s="69"/>
      <c r="CM578" s="69"/>
      <c r="CN578" s="69"/>
      <c r="CO578" s="69"/>
      <c r="CP578" s="69"/>
      <c r="CQ578" s="69"/>
      <c r="CR578" s="69"/>
      <c r="CS578" s="69"/>
      <c r="CT578" s="69"/>
      <c r="CU578" s="69"/>
      <c r="CV578" s="69"/>
      <c r="CW578" s="69"/>
      <c r="CX578" s="69"/>
      <c r="CY578" s="69"/>
      <c r="CZ578" s="69"/>
      <c r="DA578" s="69"/>
      <c r="DB578" s="69"/>
      <c r="DC578" s="69"/>
      <c r="DD578" s="69"/>
      <c r="DE578" s="69"/>
      <c r="DF578" s="69"/>
      <c r="DG578" s="69"/>
      <c r="DH578" s="69"/>
      <c r="DI578" s="69"/>
      <c r="DJ578" s="69"/>
      <c r="DK578" s="69"/>
      <c r="DL578" s="69"/>
      <c r="DM578" s="69"/>
      <c r="DN578" s="69"/>
      <c r="DO578" s="69"/>
      <c r="DP578" s="69"/>
    </row>
    <row r="579" spans="1:120" x14ac:dyDescent="0.2">
      <c r="A579" s="66"/>
      <c r="B579" s="31"/>
      <c r="C579" s="31"/>
      <c r="D579" s="31"/>
      <c r="E579" s="31"/>
      <c r="F579" s="31"/>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c r="BT579" s="69"/>
      <c r="BU579" s="69"/>
      <c r="BV579" s="69"/>
      <c r="BW579" s="69"/>
      <c r="BX579" s="69"/>
      <c r="BY579" s="69"/>
      <c r="BZ579" s="69"/>
      <c r="CA579" s="69"/>
      <c r="CB579" s="69"/>
      <c r="CC579" s="69"/>
      <c r="CD579" s="69"/>
      <c r="CE579" s="69"/>
      <c r="CF579" s="69"/>
      <c r="CG579" s="69"/>
      <c r="CH579" s="69"/>
      <c r="CI579" s="69"/>
      <c r="CJ579" s="69"/>
      <c r="CK579" s="69"/>
      <c r="CL579" s="69"/>
      <c r="CM579" s="69"/>
      <c r="CN579" s="69"/>
      <c r="CO579" s="69"/>
      <c r="CP579" s="69"/>
      <c r="CQ579" s="69"/>
      <c r="CR579" s="69"/>
      <c r="CS579" s="69"/>
      <c r="CT579" s="69"/>
      <c r="CU579" s="69"/>
      <c r="CV579" s="69"/>
      <c r="CW579" s="69"/>
      <c r="CX579" s="69"/>
      <c r="CY579" s="69"/>
      <c r="CZ579" s="69"/>
      <c r="DA579" s="69"/>
      <c r="DB579" s="69"/>
      <c r="DC579" s="69"/>
      <c r="DD579" s="69"/>
      <c r="DE579" s="69"/>
      <c r="DF579" s="69"/>
      <c r="DG579" s="69"/>
      <c r="DH579" s="69"/>
      <c r="DI579" s="69"/>
      <c r="DJ579" s="69"/>
      <c r="DK579" s="69"/>
      <c r="DL579" s="69"/>
      <c r="DM579" s="69"/>
      <c r="DN579" s="69"/>
      <c r="DO579" s="69"/>
      <c r="DP579" s="69"/>
    </row>
    <row r="580" spans="1:120" x14ac:dyDescent="0.2">
      <c r="A580" s="66"/>
      <c r="B580" s="31"/>
      <c r="C580" s="31"/>
      <c r="D580" s="31"/>
      <c r="E580" s="31"/>
      <c r="F580" s="31"/>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c r="BT580" s="69"/>
      <c r="BU580" s="69"/>
      <c r="BV580" s="69"/>
      <c r="BW580" s="69"/>
      <c r="BX580" s="69"/>
      <c r="BY580" s="69"/>
      <c r="BZ580" s="69"/>
      <c r="CA580" s="69"/>
      <c r="CB580" s="69"/>
      <c r="CC580" s="69"/>
      <c r="CD580" s="69"/>
      <c r="CE580" s="69"/>
      <c r="CF580" s="69"/>
      <c r="CG580" s="69"/>
      <c r="CH580" s="69"/>
      <c r="CI580" s="69"/>
      <c r="CJ580" s="69"/>
      <c r="CK580" s="69"/>
      <c r="CL580" s="69"/>
      <c r="CM580" s="69"/>
      <c r="CN580" s="69"/>
      <c r="CO580" s="69"/>
      <c r="CP580" s="69"/>
      <c r="CQ580" s="69"/>
      <c r="CR580" s="69"/>
      <c r="CS580" s="69"/>
      <c r="CT580" s="69"/>
      <c r="CU580" s="69"/>
      <c r="CV580" s="69"/>
      <c r="CW580" s="69"/>
      <c r="CX580" s="69"/>
      <c r="CY580" s="69"/>
      <c r="CZ580" s="69"/>
      <c r="DA580" s="69"/>
      <c r="DB580" s="69"/>
      <c r="DC580" s="69"/>
      <c r="DD580" s="69"/>
      <c r="DE580" s="69"/>
      <c r="DF580" s="69"/>
      <c r="DG580" s="69"/>
      <c r="DH580" s="69"/>
      <c r="DI580" s="69"/>
      <c r="DJ580" s="69"/>
      <c r="DK580" s="69"/>
      <c r="DL580" s="69"/>
      <c r="DM580" s="69"/>
      <c r="DN580" s="69"/>
      <c r="DO580" s="69"/>
      <c r="DP580" s="69"/>
    </row>
    <row r="581" spans="1:120" x14ac:dyDescent="0.2">
      <c r="A581" s="66"/>
      <c r="B581" s="31"/>
      <c r="C581" s="31"/>
      <c r="D581" s="31"/>
      <c r="E581" s="31"/>
      <c r="F581" s="31"/>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c r="BT581" s="69"/>
      <c r="BU581" s="69"/>
      <c r="BV581" s="69"/>
      <c r="BW581" s="69"/>
      <c r="BX581" s="69"/>
      <c r="BY581" s="69"/>
      <c r="BZ581" s="69"/>
      <c r="CA581" s="69"/>
      <c r="CB581" s="69"/>
      <c r="CC581" s="69"/>
      <c r="CD581" s="69"/>
      <c r="CE581" s="69"/>
      <c r="CF581" s="69"/>
      <c r="CG581" s="69"/>
      <c r="CH581" s="69"/>
      <c r="CI581" s="69"/>
      <c r="CJ581" s="69"/>
      <c r="CK581" s="69"/>
      <c r="CL581" s="69"/>
      <c r="CM581" s="69"/>
      <c r="CN581" s="69"/>
      <c r="CO581" s="69"/>
      <c r="CP581" s="69"/>
      <c r="CQ581" s="69"/>
      <c r="CR581" s="69"/>
      <c r="CS581" s="69"/>
      <c r="CT581" s="69"/>
      <c r="CU581" s="69"/>
      <c r="CV581" s="69"/>
      <c r="CW581" s="69"/>
      <c r="CX581" s="69"/>
      <c r="CY581" s="69"/>
      <c r="CZ581" s="69"/>
      <c r="DA581" s="69"/>
      <c r="DB581" s="69"/>
      <c r="DC581" s="69"/>
      <c r="DD581" s="69"/>
      <c r="DE581" s="69"/>
      <c r="DF581" s="69"/>
      <c r="DG581" s="69"/>
      <c r="DH581" s="69"/>
      <c r="DI581" s="69"/>
      <c r="DJ581" s="69"/>
      <c r="DK581" s="69"/>
      <c r="DL581" s="69"/>
      <c r="DM581" s="69"/>
      <c r="DN581" s="69"/>
      <c r="DO581" s="69"/>
      <c r="DP581" s="69"/>
    </row>
    <row r="582" spans="1:120" x14ac:dyDescent="0.2">
      <c r="A582" s="66"/>
      <c r="B582" s="31"/>
      <c r="C582" s="31"/>
      <c r="D582" s="31"/>
      <c r="E582" s="31"/>
      <c r="F582" s="31"/>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c r="BT582" s="69"/>
      <c r="BU582" s="69"/>
      <c r="BV582" s="69"/>
      <c r="BW582" s="69"/>
      <c r="BX582" s="69"/>
      <c r="BY582" s="69"/>
      <c r="BZ582" s="69"/>
      <c r="CA582" s="69"/>
      <c r="CB582" s="69"/>
      <c r="CC582" s="69"/>
      <c r="CD582" s="69"/>
      <c r="CE582" s="69"/>
      <c r="CF582" s="69"/>
      <c r="CG582" s="69"/>
      <c r="CH582" s="69"/>
      <c r="CI582" s="69"/>
      <c r="CJ582" s="69"/>
      <c r="CK582" s="69"/>
      <c r="CL582" s="69"/>
      <c r="CM582" s="69"/>
      <c r="CN582" s="69"/>
      <c r="CO582" s="69"/>
      <c r="CP582" s="69"/>
      <c r="CQ582" s="69"/>
      <c r="CR582" s="69"/>
      <c r="CS582" s="69"/>
      <c r="CT582" s="69"/>
      <c r="CU582" s="69"/>
      <c r="CV582" s="69"/>
      <c r="CW582" s="69"/>
      <c r="CX582" s="69"/>
      <c r="CY582" s="69"/>
      <c r="CZ582" s="69"/>
      <c r="DA582" s="69"/>
      <c r="DB582" s="69"/>
      <c r="DC582" s="69"/>
      <c r="DD582" s="69"/>
      <c r="DE582" s="69"/>
      <c r="DF582" s="69"/>
      <c r="DG582" s="69"/>
      <c r="DH582" s="69"/>
      <c r="DI582" s="69"/>
      <c r="DJ582" s="69"/>
      <c r="DK582" s="69"/>
      <c r="DL582" s="69"/>
      <c r="DM582" s="69"/>
      <c r="DN582" s="69"/>
      <c r="DO582" s="69"/>
      <c r="DP582" s="69"/>
    </row>
    <row r="583" spans="1:120" x14ac:dyDescent="0.2">
      <c r="A583" s="66"/>
      <c r="B583" s="31"/>
      <c r="C583" s="31"/>
      <c r="D583" s="31"/>
      <c r="E583" s="31"/>
      <c r="F583" s="31"/>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c r="BT583" s="69"/>
      <c r="BU583" s="69"/>
      <c r="BV583" s="69"/>
      <c r="BW583" s="69"/>
      <c r="BX583" s="69"/>
      <c r="BY583" s="69"/>
      <c r="BZ583" s="69"/>
      <c r="CA583" s="69"/>
      <c r="CB583" s="69"/>
      <c r="CC583" s="69"/>
      <c r="CD583" s="69"/>
      <c r="CE583" s="69"/>
      <c r="CF583" s="69"/>
      <c r="CG583" s="69"/>
      <c r="CH583" s="69"/>
      <c r="CI583" s="69"/>
      <c r="CJ583" s="69"/>
      <c r="CK583" s="69"/>
      <c r="CL583" s="69"/>
      <c r="CM583" s="69"/>
      <c r="CN583" s="69"/>
      <c r="CO583" s="69"/>
      <c r="CP583" s="69"/>
      <c r="CQ583" s="69"/>
      <c r="CR583" s="69"/>
      <c r="CS583" s="69"/>
      <c r="CT583" s="69"/>
      <c r="CU583" s="69"/>
      <c r="CV583" s="69"/>
      <c r="CW583" s="69"/>
      <c r="CX583" s="69"/>
      <c r="CY583" s="69"/>
      <c r="CZ583" s="69"/>
      <c r="DA583" s="69"/>
      <c r="DB583" s="69"/>
      <c r="DC583" s="69"/>
      <c r="DD583" s="69"/>
      <c r="DE583" s="69"/>
      <c r="DF583" s="69"/>
      <c r="DG583" s="69"/>
      <c r="DH583" s="69"/>
      <c r="DI583" s="69"/>
      <c r="DJ583" s="69"/>
      <c r="DK583" s="69"/>
      <c r="DL583" s="69"/>
      <c r="DM583" s="69"/>
      <c r="DN583" s="69"/>
      <c r="DO583" s="69"/>
      <c r="DP583" s="69"/>
    </row>
    <row r="584" spans="1:120" x14ac:dyDescent="0.2">
      <c r="A584" s="66"/>
      <c r="B584" s="31"/>
      <c r="C584" s="31"/>
      <c r="D584" s="31"/>
      <c r="E584" s="31"/>
      <c r="F584" s="31"/>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c r="BT584" s="69"/>
      <c r="BU584" s="69"/>
      <c r="BV584" s="69"/>
      <c r="BW584" s="69"/>
      <c r="BX584" s="69"/>
      <c r="BY584" s="69"/>
      <c r="BZ584" s="69"/>
      <c r="CA584" s="69"/>
      <c r="CB584" s="69"/>
      <c r="CC584" s="69"/>
      <c r="CD584" s="69"/>
      <c r="CE584" s="69"/>
      <c r="CF584" s="69"/>
      <c r="CG584" s="69"/>
      <c r="CH584" s="69"/>
      <c r="CI584" s="69"/>
      <c r="CJ584" s="69"/>
      <c r="CK584" s="69"/>
      <c r="CL584" s="69"/>
      <c r="CM584" s="69"/>
      <c r="CN584" s="69"/>
      <c r="CO584" s="69"/>
      <c r="CP584" s="69"/>
      <c r="CQ584" s="69"/>
      <c r="CR584" s="69"/>
      <c r="CS584" s="69"/>
      <c r="CT584" s="69"/>
      <c r="CU584" s="69"/>
      <c r="CV584" s="69"/>
      <c r="CW584" s="69"/>
      <c r="CX584" s="69"/>
      <c r="CY584" s="69"/>
      <c r="CZ584" s="69"/>
      <c r="DA584" s="69"/>
      <c r="DB584" s="69"/>
      <c r="DC584" s="69"/>
      <c r="DD584" s="69"/>
      <c r="DE584" s="69"/>
      <c r="DF584" s="69"/>
      <c r="DG584" s="69"/>
      <c r="DH584" s="69"/>
      <c r="DI584" s="69"/>
      <c r="DJ584" s="69"/>
      <c r="DK584" s="69"/>
      <c r="DL584" s="69"/>
      <c r="DM584" s="69"/>
      <c r="DN584" s="69"/>
      <c r="DO584" s="69"/>
      <c r="DP584" s="69"/>
    </row>
    <row r="585" spans="1:120" x14ac:dyDescent="0.2">
      <c r="A585" s="66"/>
      <c r="B585" s="31"/>
      <c r="C585" s="31"/>
      <c r="D585" s="31"/>
      <c r="E585" s="31"/>
      <c r="F585" s="31"/>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c r="BT585" s="69"/>
      <c r="BU585" s="69"/>
      <c r="BV585" s="69"/>
      <c r="BW585" s="69"/>
      <c r="BX585" s="69"/>
      <c r="BY585" s="69"/>
      <c r="BZ585" s="69"/>
      <c r="CA585" s="69"/>
      <c r="CB585" s="69"/>
      <c r="CC585" s="69"/>
      <c r="CD585" s="69"/>
      <c r="CE585" s="69"/>
      <c r="CF585" s="69"/>
      <c r="CG585" s="69"/>
      <c r="CH585" s="69"/>
      <c r="CI585" s="69"/>
      <c r="CJ585" s="69"/>
      <c r="CK585" s="69"/>
      <c r="CL585" s="69"/>
      <c r="CM585" s="69"/>
      <c r="CN585" s="69"/>
      <c r="CO585" s="69"/>
      <c r="CP585" s="69"/>
      <c r="CQ585" s="69"/>
      <c r="CR585" s="69"/>
      <c r="CS585" s="69"/>
      <c r="CT585" s="69"/>
      <c r="CU585" s="69"/>
      <c r="CV585" s="69"/>
      <c r="CW585" s="69"/>
      <c r="CX585" s="69"/>
      <c r="CY585" s="69"/>
      <c r="CZ585" s="69"/>
      <c r="DA585" s="69"/>
      <c r="DB585" s="69"/>
      <c r="DC585" s="69"/>
      <c r="DD585" s="69"/>
      <c r="DE585" s="69"/>
      <c r="DF585" s="69"/>
      <c r="DG585" s="69"/>
      <c r="DH585" s="69"/>
      <c r="DI585" s="69"/>
      <c r="DJ585" s="69"/>
      <c r="DK585" s="69"/>
      <c r="DL585" s="69"/>
      <c r="DM585" s="69"/>
      <c r="DN585" s="69"/>
      <c r="DO585" s="69"/>
      <c r="DP585" s="69"/>
    </row>
    <row r="586" spans="1:120" x14ac:dyDescent="0.2">
      <c r="A586" s="66"/>
      <c r="B586" s="31"/>
      <c r="C586" s="31"/>
      <c r="D586" s="31"/>
      <c r="E586" s="31"/>
      <c r="F586" s="31"/>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c r="BT586" s="69"/>
      <c r="BU586" s="69"/>
      <c r="BV586" s="69"/>
      <c r="BW586" s="69"/>
      <c r="BX586" s="69"/>
      <c r="BY586" s="69"/>
      <c r="BZ586" s="69"/>
      <c r="CA586" s="69"/>
      <c r="CB586" s="69"/>
      <c r="CC586" s="69"/>
      <c r="CD586" s="69"/>
      <c r="CE586" s="69"/>
      <c r="CF586" s="69"/>
      <c r="CG586" s="69"/>
      <c r="CH586" s="69"/>
      <c r="CI586" s="69"/>
      <c r="CJ586" s="69"/>
      <c r="CK586" s="69"/>
      <c r="CL586" s="69"/>
      <c r="CM586" s="69"/>
      <c r="CN586" s="69"/>
      <c r="CO586" s="69"/>
      <c r="CP586" s="69"/>
      <c r="CQ586" s="69"/>
      <c r="CR586" s="69"/>
      <c r="CS586" s="69"/>
      <c r="CT586" s="69"/>
      <c r="CU586" s="69"/>
      <c r="CV586" s="69"/>
      <c r="CW586" s="69"/>
      <c r="CX586" s="69"/>
      <c r="CY586" s="69"/>
      <c r="CZ586" s="69"/>
      <c r="DA586" s="69"/>
      <c r="DB586" s="69"/>
      <c r="DC586" s="69"/>
      <c r="DD586" s="69"/>
      <c r="DE586" s="69"/>
      <c r="DF586" s="69"/>
      <c r="DG586" s="69"/>
      <c r="DH586" s="69"/>
      <c r="DI586" s="69"/>
      <c r="DJ586" s="69"/>
      <c r="DK586" s="69"/>
      <c r="DL586" s="69"/>
      <c r="DM586" s="69"/>
      <c r="DN586" s="69"/>
      <c r="DO586" s="69"/>
      <c r="DP586" s="69"/>
    </row>
    <row r="587" spans="1:120" x14ac:dyDescent="0.2">
      <c r="A587" s="66"/>
      <c r="B587" s="31"/>
      <c r="C587" s="31"/>
      <c r="D587" s="31"/>
      <c r="E587" s="31"/>
      <c r="F587" s="31"/>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c r="BT587" s="69"/>
      <c r="BU587" s="69"/>
      <c r="BV587" s="69"/>
      <c r="BW587" s="69"/>
      <c r="BX587" s="69"/>
      <c r="BY587" s="69"/>
      <c r="BZ587" s="69"/>
      <c r="CA587" s="69"/>
      <c r="CB587" s="69"/>
      <c r="CC587" s="69"/>
      <c r="CD587" s="69"/>
      <c r="CE587" s="69"/>
      <c r="CF587" s="69"/>
      <c r="CG587" s="69"/>
      <c r="CH587" s="69"/>
      <c r="CI587" s="69"/>
      <c r="CJ587" s="69"/>
      <c r="CK587" s="69"/>
      <c r="CL587" s="69"/>
      <c r="CM587" s="69"/>
      <c r="CN587" s="69"/>
      <c r="CO587" s="69"/>
      <c r="CP587" s="69"/>
      <c r="CQ587" s="69"/>
      <c r="CR587" s="69"/>
      <c r="CS587" s="69"/>
      <c r="CT587" s="69"/>
      <c r="CU587" s="69"/>
      <c r="CV587" s="69"/>
      <c r="CW587" s="69"/>
      <c r="CX587" s="69"/>
      <c r="CY587" s="69"/>
      <c r="CZ587" s="69"/>
      <c r="DA587" s="69"/>
      <c r="DB587" s="69"/>
      <c r="DC587" s="69"/>
      <c r="DD587" s="69"/>
      <c r="DE587" s="69"/>
      <c r="DF587" s="69"/>
      <c r="DG587" s="69"/>
      <c r="DH587" s="69"/>
      <c r="DI587" s="69"/>
      <c r="DJ587" s="69"/>
      <c r="DK587" s="69"/>
      <c r="DL587" s="69"/>
      <c r="DM587" s="69"/>
      <c r="DN587" s="69"/>
      <c r="DO587" s="69"/>
      <c r="DP587" s="69"/>
    </row>
    <row r="588" spans="1:120" x14ac:dyDescent="0.2">
      <c r="A588" s="66"/>
      <c r="B588" s="31"/>
      <c r="C588" s="31"/>
      <c r="D588" s="31"/>
      <c r="E588" s="31"/>
      <c r="F588" s="31"/>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c r="BT588" s="69"/>
      <c r="BU588" s="69"/>
      <c r="BV588" s="69"/>
      <c r="BW588" s="69"/>
      <c r="BX588" s="69"/>
      <c r="BY588" s="69"/>
      <c r="BZ588" s="69"/>
      <c r="CA588" s="69"/>
      <c r="CB588" s="69"/>
      <c r="CC588" s="69"/>
      <c r="CD588" s="69"/>
      <c r="CE588" s="69"/>
      <c r="CF588" s="69"/>
      <c r="CG588" s="69"/>
      <c r="CH588" s="69"/>
      <c r="CI588" s="69"/>
      <c r="CJ588" s="69"/>
      <c r="CK588" s="69"/>
      <c r="CL588" s="69"/>
      <c r="CM588" s="69"/>
      <c r="CN588" s="69"/>
      <c r="CO588" s="69"/>
      <c r="CP588" s="69"/>
      <c r="CQ588" s="69"/>
      <c r="CR588" s="69"/>
      <c r="CS588" s="69"/>
      <c r="CT588" s="69"/>
      <c r="CU588" s="69"/>
      <c r="CV588" s="69"/>
      <c r="CW588" s="69"/>
      <c r="CX588" s="69"/>
      <c r="CY588" s="69"/>
      <c r="CZ588" s="69"/>
      <c r="DA588" s="69"/>
      <c r="DB588" s="69"/>
      <c r="DC588" s="69"/>
      <c r="DD588" s="69"/>
      <c r="DE588" s="69"/>
      <c r="DF588" s="69"/>
      <c r="DG588" s="69"/>
      <c r="DH588" s="69"/>
      <c r="DI588" s="69"/>
      <c r="DJ588" s="69"/>
      <c r="DK588" s="69"/>
      <c r="DL588" s="69"/>
      <c r="DM588" s="69"/>
      <c r="DN588" s="69"/>
      <c r="DO588" s="69"/>
      <c r="DP588" s="69"/>
    </row>
    <row r="589" spans="1:120" x14ac:dyDescent="0.2">
      <c r="A589" s="66"/>
      <c r="B589" s="31"/>
      <c r="C589" s="31"/>
      <c r="D589" s="31"/>
      <c r="E589" s="31"/>
      <c r="F589" s="31"/>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c r="BT589" s="69"/>
      <c r="BU589" s="69"/>
      <c r="BV589" s="69"/>
      <c r="BW589" s="69"/>
      <c r="BX589" s="69"/>
      <c r="BY589" s="69"/>
      <c r="BZ589" s="69"/>
      <c r="CA589" s="69"/>
      <c r="CB589" s="69"/>
      <c r="CC589" s="69"/>
      <c r="CD589" s="69"/>
      <c r="CE589" s="69"/>
      <c r="CF589" s="69"/>
      <c r="CG589" s="69"/>
      <c r="CH589" s="69"/>
      <c r="CI589" s="69"/>
      <c r="CJ589" s="69"/>
      <c r="CK589" s="69"/>
      <c r="CL589" s="69"/>
      <c r="CM589" s="69"/>
      <c r="CN589" s="69"/>
      <c r="CO589" s="69"/>
      <c r="CP589" s="69"/>
      <c r="CQ589" s="69"/>
      <c r="CR589" s="69"/>
      <c r="CS589" s="69"/>
      <c r="CT589" s="69"/>
      <c r="CU589" s="69"/>
      <c r="CV589" s="69"/>
      <c r="CW589" s="69"/>
      <c r="CX589" s="69"/>
      <c r="CY589" s="69"/>
      <c r="CZ589" s="69"/>
      <c r="DA589" s="69"/>
      <c r="DB589" s="69"/>
      <c r="DC589" s="69"/>
      <c r="DD589" s="69"/>
      <c r="DE589" s="69"/>
      <c r="DF589" s="69"/>
      <c r="DG589" s="69"/>
      <c r="DH589" s="69"/>
      <c r="DI589" s="69"/>
      <c r="DJ589" s="69"/>
      <c r="DK589" s="69"/>
      <c r="DL589" s="69"/>
      <c r="DM589" s="69"/>
      <c r="DN589" s="69"/>
      <c r="DO589" s="69"/>
      <c r="DP589" s="69"/>
    </row>
    <row r="590" spans="1:120" x14ac:dyDescent="0.2">
      <c r="A590" s="66"/>
      <c r="B590" s="31"/>
      <c r="C590" s="31"/>
      <c r="D590" s="31"/>
      <c r="E590" s="31"/>
      <c r="F590" s="31"/>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c r="BT590" s="69"/>
      <c r="BU590" s="69"/>
      <c r="BV590" s="69"/>
      <c r="BW590" s="69"/>
      <c r="BX590" s="69"/>
      <c r="BY590" s="69"/>
      <c r="BZ590" s="69"/>
      <c r="CA590" s="69"/>
      <c r="CB590" s="69"/>
      <c r="CC590" s="69"/>
      <c r="CD590" s="69"/>
      <c r="CE590" s="69"/>
      <c r="CF590" s="69"/>
      <c r="CG590" s="69"/>
      <c r="CH590" s="69"/>
      <c r="CI590" s="69"/>
      <c r="CJ590" s="69"/>
      <c r="CK590" s="69"/>
      <c r="CL590" s="69"/>
      <c r="CM590" s="69"/>
      <c r="CN590" s="69"/>
      <c r="CO590" s="69"/>
      <c r="CP590" s="69"/>
      <c r="CQ590" s="69"/>
      <c r="CR590" s="69"/>
      <c r="CS590" s="69"/>
      <c r="CT590" s="69"/>
      <c r="CU590" s="69"/>
      <c r="CV590" s="69"/>
      <c r="CW590" s="69"/>
      <c r="CX590" s="69"/>
      <c r="CY590" s="69"/>
      <c r="CZ590" s="69"/>
      <c r="DA590" s="69"/>
      <c r="DB590" s="69"/>
      <c r="DC590" s="69"/>
      <c r="DD590" s="69"/>
      <c r="DE590" s="69"/>
      <c r="DF590" s="69"/>
      <c r="DG590" s="69"/>
      <c r="DH590" s="69"/>
      <c r="DI590" s="69"/>
      <c r="DJ590" s="69"/>
      <c r="DK590" s="69"/>
      <c r="DL590" s="69"/>
      <c r="DM590" s="69"/>
      <c r="DN590" s="69"/>
      <c r="DO590" s="69"/>
      <c r="DP590" s="69"/>
    </row>
    <row r="591" spans="1:120" x14ac:dyDescent="0.2">
      <c r="A591" s="66"/>
      <c r="B591" s="31"/>
      <c r="C591" s="31"/>
      <c r="D591" s="31"/>
      <c r="E591" s="31"/>
      <c r="F591" s="31"/>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c r="BT591" s="69"/>
      <c r="BU591" s="69"/>
      <c r="BV591" s="69"/>
      <c r="BW591" s="69"/>
      <c r="BX591" s="69"/>
      <c r="BY591" s="69"/>
      <c r="BZ591" s="69"/>
      <c r="CA591" s="69"/>
      <c r="CB591" s="69"/>
      <c r="CC591" s="69"/>
      <c r="CD591" s="69"/>
      <c r="CE591" s="69"/>
      <c r="CF591" s="69"/>
      <c r="CG591" s="69"/>
      <c r="CH591" s="69"/>
      <c r="CI591" s="69"/>
      <c r="CJ591" s="69"/>
      <c r="CK591" s="69"/>
      <c r="CL591" s="69"/>
      <c r="CM591" s="69"/>
      <c r="CN591" s="69"/>
      <c r="CO591" s="69"/>
      <c r="CP591" s="69"/>
      <c r="CQ591" s="69"/>
      <c r="CR591" s="69"/>
      <c r="CS591" s="69"/>
      <c r="CT591" s="69"/>
      <c r="CU591" s="69"/>
      <c r="CV591" s="69"/>
      <c r="CW591" s="69"/>
      <c r="CX591" s="69"/>
      <c r="CY591" s="69"/>
      <c r="CZ591" s="69"/>
      <c r="DA591" s="69"/>
      <c r="DB591" s="69"/>
      <c r="DC591" s="69"/>
      <c r="DD591" s="69"/>
      <c r="DE591" s="69"/>
      <c r="DF591" s="69"/>
      <c r="DG591" s="69"/>
      <c r="DH591" s="69"/>
      <c r="DI591" s="69"/>
      <c r="DJ591" s="69"/>
      <c r="DK591" s="69"/>
      <c r="DL591" s="69"/>
      <c r="DM591" s="69"/>
      <c r="DN591" s="69"/>
      <c r="DO591" s="69"/>
      <c r="DP591" s="69"/>
    </row>
    <row r="592" spans="1:120" x14ac:dyDescent="0.2">
      <c r="A592" s="66"/>
      <c r="B592" s="31"/>
      <c r="C592" s="31"/>
      <c r="D592" s="31"/>
      <c r="E592" s="31"/>
      <c r="F592" s="31"/>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c r="BT592" s="69"/>
      <c r="BU592" s="69"/>
      <c r="BV592" s="69"/>
      <c r="BW592" s="69"/>
      <c r="BX592" s="69"/>
      <c r="BY592" s="69"/>
      <c r="BZ592" s="69"/>
      <c r="CA592" s="69"/>
      <c r="CB592" s="69"/>
      <c r="CC592" s="69"/>
      <c r="CD592" s="69"/>
      <c r="CE592" s="69"/>
      <c r="CF592" s="69"/>
      <c r="CG592" s="69"/>
      <c r="CH592" s="69"/>
      <c r="CI592" s="69"/>
      <c r="CJ592" s="69"/>
      <c r="CK592" s="69"/>
      <c r="CL592" s="69"/>
      <c r="CM592" s="69"/>
      <c r="CN592" s="69"/>
      <c r="CO592" s="69"/>
      <c r="CP592" s="69"/>
      <c r="CQ592" s="69"/>
      <c r="CR592" s="69"/>
      <c r="CS592" s="69"/>
      <c r="CT592" s="69"/>
      <c r="CU592" s="69"/>
      <c r="CV592" s="69"/>
      <c r="CW592" s="69"/>
      <c r="CX592" s="69"/>
      <c r="CY592" s="69"/>
      <c r="CZ592" s="69"/>
      <c r="DA592" s="69"/>
      <c r="DB592" s="69"/>
      <c r="DC592" s="69"/>
      <c r="DD592" s="69"/>
      <c r="DE592" s="69"/>
      <c r="DF592" s="69"/>
      <c r="DG592" s="69"/>
      <c r="DH592" s="69"/>
      <c r="DI592" s="69"/>
      <c r="DJ592" s="69"/>
      <c r="DK592" s="69"/>
      <c r="DL592" s="69"/>
      <c r="DM592" s="69"/>
      <c r="DN592" s="69"/>
      <c r="DO592" s="69"/>
      <c r="DP592" s="69"/>
    </row>
    <row r="593" spans="1:120" x14ac:dyDescent="0.2">
      <c r="A593" s="66"/>
      <c r="B593" s="31"/>
      <c r="C593" s="31"/>
      <c r="D593" s="31"/>
      <c r="E593" s="31"/>
      <c r="F593" s="31"/>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c r="BT593" s="69"/>
      <c r="BU593" s="69"/>
      <c r="BV593" s="69"/>
      <c r="BW593" s="69"/>
      <c r="BX593" s="69"/>
      <c r="BY593" s="69"/>
      <c r="BZ593" s="69"/>
      <c r="CA593" s="69"/>
      <c r="CB593" s="69"/>
      <c r="CC593" s="69"/>
      <c r="CD593" s="69"/>
      <c r="CE593" s="69"/>
      <c r="CF593" s="69"/>
      <c r="CG593" s="69"/>
      <c r="CH593" s="69"/>
      <c r="CI593" s="69"/>
      <c r="CJ593" s="69"/>
      <c r="CK593" s="69"/>
      <c r="CL593" s="69"/>
      <c r="CM593" s="69"/>
      <c r="CN593" s="69"/>
      <c r="CO593" s="69"/>
      <c r="CP593" s="69"/>
      <c r="CQ593" s="69"/>
      <c r="CR593" s="69"/>
      <c r="CS593" s="69"/>
      <c r="CT593" s="69"/>
      <c r="CU593" s="69"/>
      <c r="CV593" s="69"/>
      <c r="CW593" s="69"/>
      <c r="CX593" s="69"/>
      <c r="CY593" s="69"/>
      <c r="CZ593" s="69"/>
      <c r="DA593" s="69"/>
      <c r="DB593" s="69"/>
      <c r="DC593" s="69"/>
      <c r="DD593" s="69"/>
      <c r="DE593" s="69"/>
      <c r="DF593" s="69"/>
      <c r="DG593" s="69"/>
      <c r="DH593" s="69"/>
      <c r="DI593" s="69"/>
      <c r="DJ593" s="69"/>
      <c r="DK593" s="69"/>
      <c r="DL593" s="69"/>
      <c r="DM593" s="69"/>
      <c r="DN593" s="69"/>
      <c r="DO593" s="69"/>
      <c r="DP593" s="69"/>
    </row>
    <row r="594" spans="1:120" x14ac:dyDescent="0.2">
      <c r="A594" s="66"/>
      <c r="B594" s="31"/>
      <c r="C594" s="31"/>
      <c r="D594" s="31"/>
      <c r="E594" s="31"/>
      <c r="F594" s="31"/>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c r="BT594" s="69"/>
      <c r="BU594" s="69"/>
      <c r="BV594" s="69"/>
      <c r="BW594" s="69"/>
      <c r="BX594" s="69"/>
      <c r="BY594" s="69"/>
      <c r="BZ594" s="69"/>
      <c r="CA594" s="69"/>
      <c r="CB594" s="69"/>
      <c r="CC594" s="69"/>
      <c r="CD594" s="69"/>
      <c r="CE594" s="69"/>
      <c r="CF594" s="69"/>
      <c r="CG594" s="69"/>
      <c r="CH594" s="69"/>
      <c r="CI594" s="69"/>
      <c r="CJ594" s="69"/>
      <c r="CK594" s="69"/>
      <c r="CL594" s="69"/>
      <c r="CM594" s="69"/>
      <c r="CN594" s="69"/>
      <c r="CO594" s="69"/>
      <c r="CP594" s="69"/>
      <c r="CQ594" s="69"/>
      <c r="CR594" s="69"/>
      <c r="CS594" s="69"/>
      <c r="CT594" s="69"/>
      <c r="CU594" s="69"/>
      <c r="CV594" s="69"/>
      <c r="CW594" s="69"/>
      <c r="CX594" s="69"/>
      <c r="CY594" s="69"/>
      <c r="CZ594" s="69"/>
      <c r="DA594" s="69"/>
      <c r="DB594" s="69"/>
      <c r="DC594" s="69"/>
      <c r="DD594" s="69"/>
      <c r="DE594" s="69"/>
      <c r="DF594" s="69"/>
      <c r="DG594" s="69"/>
      <c r="DH594" s="69"/>
      <c r="DI594" s="69"/>
      <c r="DJ594" s="69"/>
      <c r="DK594" s="69"/>
      <c r="DL594" s="69"/>
      <c r="DM594" s="69"/>
      <c r="DN594" s="69"/>
      <c r="DO594" s="69"/>
      <c r="DP594" s="69"/>
    </row>
    <row r="595" spans="1:120" x14ac:dyDescent="0.2">
      <c r="A595" s="66"/>
      <c r="B595" s="31"/>
      <c r="C595" s="31"/>
      <c r="D595" s="31"/>
      <c r="E595" s="31"/>
      <c r="F595" s="31"/>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c r="BT595" s="69"/>
      <c r="BU595" s="69"/>
      <c r="BV595" s="69"/>
      <c r="BW595" s="69"/>
      <c r="BX595" s="69"/>
      <c r="BY595" s="69"/>
      <c r="BZ595" s="69"/>
      <c r="CA595" s="69"/>
      <c r="CB595" s="69"/>
      <c r="CC595" s="69"/>
      <c r="CD595" s="69"/>
      <c r="CE595" s="69"/>
      <c r="CF595" s="69"/>
      <c r="CG595" s="69"/>
      <c r="CH595" s="69"/>
      <c r="CI595" s="69"/>
      <c r="CJ595" s="69"/>
      <c r="CK595" s="69"/>
      <c r="CL595" s="69"/>
      <c r="CM595" s="69"/>
      <c r="CN595" s="69"/>
      <c r="CO595" s="69"/>
      <c r="CP595" s="69"/>
      <c r="CQ595" s="69"/>
      <c r="CR595" s="69"/>
      <c r="CS595" s="69"/>
      <c r="CT595" s="69"/>
      <c r="CU595" s="69"/>
      <c r="CV595" s="69"/>
      <c r="CW595" s="69"/>
      <c r="CX595" s="69"/>
      <c r="CY595" s="69"/>
      <c r="CZ595" s="69"/>
      <c r="DA595" s="69"/>
      <c r="DB595" s="69"/>
      <c r="DC595" s="69"/>
      <c r="DD595" s="69"/>
      <c r="DE595" s="69"/>
      <c r="DF595" s="69"/>
      <c r="DG595" s="69"/>
      <c r="DH595" s="69"/>
      <c r="DI595" s="69"/>
      <c r="DJ595" s="69"/>
      <c r="DK595" s="69"/>
      <c r="DL595" s="69"/>
      <c r="DM595" s="69"/>
      <c r="DN595" s="69"/>
      <c r="DO595" s="69"/>
      <c r="DP595" s="69"/>
    </row>
    <row r="596" spans="1:120" x14ac:dyDescent="0.2">
      <c r="A596" s="66"/>
      <c r="B596" s="31"/>
      <c r="C596" s="31"/>
      <c r="D596" s="31"/>
      <c r="E596" s="31"/>
      <c r="F596" s="31"/>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c r="AW596" s="69"/>
      <c r="AX596" s="69"/>
      <c r="AY596" s="69"/>
      <c r="AZ596" s="69"/>
      <c r="BA596" s="69"/>
      <c r="BB596" s="69"/>
      <c r="BC596" s="69"/>
      <c r="BD596" s="69"/>
      <c r="BE596" s="69"/>
      <c r="BF596" s="69"/>
      <c r="BG596" s="69"/>
      <c r="BH596" s="69"/>
      <c r="BI596" s="69"/>
      <c r="BJ596" s="69"/>
      <c r="BK596" s="69"/>
      <c r="BL596" s="69"/>
      <c r="BM596" s="69"/>
      <c r="BN596" s="69"/>
      <c r="BO596" s="69"/>
      <c r="BP596" s="69"/>
      <c r="BQ596" s="69"/>
      <c r="BR596" s="69"/>
      <c r="BS596" s="69"/>
      <c r="BT596" s="69"/>
      <c r="BU596" s="69"/>
      <c r="BV596" s="69"/>
      <c r="BW596" s="69"/>
      <c r="BX596" s="69"/>
      <c r="BY596" s="69"/>
      <c r="BZ596" s="69"/>
      <c r="CA596" s="69"/>
      <c r="CB596" s="69"/>
      <c r="CC596" s="69"/>
      <c r="CD596" s="69"/>
      <c r="CE596" s="69"/>
      <c r="CF596" s="69"/>
      <c r="CG596" s="69"/>
      <c r="CH596" s="69"/>
      <c r="CI596" s="69"/>
      <c r="CJ596" s="69"/>
      <c r="CK596" s="69"/>
      <c r="CL596" s="69"/>
      <c r="CM596" s="69"/>
      <c r="CN596" s="69"/>
      <c r="CO596" s="69"/>
      <c r="CP596" s="69"/>
      <c r="CQ596" s="69"/>
      <c r="CR596" s="69"/>
      <c r="CS596" s="69"/>
      <c r="CT596" s="69"/>
      <c r="CU596" s="69"/>
      <c r="CV596" s="69"/>
      <c r="CW596" s="69"/>
      <c r="CX596" s="69"/>
      <c r="CY596" s="69"/>
      <c r="CZ596" s="69"/>
      <c r="DA596" s="69"/>
      <c r="DB596" s="69"/>
      <c r="DC596" s="69"/>
      <c r="DD596" s="69"/>
      <c r="DE596" s="69"/>
      <c r="DF596" s="69"/>
      <c r="DG596" s="69"/>
      <c r="DH596" s="69"/>
      <c r="DI596" s="69"/>
      <c r="DJ596" s="69"/>
      <c r="DK596" s="69"/>
      <c r="DL596" s="69"/>
      <c r="DM596" s="69"/>
      <c r="DN596" s="69"/>
      <c r="DO596" s="69"/>
      <c r="DP596" s="69"/>
    </row>
    <row r="597" spans="1:120" x14ac:dyDescent="0.2">
      <c r="A597" s="66"/>
      <c r="B597" s="31"/>
      <c r="C597" s="31"/>
      <c r="D597" s="31"/>
      <c r="E597" s="31"/>
      <c r="F597" s="31"/>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c r="BT597" s="69"/>
      <c r="BU597" s="69"/>
      <c r="BV597" s="69"/>
      <c r="BW597" s="69"/>
      <c r="BX597" s="69"/>
      <c r="BY597" s="69"/>
      <c r="BZ597" s="69"/>
      <c r="CA597" s="69"/>
      <c r="CB597" s="69"/>
      <c r="CC597" s="69"/>
      <c r="CD597" s="69"/>
      <c r="CE597" s="69"/>
      <c r="CF597" s="69"/>
      <c r="CG597" s="69"/>
      <c r="CH597" s="69"/>
      <c r="CI597" s="69"/>
      <c r="CJ597" s="69"/>
      <c r="CK597" s="69"/>
      <c r="CL597" s="69"/>
      <c r="CM597" s="69"/>
      <c r="CN597" s="69"/>
      <c r="CO597" s="69"/>
      <c r="CP597" s="69"/>
      <c r="CQ597" s="69"/>
      <c r="CR597" s="69"/>
      <c r="CS597" s="69"/>
      <c r="CT597" s="69"/>
      <c r="CU597" s="69"/>
      <c r="CV597" s="69"/>
      <c r="CW597" s="69"/>
      <c r="CX597" s="69"/>
      <c r="CY597" s="69"/>
      <c r="CZ597" s="69"/>
      <c r="DA597" s="69"/>
      <c r="DB597" s="69"/>
      <c r="DC597" s="69"/>
      <c r="DD597" s="69"/>
      <c r="DE597" s="69"/>
      <c r="DF597" s="69"/>
      <c r="DG597" s="69"/>
      <c r="DH597" s="69"/>
      <c r="DI597" s="69"/>
      <c r="DJ597" s="69"/>
      <c r="DK597" s="69"/>
      <c r="DL597" s="69"/>
      <c r="DM597" s="69"/>
      <c r="DN597" s="69"/>
      <c r="DO597" s="69"/>
      <c r="DP597" s="69"/>
    </row>
    <row r="598" spans="1:120" x14ac:dyDescent="0.2">
      <c r="A598" s="66"/>
      <c r="B598" s="31"/>
      <c r="C598" s="31"/>
      <c r="D598" s="31"/>
      <c r="E598" s="31"/>
      <c r="F598" s="31"/>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c r="BT598" s="69"/>
      <c r="BU598" s="69"/>
      <c r="BV598" s="69"/>
      <c r="BW598" s="69"/>
      <c r="BX598" s="69"/>
      <c r="BY598" s="69"/>
      <c r="BZ598" s="69"/>
      <c r="CA598" s="69"/>
      <c r="CB598" s="69"/>
      <c r="CC598" s="69"/>
      <c r="CD598" s="69"/>
      <c r="CE598" s="69"/>
      <c r="CF598" s="69"/>
      <c r="CG598" s="69"/>
      <c r="CH598" s="69"/>
      <c r="CI598" s="69"/>
      <c r="CJ598" s="69"/>
      <c r="CK598" s="69"/>
      <c r="CL598" s="69"/>
      <c r="CM598" s="69"/>
      <c r="CN598" s="69"/>
      <c r="CO598" s="69"/>
      <c r="CP598" s="69"/>
      <c r="CQ598" s="69"/>
      <c r="CR598" s="69"/>
      <c r="CS598" s="69"/>
      <c r="CT598" s="69"/>
      <c r="CU598" s="69"/>
      <c r="CV598" s="69"/>
      <c r="CW598" s="69"/>
      <c r="CX598" s="69"/>
      <c r="CY598" s="69"/>
      <c r="CZ598" s="69"/>
      <c r="DA598" s="69"/>
      <c r="DB598" s="69"/>
      <c r="DC598" s="69"/>
      <c r="DD598" s="69"/>
      <c r="DE598" s="69"/>
      <c r="DF598" s="69"/>
      <c r="DG598" s="69"/>
      <c r="DH598" s="69"/>
      <c r="DI598" s="69"/>
      <c r="DJ598" s="69"/>
      <c r="DK598" s="69"/>
      <c r="DL598" s="69"/>
      <c r="DM598" s="69"/>
      <c r="DN598" s="69"/>
      <c r="DO598" s="69"/>
      <c r="DP598" s="69"/>
    </row>
    <row r="599" spans="1:120" x14ac:dyDescent="0.2">
      <c r="A599" s="66"/>
      <c r="B599" s="31"/>
      <c r="C599" s="31"/>
      <c r="D599" s="31"/>
      <c r="E599" s="31"/>
      <c r="F599" s="31"/>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c r="AW599" s="69"/>
      <c r="AX599" s="69"/>
      <c r="AY599" s="69"/>
      <c r="AZ599" s="69"/>
      <c r="BA599" s="69"/>
      <c r="BB599" s="69"/>
      <c r="BC599" s="69"/>
      <c r="BD599" s="69"/>
      <c r="BE599" s="69"/>
      <c r="BF599" s="69"/>
      <c r="BG599" s="69"/>
      <c r="BH599" s="69"/>
      <c r="BI599" s="69"/>
      <c r="BJ599" s="69"/>
      <c r="BK599" s="69"/>
      <c r="BL599" s="69"/>
      <c r="BM599" s="69"/>
      <c r="BN599" s="69"/>
      <c r="BO599" s="69"/>
      <c r="BP599" s="69"/>
      <c r="BQ599" s="69"/>
      <c r="BR599" s="69"/>
      <c r="BS599" s="69"/>
      <c r="BT599" s="69"/>
      <c r="BU599" s="69"/>
      <c r="BV599" s="69"/>
      <c r="BW599" s="69"/>
      <c r="BX599" s="69"/>
      <c r="BY599" s="69"/>
      <c r="BZ599" s="69"/>
      <c r="CA599" s="69"/>
      <c r="CB599" s="69"/>
      <c r="CC599" s="69"/>
      <c r="CD599" s="69"/>
      <c r="CE599" s="69"/>
      <c r="CF599" s="69"/>
      <c r="CG599" s="69"/>
      <c r="CH599" s="69"/>
      <c r="CI599" s="69"/>
      <c r="CJ599" s="69"/>
      <c r="CK599" s="69"/>
      <c r="CL599" s="69"/>
      <c r="CM599" s="69"/>
      <c r="CN599" s="69"/>
      <c r="CO599" s="69"/>
      <c r="CP599" s="69"/>
      <c r="CQ599" s="69"/>
      <c r="CR599" s="69"/>
      <c r="CS599" s="69"/>
      <c r="CT599" s="69"/>
      <c r="CU599" s="69"/>
      <c r="CV599" s="69"/>
      <c r="CW599" s="69"/>
      <c r="CX599" s="69"/>
      <c r="CY599" s="69"/>
      <c r="CZ599" s="69"/>
      <c r="DA599" s="69"/>
      <c r="DB599" s="69"/>
      <c r="DC599" s="69"/>
      <c r="DD599" s="69"/>
      <c r="DE599" s="69"/>
      <c r="DF599" s="69"/>
      <c r="DG599" s="69"/>
      <c r="DH599" s="69"/>
      <c r="DI599" s="69"/>
      <c r="DJ599" s="69"/>
      <c r="DK599" s="69"/>
      <c r="DL599" s="69"/>
      <c r="DM599" s="69"/>
      <c r="DN599" s="69"/>
      <c r="DO599" s="69"/>
      <c r="DP599" s="69"/>
    </row>
    <row r="600" spans="1:120" x14ac:dyDescent="0.2">
      <c r="A600" s="66"/>
      <c r="B600" s="31"/>
      <c r="C600" s="31"/>
      <c r="D600" s="31"/>
      <c r="E600" s="31"/>
      <c r="F600" s="31"/>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c r="BT600" s="69"/>
      <c r="BU600" s="69"/>
      <c r="BV600" s="69"/>
      <c r="BW600" s="69"/>
      <c r="BX600" s="69"/>
      <c r="BY600" s="69"/>
      <c r="BZ600" s="69"/>
      <c r="CA600" s="69"/>
      <c r="CB600" s="69"/>
      <c r="CC600" s="69"/>
      <c r="CD600" s="69"/>
      <c r="CE600" s="69"/>
      <c r="CF600" s="69"/>
      <c r="CG600" s="69"/>
      <c r="CH600" s="69"/>
      <c r="CI600" s="69"/>
      <c r="CJ600" s="69"/>
      <c r="CK600" s="69"/>
      <c r="CL600" s="69"/>
      <c r="CM600" s="69"/>
      <c r="CN600" s="69"/>
      <c r="CO600" s="69"/>
      <c r="CP600" s="69"/>
      <c r="CQ600" s="69"/>
      <c r="CR600" s="69"/>
      <c r="CS600" s="69"/>
      <c r="CT600" s="69"/>
      <c r="CU600" s="69"/>
      <c r="CV600" s="69"/>
      <c r="CW600" s="69"/>
      <c r="CX600" s="69"/>
      <c r="CY600" s="69"/>
      <c r="CZ600" s="69"/>
      <c r="DA600" s="69"/>
      <c r="DB600" s="69"/>
      <c r="DC600" s="69"/>
      <c r="DD600" s="69"/>
      <c r="DE600" s="69"/>
      <c r="DF600" s="69"/>
      <c r="DG600" s="69"/>
      <c r="DH600" s="69"/>
      <c r="DI600" s="69"/>
      <c r="DJ600" s="69"/>
      <c r="DK600" s="69"/>
      <c r="DL600" s="69"/>
      <c r="DM600" s="69"/>
      <c r="DN600" s="69"/>
      <c r="DO600" s="69"/>
      <c r="DP600" s="69"/>
    </row>
    <row r="601" spans="1:120" x14ac:dyDescent="0.2">
      <c r="A601" s="66"/>
      <c r="B601" s="31"/>
      <c r="C601" s="31"/>
      <c r="D601" s="31"/>
      <c r="E601" s="31"/>
      <c r="F601" s="31"/>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c r="BT601" s="69"/>
      <c r="BU601" s="69"/>
      <c r="BV601" s="69"/>
      <c r="BW601" s="69"/>
      <c r="BX601" s="69"/>
      <c r="BY601" s="69"/>
      <c r="BZ601" s="69"/>
      <c r="CA601" s="69"/>
      <c r="CB601" s="69"/>
      <c r="CC601" s="69"/>
      <c r="CD601" s="69"/>
      <c r="CE601" s="69"/>
      <c r="CF601" s="69"/>
      <c r="CG601" s="69"/>
      <c r="CH601" s="69"/>
      <c r="CI601" s="69"/>
      <c r="CJ601" s="69"/>
      <c r="CK601" s="69"/>
      <c r="CL601" s="69"/>
      <c r="CM601" s="69"/>
      <c r="CN601" s="69"/>
      <c r="CO601" s="69"/>
      <c r="CP601" s="69"/>
      <c r="CQ601" s="69"/>
      <c r="CR601" s="69"/>
      <c r="CS601" s="69"/>
      <c r="CT601" s="69"/>
      <c r="CU601" s="69"/>
      <c r="CV601" s="69"/>
      <c r="CW601" s="69"/>
      <c r="CX601" s="69"/>
      <c r="CY601" s="69"/>
      <c r="CZ601" s="69"/>
      <c r="DA601" s="69"/>
      <c r="DB601" s="69"/>
      <c r="DC601" s="69"/>
      <c r="DD601" s="69"/>
      <c r="DE601" s="69"/>
      <c r="DF601" s="69"/>
      <c r="DG601" s="69"/>
      <c r="DH601" s="69"/>
      <c r="DI601" s="69"/>
      <c r="DJ601" s="69"/>
      <c r="DK601" s="69"/>
      <c r="DL601" s="69"/>
      <c r="DM601" s="69"/>
      <c r="DN601" s="69"/>
      <c r="DO601" s="69"/>
      <c r="DP601" s="69"/>
    </row>
    <row r="602" spans="1:120" x14ac:dyDescent="0.2">
      <c r="A602" s="66"/>
      <c r="B602" s="31"/>
      <c r="C602" s="31"/>
      <c r="D602" s="31"/>
      <c r="E602" s="31"/>
      <c r="F602" s="31"/>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c r="AW602" s="69"/>
      <c r="AX602" s="69"/>
      <c r="AY602" s="69"/>
      <c r="AZ602" s="69"/>
      <c r="BA602" s="69"/>
      <c r="BB602" s="69"/>
      <c r="BC602" s="69"/>
      <c r="BD602" s="69"/>
      <c r="BE602" s="69"/>
      <c r="BF602" s="69"/>
      <c r="BG602" s="69"/>
      <c r="BH602" s="69"/>
      <c r="BI602" s="69"/>
      <c r="BJ602" s="69"/>
      <c r="BK602" s="69"/>
      <c r="BL602" s="69"/>
      <c r="BM602" s="69"/>
      <c r="BN602" s="69"/>
      <c r="BO602" s="69"/>
      <c r="BP602" s="69"/>
      <c r="BQ602" s="69"/>
      <c r="BR602" s="69"/>
      <c r="BS602" s="69"/>
      <c r="BT602" s="69"/>
      <c r="BU602" s="69"/>
      <c r="BV602" s="69"/>
      <c r="BW602" s="69"/>
      <c r="BX602" s="69"/>
      <c r="BY602" s="69"/>
      <c r="BZ602" s="69"/>
      <c r="CA602" s="69"/>
      <c r="CB602" s="69"/>
      <c r="CC602" s="69"/>
      <c r="CD602" s="69"/>
      <c r="CE602" s="69"/>
      <c r="CF602" s="69"/>
      <c r="CG602" s="69"/>
      <c r="CH602" s="69"/>
      <c r="CI602" s="69"/>
      <c r="CJ602" s="69"/>
      <c r="CK602" s="69"/>
      <c r="CL602" s="69"/>
      <c r="CM602" s="69"/>
      <c r="CN602" s="69"/>
      <c r="CO602" s="69"/>
      <c r="CP602" s="69"/>
      <c r="CQ602" s="69"/>
      <c r="CR602" s="69"/>
      <c r="CS602" s="69"/>
      <c r="CT602" s="69"/>
      <c r="CU602" s="69"/>
      <c r="CV602" s="69"/>
      <c r="CW602" s="69"/>
      <c r="CX602" s="69"/>
      <c r="CY602" s="69"/>
      <c r="CZ602" s="69"/>
      <c r="DA602" s="69"/>
      <c r="DB602" s="69"/>
      <c r="DC602" s="69"/>
      <c r="DD602" s="69"/>
      <c r="DE602" s="69"/>
      <c r="DF602" s="69"/>
      <c r="DG602" s="69"/>
      <c r="DH602" s="69"/>
      <c r="DI602" s="69"/>
      <c r="DJ602" s="69"/>
      <c r="DK602" s="69"/>
      <c r="DL602" s="69"/>
      <c r="DM602" s="69"/>
      <c r="DN602" s="69"/>
      <c r="DO602" s="69"/>
      <c r="DP602" s="69"/>
    </row>
    <row r="603" spans="1:120" x14ac:dyDescent="0.2">
      <c r="A603" s="66"/>
      <c r="B603" s="31"/>
      <c r="C603" s="31"/>
      <c r="D603" s="31"/>
      <c r="E603" s="31"/>
      <c r="F603" s="31"/>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c r="BT603" s="69"/>
      <c r="BU603" s="69"/>
      <c r="BV603" s="69"/>
      <c r="BW603" s="69"/>
      <c r="BX603" s="69"/>
      <c r="BY603" s="69"/>
      <c r="BZ603" s="69"/>
      <c r="CA603" s="69"/>
      <c r="CB603" s="69"/>
      <c r="CC603" s="69"/>
      <c r="CD603" s="69"/>
      <c r="CE603" s="69"/>
      <c r="CF603" s="69"/>
      <c r="CG603" s="69"/>
      <c r="CH603" s="69"/>
      <c r="CI603" s="69"/>
      <c r="CJ603" s="69"/>
      <c r="CK603" s="69"/>
      <c r="CL603" s="69"/>
      <c r="CM603" s="69"/>
      <c r="CN603" s="69"/>
      <c r="CO603" s="69"/>
      <c r="CP603" s="69"/>
      <c r="CQ603" s="69"/>
      <c r="CR603" s="69"/>
      <c r="CS603" s="69"/>
      <c r="CT603" s="69"/>
      <c r="CU603" s="69"/>
      <c r="CV603" s="69"/>
      <c r="CW603" s="69"/>
      <c r="CX603" s="69"/>
      <c r="CY603" s="69"/>
      <c r="CZ603" s="69"/>
      <c r="DA603" s="69"/>
      <c r="DB603" s="69"/>
      <c r="DC603" s="69"/>
      <c r="DD603" s="69"/>
      <c r="DE603" s="69"/>
      <c r="DF603" s="69"/>
      <c r="DG603" s="69"/>
      <c r="DH603" s="69"/>
      <c r="DI603" s="69"/>
      <c r="DJ603" s="69"/>
      <c r="DK603" s="69"/>
      <c r="DL603" s="69"/>
      <c r="DM603" s="69"/>
      <c r="DN603" s="69"/>
      <c r="DO603" s="69"/>
      <c r="DP603" s="69"/>
    </row>
    <row r="604" spans="1:120" x14ac:dyDescent="0.2">
      <c r="A604" s="66"/>
      <c r="B604" s="31"/>
      <c r="C604" s="31"/>
      <c r="D604" s="31"/>
      <c r="E604" s="31"/>
      <c r="F604" s="31"/>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c r="BT604" s="69"/>
      <c r="BU604" s="69"/>
      <c r="BV604" s="69"/>
      <c r="BW604" s="69"/>
      <c r="BX604" s="69"/>
      <c r="BY604" s="69"/>
      <c r="BZ604" s="69"/>
      <c r="CA604" s="69"/>
      <c r="CB604" s="69"/>
      <c r="CC604" s="69"/>
      <c r="CD604" s="69"/>
      <c r="CE604" s="69"/>
      <c r="CF604" s="69"/>
      <c r="CG604" s="69"/>
      <c r="CH604" s="69"/>
      <c r="CI604" s="69"/>
      <c r="CJ604" s="69"/>
      <c r="CK604" s="69"/>
      <c r="CL604" s="69"/>
      <c r="CM604" s="69"/>
      <c r="CN604" s="69"/>
      <c r="CO604" s="69"/>
      <c r="CP604" s="69"/>
      <c r="CQ604" s="69"/>
      <c r="CR604" s="69"/>
      <c r="CS604" s="69"/>
      <c r="CT604" s="69"/>
      <c r="CU604" s="69"/>
      <c r="CV604" s="69"/>
      <c r="CW604" s="69"/>
      <c r="CX604" s="69"/>
      <c r="CY604" s="69"/>
      <c r="CZ604" s="69"/>
      <c r="DA604" s="69"/>
      <c r="DB604" s="69"/>
      <c r="DC604" s="69"/>
      <c r="DD604" s="69"/>
      <c r="DE604" s="69"/>
      <c r="DF604" s="69"/>
      <c r="DG604" s="69"/>
      <c r="DH604" s="69"/>
      <c r="DI604" s="69"/>
      <c r="DJ604" s="69"/>
      <c r="DK604" s="69"/>
      <c r="DL604" s="69"/>
      <c r="DM604" s="69"/>
      <c r="DN604" s="69"/>
      <c r="DO604" s="69"/>
      <c r="DP604" s="69"/>
    </row>
    <row r="605" spans="1:120" x14ac:dyDescent="0.2">
      <c r="A605" s="66"/>
      <c r="B605" s="31"/>
      <c r="C605" s="31"/>
      <c r="D605" s="31"/>
      <c r="E605" s="31"/>
      <c r="F605" s="31"/>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c r="AW605" s="69"/>
      <c r="AX605" s="69"/>
      <c r="AY605" s="69"/>
      <c r="AZ605" s="69"/>
      <c r="BA605" s="69"/>
      <c r="BB605" s="69"/>
      <c r="BC605" s="69"/>
      <c r="BD605" s="69"/>
      <c r="BE605" s="69"/>
      <c r="BF605" s="69"/>
      <c r="BG605" s="69"/>
      <c r="BH605" s="69"/>
      <c r="BI605" s="69"/>
      <c r="BJ605" s="69"/>
      <c r="BK605" s="69"/>
      <c r="BL605" s="69"/>
      <c r="BM605" s="69"/>
      <c r="BN605" s="69"/>
      <c r="BO605" s="69"/>
      <c r="BP605" s="69"/>
      <c r="BQ605" s="69"/>
      <c r="BR605" s="69"/>
      <c r="BS605" s="69"/>
      <c r="BT605" s="69"/>
      <c r="BU605" s="69"/>
      <c r="BV605" s="69"/>
      <c r="BW605" s="69"/>
      <c r="BX605" s="69"/>
      <c r="BY605" s="69"/>
      <c r="BZ605" s="69"/>
      <c r="CA605" s="69"/>
      <c r="CB605" s="69"/>
      <c r="CC605" s="69"/>
      <c r="CD605" s="69"/>
      <c r="CE605" s="69"/>
      <c r="CF605" s="69"/>
      <c r="CG605" s="69"/>
      <c r="CH605" s="69"/>
      <c r="CI605" s="69"/>
      <c r="CJ605" s="69"/>
      <c r="CK605" s="69"/>
      <c r="CL605" s="69"/>
      <c r="CM605" s="69"/>
      <c r="CN605" s="69"/>
      <c r="CO605" s="69"/>
      <c r="CP605" s="69"/>
      <c r="CQ605" s="69"/>
      <c r="CR605" s="69"/>
      <c r="CS605" s="69"/>
      <c r="CT605" s="69"/>
      <c r="CU605" s="69"/>
      <c r="CV605" s="69"/>
      <c r="CW605" s="69"/>
      <c r="CX605" s="69"/>
      <c r="CY605" s="69"/>
      <c r="CZ605" s="69"/>
      <c r="DA605" s="69"/>
      <c r="DB605" s="69"/>
      <c r="DC605" s="69"/>
      <c r="DD605" s="69"/>
      <c r="DE605" s="69"/>
      <c r="DF605" s="69"/>
      <c r="DG605" s="69"/>
      <c r="DH605" s="69"/>
      <c r="DI605" s="69"/>
      <c r="DJ605" s="69"/>
      <c r="DK605" s="69"/>
      <c r="DL605" s="69"/>
      <c r="DM605" s="69"/>
      <c r="DN605" s="69"/>
      <c r="DO605" s="69"/>
      <c r="DP605" s="69"/>
    </row>
    <row r="606" spans="1:120" x14ac:dyDescent="0.2">
      <c r="A606" s="66"/>
      <c r="B606" s="31"/>
      <c r="C606" s="31"/>
      <c r="D606" s="31"/>
      <c r="E606" s="31"/>
      <c r="F606" s="31"/>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c r="AW606" s="69"/>
      <c r="AX606" s="69"/>
      <c r="AY606" s="69"/>
      <c r="AZ606" s="69"/>
      <c r="BA606" s="69"/>
      <c r="BB606" s="69"/>
      <c r="BC606" s="69"/>
      <c r="BD606" s="69"/>
      <c r="BE606" s="69"/>
      <c r="BF606" s="69"/>
      <c r="BG606" s="69"/>
      <c r="BH606" s="69"/>
      <c r="BI606" s="69"/>
      <c r="BJ606" s="69"/>
      <c r="BK606" s="69"/>
      <c r="BL606" s="69"/>
      <c r="BM606" s="69"/>
      <c r="BN606" s="69"/>
      <c r="BO606" s="69"/>
      <c r="BP606" s="69"/>
      <c r="BQ606" s="69"/>
      <c r="BR606" s="69"/>
      <c r="BS606" s="69"/>
      <c r="BT606" s="69"/>
      <c r="BU606" s="69"/>
      <c r="BV606" s="69"/>
      <c r="BW606" s="69"/>
      <c r="BX606" s="69"/>
      <c r="BY606" s="69"/>
      <c r="BZ606" s="69"/>
      <c r="CA606" s="69"/>
      <c r="CB606" s="69"/>
      <c r="CC606" s="69"/>
      <c r="CD606" s="69"/>
      <c r="CE606" s="69"/>
      <c r="CF606" s="69"/>
      <c r="CG606" s="69"/>
      <c r="CH606" s="69"/>
      <c r="CI606" s="69"/>
      <c r="CJ606" s="69"/>
      <c r="CK606" s="69"/>
      <c r="CL606" s="69"/>
      <c r="CM606" s="69"/>
      <c r="CN606" s="69"/>
      <c r="CO606" s="69"/>
      <c r="CP606" s="69"/>
      <c r="CQ606" s="69"/>
      <c r="CR606" s="69"/>
      <c r="CS606" s="69"/>
      <c r="CT606" s="69"/>
      <c r="CU606" s="69"/>
      <c r="CV606" s="69"/>
      <c r="CW606" s="69"/>
      <c r="CX606" s="69"/>
      <c r="CY606" s="69"/>
      <c r="CZ606" s="69"/>
      <c r="DA606" s="69"/>
      <c r="DB606" s="69"/>
      <c r="DC606" s="69"/>
      <c r="DD606" s="69"/>
      <c r="DE606" s="69"/>
      <c r="DF606" s="69"/>
      <c r="DG606" s="69"/>
      <c r="DH606" s="69"/>
      <c r="DI606" s="69"/>
      <c r="DJ606" s="69"/>
      <c r="DK606" s="69"/>
      <c r="DL606" s="69"/>
      <c r="DM606" s="69"/>
      <c r="DN606" s="69"/>
      <c r="DO606" s="69"/>
      <c r="DP606" s="69"/>
    </row>
    <row r="607" spans="1:120" x14ac:dyDescent="0.2">
      <c r="A607" s="66"/>
      <c r="B607" s="31"/>
      <c r="C607" s="31"/>
      <c r="D607" s="31"/>
      <c r="E607" s="31"/>
      <c r="F607" s="31"/>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c r="BT607" s="69"/>
      <c r="BU607" s="69"/>
      <c r="BV607" s="69"/>
      <c r="BW607" s="69"/>
      <c r="BX607" s="69"/>
      <c r="BY607" s="69"/>
      <c r="BZ607" s="69"/>
      <c r="CA607" s="69"/>
      <c r="CB607" s="69"/>
      <c r="CC607" s="69"/>
      <c r="CD607" s="69"/>
      <c r="CE607" s="69"/>
      <c r="CF607" s="69"/>
      <c r="CG607" s="69"/>
      <c r="CH607" s="69"/>
      <c r="CI607" s="69"/>
      <c r="CJ607" s="69"/>
      <c r="CK607" s="69"/>
      <c r="CL607" s="69"/>
      <c r="CM607" s="69"/>
      <c r="CN607" s="69"/>
      <c r="CO607" s="69"/>
      <c r="CP607" s="69"/>
      <c r="CQ607" s="69"/>
      <c r="CR607" s="69"/>
      <c r="CS607" s="69"/>
      <c r="CT607" s="69"/>
      <c r="CU607" s="69"/>
      <c r="CV607" s="69"/>
      <c r="CW607" s="69"/>
      <c r="CX607" s="69"/>
      <c r="CY607" s="69"/>
      <c r="CZ607" s="69"/>
      <c r="DA607" s="69"/>
      <c r="DB607" s="69"/>
      <c r="DC607" s="69"/>
      <c r="DD607" s="69"/>
      <c r="DE607" s="69"/>
      <c r="DF607" s="69"/>
      <c r="DG607" s="69"/>
      <c r="DH607" s="69"/>
      <c r="DI607" s="69"/>
      <c r="DJ607" s="69"/>
      <c r="DK607" s="69"/>
      <c r="DL607" s="69"/>
      <c r="DM607" s="69"/>
      <c r="DN607" s="69"/>
      <c r="DO607" s="69"/>
      <c r="DP607" s="69"/>
    </row>
    <row r="608" spans="1:120" x14ac:dyDescent="0.2">
      <c r="A608" s="66"/>
      <c r="B608" s="31"/>
      <c r="C608" s="31"/>
      <c r="D608" s="31"/>
      <c r="E608" s="31"/>
      <c r="F608" s="31"/>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c r="BT608" s="69"/>
      <c r="BU608" s="69"/>
      <c r="BV608" s="69"/>
      <c r="BW608" s="69"/>
      <c r="BX608" s="69"/>
      <c r="BY608" s="69"/>
      <c r="BZ608" s="69"/>
      <c r="CA608" s="69"/>
      <c r="CB608" s="69"/>
      <c r="CC608" s="69"/>
      <c r="CD608" s="69"/>
      <c r="CE608" s="69"/>
      <c r="CF608" s="69"/>
      <c r="CG608" s="69"/>
      <c r="CH608" s="69"/>
      <c r="CI608" s="69"/>
      <c r="CJ608" s="69"/>
      <c r="CK608" s="69"/>
      <c r="CL608" s="69"/>
      <c r="CM608" s="69"/>
      <c r="CN608" s="69"/>
      <c r="CO608" s="69"/>
      <c r="CP608" s="69"/>
      <c r="CQ608" s="69"/>
      <c r="CR608" s="69"/>
      <c r="CS608" s="69"/>
      <c r="CT608" s="69"/>
      <c r="CU608" s="69"/>
      <c r="CV608" s="69"/>
      <c r="CW608" s="69"/>
      <c r="CX608" s="69"/>
      <c r="CY608" s="69"/>
      <c r="CZ608" s="69"/>
      <c r="DA608" s="69"/>
      <c r="DB608" s="69"/>
      <c r="DC608" s="69"/>
      <c r="DD608" s="69"/>
      <c r="DE608" s="69"/>
      <c r="DF608" s="69"/>
      <c r="DG608" s="69"/>
      <c r="DH608" s="69"/>
      <c r="DI608" s="69"/>
      <c r="DJ608" s="69"/>
      <c r="DK608" s="69"/>
      <c r="DL608" s="69"/>
      <c r="DM608" s="69"/>
      <c r="DN608" s="69"/>
      <c r="DO608" s="69"/>
      <c r="DP608" s="69"/>
    </row>
    <row r="609" spans="1:120" x14ac:dyDescent="0.2">
      <c r="A609" s="66"/>
      <c r="B609" s="31"/>
      <c r="C609" s="31"/>
      <c r="D609" s="31"/>
      <c r="E609" s="31"/>
      <c r="F609" s="31"/>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c r="AW609" s="69"/>
      <c r="AX609" s="69"/>
      <c r="AY609" s="69"/>
      <c r="AZ609" s="69"/>
      <c r="BA609" s="69"/>
      <c r="BB609" s="69"/>
      <c r="BC609" s="69"/>
      <c r="BD609" s="69"/>
      <c r="BE609" s="69"/>
      <c r="BF609" s="69"/>
      <c r="BG609" s="69"/>
      <c r="BH609" s="69"/>
      <c r="BI609" s="69"/>
      <c r="BJ609" s="69"/>
      <c r="BK609" s="69"/>
      <c r="BL609" s="69"/>
      <c r="BM609" s="69"/>
      <c r="BN609" s="69"/>
      <c r="BO609" s="69"/>
      <c r="BP609" s="69"/>
      <c r="BQ609" s="69"/>
      <c r="BR609" s="69"/>
      <c r="BS609" s="69"/>
      <c r="BT609" s="69"/>
      <c r="BU609" s="69"/>
      <c r="BV609" s="69"/>
      <c r="BW609" s="69"/>
      <c r="BX609" s="69"/>
      <c r="BY609" s="69"/>
      <c r="BZ609" s="69"/>
      <c r="CA609" s="69"/>
      <c r="CB609" s="69"/>
      <c r="CC609" s="69"/>
      <c r="CD609" s="69"/>
      <c r="CE609" s="69"/>
      <c r="CF609" s="69"/>
      <c r="CG609" s="69"/>
      <c r="CH609" s="69"/>
      <c r="CI609" s="69"/>
      <c r="CJ609" s="69"/>
      <c r="CK609" s="69"/>
      <c r="CL609" s="69"/>
      <c r="CM609" s="69"/>
      <c r="CN609" s="69"/>
      <c r="CO609" s="69"/>
      <c r="CP609" s="69"/>
      <c r="CQ609" s="69"/>
      <c r="CR609" s="69"/>
      <c r="CS609" s="69"/>
      <c r="CT609" s="69"/>
      <c r="CU609" s="69"/>
      <c r="CV609" s="69"/>
      <c r="CW609" s="69"/>
      <c r="CX609" s="69"/>
      <c r="CY609" s="69"/>
      <c r="CZ609" s="69"/>
      <c r="DA609" s="69"/>
      <c r="DB609" s="69"/>
      <c r="DC609" s="69"/>
      <c r="DD609" s="69"/>
      <c r="DE609" s="69"/>
      <c r="DF609" s="69"/>
      <c r="DG609" s="69"/>
      <c r="DH609" s="69"/>
      <c r="DI609" s="69"/>
      <c r="DJ609" s="69"/>
      <c r="DK609" s="69"/>
      <c r="DL609" s="69"/>
      <c r="DM609" s="69"/>
      <c r="DN609" s="69"/>
      <c r="DO609" s="69"/>
      <c r="DP609" s="69"/>
    </row>
    <row r="610" spans="1:120" x14ac:dyDescent="0.2">
      <c r="A610" s="66"/>
      <c r="B610" s="31"/>
      <c r="C610" s="31"/>
      <c r="D610" s="31"/>
      <c r="E610" s="31"/>
      <c r="F610" s="31"/>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c r="AW610" s="69"/>
      <c r="AX610" s="69"/>
      <c r="AY610" s="69"/>
      <c r="AZ610" s="69"/>
      <c r="BA610" s="69"/>
      <c r="BB610" s="69"/>
      <c r="BC610" s="69"/>
      <c r="BD610" s="69"/>
      <c r="BE610" s="69"/>
      <c r="BF610" s="69"/>
      <c r="BG610" s="69"/>
      <c r="BH610" s="69"/>
      <c r="BI610" s="69"/>
      <c r="BJ610" s="69"/>
      <c r="BK610" s="69"/>
      <c r="BL610" s="69"/>
      <c r="BM610" s="69"/>
      <c r="BN610" s="69"/>
      <c r="BO610" s="69"/>
      <c r="BP610" s="69"/>
      <c r="BQ610" s="69"/>
      <c r="BR610" s="69"/>
      <c r="BS610" s="69"/>
      <c r="BT610" s="69"/>
      <c r="BU610" s="69"/>
      <c r="BV610" s="69"/>
      <c r="BW610" s="69"/>
      <c r="BX610" s="69"/>
      <c r="BY610" s="69"/>
      <c r="BZ610" s="69"/>
      <c r="CA610" s="69"/>
      <c r="CB610" s="69"/>
      <c r="CC610" s="69"/>
      <c r="CD610" s="69"/>
      <c r="CE610" s="69"/>
      <c r="CF610" s="69"/>
      <c r="CG610" s="69"/>
      <c r="CH610" s="69"/>
      <c r="CI610" s="69"/>
      <c r="CJ610" s="69"/>
      <c r="CK610" s="69"/>
      <c r="CL610" s="69"/>
      <c r="CM610" s="69"/>
      <c r="CN610" s="69"/>
      <c r="CO610" s="69"/>
      <c r="CP610" s="69"/>
      <c r="CQ610" s="69"/>
      <c r="CR610" s="69"/>
      <c r="CS610" s="69"/>
      <c r="CT610" s="69"/>
      <c r="CU610" s="69"/>
      <c r="CV610" s="69"/>
      <c r="CW610" s="69"/>
      <c r="CX610" s="69"/>
      <c r="CY610" s="69"/>
      <c r="CZ610" s="69"/>
      <c r="DA610" s="69"/>
      <c r="DB610" s="69"/>
      <c r="DC610" s="69"/>
      <c r="DD610" s="69"/>
      <c r="DE610" s="69"/>
      <c r="DF610" s="69"/>
      <c r="DG610" s="69"/>
      <c r="DH610" s="69"/>
      <c r="DI610" s="69"/>
      <c r="DJ610" s="69"/>
      <c r="DK610" s="69"/>
      <c r="DL610" s="69"/>
      <c r="DM610" s="69"/>
      <c r="DN610" s="69"/>
      <c r="DO610" s="69"/>
      <c r="DP610" s="69"/>
    </row>
    <row r="611" spans="1:120" x14ac:dyDescent="0.2">
      <c r="A611" s="66"/>
      <c r="B611" s="31"/>
      <c r="C611" s="31"/>
      <c r="D611" s="31"/>
      <c r="E611" s="31"/>
      <c r="F611" s="31"/>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c r="BT611" s="69"/>
      <c r="BU611" s="69"/>
      <c r="BV611" s="69"/>
      <c r="BW611" s="69"/>
      <c r="BX611" s="69"/>
      <c r="BY611" s="69"/>
      <c r="BZ611" s="69"/>
      <c r="CA611" s="69"/>
      <c r="CB611" s="69"/>
      <c r="CC611" s="69"/>
      <c r="CD611" s="69"/>
      <c r="CE611" s="69"/>
      <c r="CF611" s="69"/>
      <c r="CG611" s="69"/>
      <c r="CH611" s="69"/>
      <c r="CI611" s="69"/>
      <c r="CJ611" s="69"/>
      <c r="CK611" s="69"/>
      <c r="CL611" s="69"/>
      <c r="CM611" s="69"/>
      <c r="CN611" s="69"/>
      <c r="CO611" s="69"/>
      <c r="CP611" s="69"/>
      <c r="CQ611" s="69"/>
      <c r="CR611" s="69"/>
      <c r="CS611" s="69"/>
      <c r="CT611" s="69"/>
      <c r="CU611" s="69"/>
      <c r="CV611" s="69"/>
      <c r="CW611" s="69"/>
      <c r="CX611" s="69"/>
      <c r="CY611" s="69"/>
      <c r="CZ611" s="69"/>
      <c r="DA611" s="69"/>
      <c r="DB611" s="69"/>
      <c r="DC611" s="69"/>
      <c r="DD611" s="69"/>
      <c r="DE611" s="69"/>
      <c r="DF611" s="69"/>
      <c r="DG611" s="69"/>
      <c r="DH611" s="69"/>
      <c r="DI611" s="69"/>
      <c r="DJ611" s="69"/>
      <c r="DK611" s="69"/>
      <c r="DL611" s="69"/>
      <c r="DM611" s="69"/>
      <c r="DN611" s="69"/>
      <c r="DO611" s="69"/>
      <c r="DP611" s="69"/>
    </row>
    <row r="612" spans="1:120" x14ac:dyDescent="0.2">
      <c r="A612" s="66"/>
      <c r="B612" s="31"/>
      <c r="C612" s="31"/>
      <c r="D612" s="31"/>
      <c r="E612" s="31"/>
      <c r="F612" s="31"/>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c r="BT612" s="69"/>
      <c r="BU612" s="69"/>
      <c r="BV612" s="69"/>
      <c r="BW612" s="69"/>
      <c r="BX612" s="69"/>
      <c r="BY612" s="69"/>
      <c r="BZ612" s="69"/>
      <c r="CA612" s="69"/>
      <c r="CB612" s="69"/>
      <c r="CC612" s="69"/>
      <c r="CD612" s="69"/>
      <c r="CE612" s="69"/>
      <c r="CF612" s="69"/>
      <c r="CG612" s="69"/>
      <c r="CH612" s="69"/>
      <c r="CI612" s="69"/>
      <c r="CJ612" s="69"/>
      <c r="CK612" s="69"/>
      <c r="CL612" s="69"/>
      <c r="CM612" s="69"/>
      <c r="CN612" s="69"/>
      <c r="CO612" s="69"/>
      <c r="CP612" s="69"/>
      <c r="CQ612" s="69"/>
      <c r="CR612" s="69"/>
      <c r="CS612" s="69"/>
      <c r="CT612" s="69"/>
      <c r="CU612" s="69"/>
      <c r="CV612" s="69"/>
      <c r="CW612" s="69"/>
      <c r="CX612" s="69"/>
      <c r="CY612" s="69"/>
      <c r="CZ612" s="69"/>
      <c r="DA612" s="69"/>
      <c r="DB612" s="69"/>
      <c r="DC612" s="69"/>
      <c r="DD612" s="69"/>
      <c r="DE612" s="69"/>
      <c r="DF612" s="69"/>
      <c r="DG612" s="69"/>
      <c r="DH612" s="69"/>
      <c r="DI612" s="69"/>
      <c r="DJ612" s="69"/>
      <c r="DK612" s="69"/>
      <c r="DL612" s="69"/>
      <c r="DM612" s="69"/>
      <c r="DN612" s="69"/>
      <c r="DO612" s="69"/>
      <c r="DP612" s="69"/>
    </row>
    <row r="613" spans="1:120" x14ac:dyDescent="0.2">
      <c r="A613" s="66"/>
      <c r="B613" s="31"/>
      <c r="C613" s="31"/>
      <c r="D613" s="31"/>
      <c r="E613" s="31"/>
      <c r="F613" s="31"/>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c r="AW613" s="69"/>
      <c r="AX613" s="69"/>
      <c r="AY613" s="69"/>
      <c r="AZ613" s="69"/>
      <c r="BA613" s="69"/>
      <c r="BB613" s="69"/>
      <c r="BC613" s="69"/>
      <c r="BD613" s="69"/>
      <c r="BE613" s="69"/>
      <c r="BF613" s="69"/>
      <c r="BG613" s="69"/>
      <c r="BH613" s="69"/>
      <c r="BI613" s="69"/>
      <c r="BJ613" s="69"/>
      <c r="BK613" s="69"/>
      <c r="BL613" s="69"/>
      <c r="BM613" s="69"/>
      <c r="BN613" s="69"/>
      <c r="BO613" s="69"/>
      <c r="BP613" s="69"/>
      <c r="BQ613" s="69"/>
      <c r="BR613" s="69"/>
      <c r="BS613" s="69"/>
      <c r="BT613" s="69"/>
      <c r="BU613" s="69"/>
      <c r="BV613" s="69"/>
      <c r="BW613" s="69"/>
      <c r="BX613" s="69"/>
      <c r="BY613" s="69"/>
      <c r="BZ613" s="69"/>
      <c r="CA613" s="69"/>
      <c r="CB613" s="69"/>
      <c r="CC613" s="69"/>
      <c r="CD613" s="69"/>
      <c r="CE613" s="69"/>
      <c r="CF613" s="69"/>
      <c r="CG613" s="69"/>
      <c r="CH613" s="69"/>
      <c r="CI613" s="69"/>
      <c r="CJ613" s="69"/>
      <c r="CK613" s="69"/>
      <c r="CL613" s="69"/>
      <c r="CM613" s="69"/>
      <c r="CN613" s="69"/>
      <c r="CO613" s="69"/>
      <c r="CP613" s="69"/>
      <c r="CQ613" s="69"/>
      <c r="CR613" s="69"/>
      <c r="CS613" s="69"/>
      <c r="CT613" s="69"/>
      <c r="CU613" s="69"/>
      <c r="CV613" s="69"/>
      <c r="CW613" s="69"/>
      <c r="CX613" s="69"/>
      <c r="CY613" s="69"/>
      <c r="CZ613" s="69"/>
      <c r="DA613" s="69"/>
      <c r="DB613" s="69"/>
      <c r="DC613" s="69"/>
      <c r="DD613" s="69"/>
      <c r="DE613" s="69"/>
      <c r="DF613" s="69"/>
      <c r="DG613" s="69"/>
      <c r="DH613" s="69"/>
      <c r="DI613" s="69"/>
      <c r="DJ613" s="69"/>
      <c r="DK613" s="69"/>
      <c r="DL613" s="69"/>
      <c r="DM613" s="69"/>
      <c r="DN613" s="69"/>
      <c r="DO613" s="69"/>
      <c r="DP613" s="69"/>
    </row>
    <row r="614" spans="1:120" x14ac:dyDescent="0.2">
      <c r="A614" s="66"/>
      <c r="B614" s="31"/>
      <c r="C614" s="31"/>
      <c r="D614" s="31"/>
      <c r="E614" s="31"/>
      <c r="F614" s="31"/>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c r="AW614" s="69"/>
      <c r="AX614" s="69"/>
      <c r="AY614" s="69"/>
      <c r="AZ614" s="69"/>
      <c r="BA614" s="69"/>
      <c r="BB614" s="69"/>
      <c r="BC614" s="69"/>
      <c r="BD614" s="69"/>
      <c r="BE614" s="69"/>
      <c r="BF614" s="69"/>
      <c r="BG614" s="69"/>
      <c r="BH614" s="69"/>
      <c r="BI614" s="69"/>
      <c r="BJ614" s="69"/>
      <c r="BK614" s="69"/>
      <c r="BL614" s="69"/>
      <c r="BM614" s="69"/>
      <c r="BN614" s="69"/>
      <c r="BO614" s="69"/>
      <c r="BP614" s="69"/>
      <c r="BQ614" s="69"/>
      <c r="BR614" s="69"/>
      <c r="BS614" s="69"/>
      <c r="BT614" s="69"/>
      <c r="BU614" s="69"/>
      <c r="BV614" s="69"/>
      <c r="BW614" s="69"/>
      <c r="BX614" s="69"/>
      <c r="BY614" s="69"/>
      <c r="BZ614" s="69"/>
      <c r="CA614" s="69"/>
      <c r="CB614" s="69"/>
      <c r="CC614" s="69"/>
      <c r="CD614" s="69"/>
      <c r="CE614" s="69"/>
      <c r="CF614" s="69"/>
      <c r="CG614" s="69"/>
      <c r="CH614" s="69"/>
      <c r="CI614" s="69"/>
      <c r="CJ614" s="69"/>
      <c r="CK614" s="69"/>
      <c r="CL614" s="69"/>
      <c r="CM614" s="69"/>
      <c r="CN614" s="69"/>
      <c r="CO614" s="69"/>
      <c r="CP614" s="69"/>
      <c r="CQ614" s="69"/>
      <c r="CR614" s="69"/>
      <c r="CS614" s="69"/>
      <c r="CT614" s="69"/>
      <c r="CU614" s="69"/>
      <c r="CV614" s="69"/>
      <c r="CW614" s="69"/>
      <c r="CX614" s="69"/>
      <c r="CY614" s="69"/>
      <c r="CZ614" s="69"/>
      <c r="DA614" s="69"/>
      <c r="DB614" s="69"/>
      <c r="DC614" s="69"/>
      <c r="DD614" s="69"/>
      <c r="DE614" s="69"/>
      <c r="DF614" s="69"/>
      <c r="DG614" s="69"/>
      <c r="DH614" s="69"/>
      <c r="DI614" s="69"/>
      <c r="DJ614" s="69"/>
      <c r="DK614" s="69"/>
      <c r="DL614" s="69"/>
      <c r="DM614" s="69"/>
      <c r="DN614" s="69"/>
      <c r="DO614" s="69"/>
      <c r="DP614" s="69"/>
    </row>
    <row r="615" spans="1:120" x14ac:dyDescent="0.2">
      <c r="A615" s="66"/>
      <c r="B615" s="31"/>
      <c r="C615" s="31"/>
      <c r="D615" s="31"/>
      <c r="E615" s="31"/>
      <c r="F615" s="31"/>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c r="BT615" s="69"/>
      <c r="BU615" s="69"/>
      <c r="BV615" s="69"/>
      <c r="BW615" s="69"/>
      <c r="BX615" s="69"/>
      <c r="BY615" s="69"/>
      <c r="BZ615" s="69"/>
      <c r="CA615" s="69"/>
      <c r="CB615" s="69"/>
      <c r="CC615" s="69"/>
      <c r="CD615" s="69"/>
      <c r="CE615" s="69"/>
      <c r="CF615" s="69"/>
      <c r="CG615" s="69"/>
      <c r="CH615" s="69"/>
      <c r="CI615" s="69"/>
      <c r="CJ615" s="69"/>
      <c r="CK615" s="69"/>
      <c r="CL615" s="69"/>
      <c r="CM615" s="69"/>
      <c r="CN615" s="69"/>
      <c r="CO615" s="69"/>
      <c r="CP615" s="69"/>
      <c r="CQ615" s="69"/>
      <c r="CR615" s="69"/>
      <c r="CS615" s="69"/>
      <c r="CT615" s="69"/>
      <c r="CU615" s="69"/>
      <c r="CV615" s="69"/>
      <c r="CW615" s="69"/>
      <c r="CX615" s="69"/>
      <c r="CY615" s="69"/>
      <c r="CZ615" s="69"/>
      <c r="DA615" s="69"/>
      <c r="DB615" s="69"/>
      <c r="DC615" s="69"/>
      <c r="DD615" s="69"/>
      <c r="DE615" s="69"/>
      <c r="DF615" s="69"/>
      <c r="DG615" s="69"/>
      <c r="DH615" s="69"/>
      <c r="DI615" s="69"/>
      <c r="DJ615" s="69"/>
      <c r="DK615" s="69"/>
      <c r="DL615" s="69"/>
      <c r="DM615" s="69"/>
      <c r="DN615" s="69"/>
      <c r="DO615" s="69"/>
      <c r="DP615" s="69"/>
    </row>
    <row r="616" spans="1:120" x14ac:dyDescent="0.2">
      <c r="A616" s="66"/>
      <c r="B616" s="31"/>
      <c r="C616" s="31"/>
      <c r="D616" s="31"/>
      <c r="E616" s="31"/>
      <c r="F616" s="31"/>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c r="BT616" s="69"/>
      <c r="BU616" s="69"/>
      <c r="BV616" s="69"/>
      <c r="BW616" s="69"/>
      <c r="BX616" s="69"/>
      <c r="BY616" s="69"/>
      <c r="BZ616" s="69"/>
      <c r="CA616" s="69"/>
      <c r="CB616" s="69"/>
      <c r="CC616" s="69"/>
      <c r="CD616" s="69"/>
      <c r="CE616" s="69"/>
      <c r="CF616" s="69"/>
      <c r="CG616" s="69"/>
      <c r="CH616" s="69"/>
      <c r="CI616" s="69"/>
      <c r="CJ616" s="69"/>
      <c r="CK616" s="69"/>
      <c r="CL616" s="69"/>
      <c r="CM616" s="69"/>
      <c r="CN616" s="69"/>
      <c r="CO616" s="69"/>
      <c r="CP616" s="69"/>
      <c r="CQ616" s="69"/>
      <c r="CR616" s="69"/>
      <c r="CS616" s="69"/>
      <c r="CT616" s="69"/>
      <c r="CU616" s="69"/>
      <c r="CV616" s="69"/>
      <c r="CW616" s="69"/>
      <c r="CX616" s="69"/>
      <c r="CY616" s="69"/>
      <c r="CZ616" s="69"/>
      <c r="DA616" s="69"/>
      <c r="DB616" s="69"/>
      <c r="DC616" s="69"/>
      <c r="DD616" s="69"/>
      <c r="DE616" s="69"/>
      <c r="DF616" s="69"/>
      <c r="DG616" s="69"/>
      <c r="DH616" s="69"/>
      <c r="DI616" s="69"/>
      <c r="DJ616" s="69"/>
      <c r="DK616" s="69"/>
      <c r="DL616" s="69"/>
      <c r="DM616" s="69"/>
      <c r="DN616" s="69"/>
      <c r="DO616" s="69"/>
      <c r="DP616" s="69"/>
    </row>
    <row r="617" spans="1:120" x14ac:dyDescent="0.2">
      <c r="A617" s="66"/>
      <c r="B617" s="31"/>
      <c r="C617" s="31"/>
      <c r="D617" s="31"/>
      <c r="E617" s="31"/>
      <c r="F617" s="31"/>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c r="AW617" s="69"/>
      <c r="AX617" s="69"/>
      <c r="AY617" s="69"/>
      <c r="AZ617" s="69"/>
      <c r="BA617" s="69"/>
      <c r="BB617" s="69"/>
      <c r="BC617" s="69"/>
      <c r="BD617" s="69"/>
      <c r="BE617" s="69"/>
      <c r="BF617" s="69"/>
      <c r="BG617" s="69"/>
      <c r="BH617" s="69"/>
      <c r="BI617" s="69"/>
      <c r="BJ617" s="69"/>
      <c r="BK617" s="69"/>
      <c r="BL617" s="69"/>
      <c r="BM617" s="69"/>
      <c r="BN617" s="69"/>
      <c r="BO617" s="69"/>
      <c r="BP617" s="69"/>
      <c r="BQ617" s="69"/>
      <c r="BR617" s="69"/>
      <c r="BS617" s="69"/>
      <c r="BT617" s="69"/>
      <c r="BU617" s="69"/>
      <c r="BV617" s="69"/>
      <c r="BW617" s="69"/>
      <c r="BX617" s="69"/>
      <c r="BY617" s="69"/>
      <c r="BZ617" s="69"/>
      <c r="CA617" s="69"/>
      <c r="CB617" s="69"/>
      <c r="CC617" s="69"/>
      <c r="CD617" s="69"/>
      <c r="CE617" s="69"/>
      <c r="CF617" s="69"/>
      <c r="CG617" s="69"/>
      <c r="CH617" s="69"/>
      <c r="CI617" s="69"/>
      <c r="CJ617" s="69"/>
      <c r="CK617" s="69"/>
      <c r="CL617" s="69"/>
      <c r="CM617" s="69"/>
      <c r="CN617" s="69"/>
      <c r="CO617" s="69"/>
      <c r="CP617" s="69"/>
      <c r="CQ617" s="69"/>
      <c r="CR617" s="69"/>
      <c r="CS617" s="69"/>
      <c r="CT617" s="69"/>
      <c r="CU617" s="69"/>
      <c r="CV617" s="69"/>
      <c r="CW617" s="69"/>
      <c r="CX617" s="69"/>
      <c r="CY617" s="69"/>
      <c r="CZ617" s="69"/>
      <c r="DA617" s="69"/>
      <c r="DB617" s="69"/>
      <c r="DC617" s="69"/>
      <c r="DD617" s="69"/>
      <c r="DE617" s="69"/>
      <c r="DF617" s="69"/>
      <c r="DG617" s="69"/>
      <c r="DH617" s="69"/>
      <c r="DI617" s="69"/>
      <c r="DJ617" s="69"/>
      <c r="DK617" s="69"/>
      <c r="DL617" s="69"/>
      <c r="DM617" s="69"/>
      <c r="DN617" s="69"/>
      <c r="DO617" s="69"/>
      <c r="DP617" s="69"/>
    </row>
    <row r="618" spans="1:120" x14ac:dyDescent="0.2">
      <c r="A618" s="66"/>
      <c r="B618" s="31"/>
      <c r="C618" s="31"/>
      <c r="D618" s="31"/>
      <c r="E618" s="31"/>
      <c r="F618" s="31"/>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c r="AW618" s="69"/>
      <c r="AX618" s="69"/>
      <c r="AY618" s="69"/>
      <c r="AZ618" s="69"/>
      <c r="BA618" s="69"/>
      <c r="BB618" s="69"/>
      <c r="BC618" s="69"/>
      <c r="BD618" s="69"/>
      <c r="BE618" s="69"/>
      <c r="BF618" s="69"/>
      <c r="BG618" s="69"/>
      <c r="BH618" s="69"/>
      <c r="BI618" s="69"/>
      <c r="BJ618" s="69"/>
      <c r="BK618" s="69"/>
      <c r="BL618" s="69"/>
      <c r="BM618" s="69"/>
      <c r="BN618" s="69"/>
      <c r="BO618" s="69"/>
      <c r="BP618" s="69"/>
      <c r="BQ618" s="69"/>
      <c r="BR618" s="69"/>
      <c r="BS618" s="69"/>
      <c r="BT618" s="69"/>
      <c r="BU618" s="69"/>
      <c r="BV618" s="69"/>
      <c r="BW618" s="69"/>
      <c r="BX618" s="69"/>
      <c r="BY618" s="69"/>
      <c r="BZ618" s="69"/>
      <c r="CA618" s="69"/>
      <c r="CB618" s="69"/>
      <c r="CC618" s="69"/>
      <c r="CD618" s="69"/>
      <c r="CE618" s="69"/>
      <c r="CF618" s="69"/>
      <c r="CG618" s="69"/>
      <c r="CH618" s="69"/>
      <c r="CI618" s="69"/>
      <c r="CJ618" s="69"/>
      <c r="CK618" s="69"/>
      <c r="CL618" s="69"/>
      <c r="CM618" s="69"/>
      <c r="CN618" s="69"/>
      <c r="CO618" s="69"/>
      <c r="CP618" s="69"/>
      <c r="CQ618" s="69"/>
      <c r="CR618" s="69"/>
      <c r="CS618" s="69"/>
      <c r="CT618" s="69"/>
      <c r="CU618" s="69"/>
      <c r="CV618" s="69"/>
      <c r="CW618" s="69"/>
      <c r="CX618" s="69"/>
      <c r="CY618" s="69"/>
      <c r="CZ618" s="69"/>
      <c r="DA618" s="69"/>
      <c r="DB618" s="69"/>
      <c r="DC618" s="69"/>
      <c r="DD618" s="69"/>
      <c r="DE618" s="69"/>
      <c r="DF618" s="69"/>
      <c r="DG618" s="69"/>
      <c r="DH618" s="69"/>
      <c r="DI618" s="69"/>
      <c r="DJ618" s="69"/>
      <c r="DK618" s="69"/>
      <c r="DL618" s="69"/>
      <c r="DM618" s="69"/>
      <c r="DN618" s="69"/>
      <c r="DO618" s="69"/>
      <c r="DP618" s="69"/>
    </row>
    <row r="619" spans="1:120" x14ac:dyDescent="0.2">
      <c r="A619" s="66"/>
      <c r="B619" s="31"/>
      <c r="C619" s="31"/>
      <c r="D619" s="31"/>
      <c r="E619" s="31"/>
      <c r="F619" s="31"/>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c r="BT619" s="69"/>
      <c r="BU619" s="69"/>
      <c r="BV619" s="69"/>
      <c r="BW619" s="69"/>
      <c r="BX619" s="69"/>
      <c r="BY619" s="69"/>
      <c r="BZ619" s="69"/>
      <c r="CA619" s="69"/>
      <c r="CB619" s="69"/>
      <c r="CC619" s="69"/>
      <c r="CD619" s="69"/>
      <c r="CE619" s="69"/>
      <c r="CF619" s="69"/>
      <c r="CG619" s="69"/>
      <c r="CH619" s="69"/>
      <c r="CI619" s="69"/>
      <c r="CJ619" s="69"/>
      <c r="CK619" s="69"/>
      <c r="CL619" s="69"/>
      <c r="CM619" s="69"/>
      <c r="CN619" s="69"/>
      <c r="CO619" s="69"/>
      <c r="CP619" s="69"/>
      <c r="CQ619" s="69"/>
      <c r="CR619" s="69"/>
      <c r="CS619" s="69"/>
      <c r="CT619" s="69"/>
      <c r="CU619" s="69"/>
      <c r="CV619" s="69"/>
      <c r="CW619" s="69"/>
      <c r="CX619" s="69"/>
      <c r="CY619" s="69"/>
      <c r="CZ619" s="69"/>
      <c r="DA619" s="69"/>
      <c r="DB619" s="69"/>
      <c r="DC619" s="69"/>
      <c r="DD619" s="69"/>
      <c r="DE619" s="69"/>
      <c r="DF619" s="69"/>
      <c r="DG619" s="69"/>
      <c r="DH619" s="69"/>
      <c r="DI619" s="69"/>
      <c r="DJ619" s="69"/>
      <c r="DK619" s="69"/>
      <c r="DL619" s="69"/>
      <c r="DM619" s="69"/>
      <c r="DN619" s="69"/>
      <c r="DO619" s="69"/>
      <c r="DP619" s="69"/>
    </row>
    <row r="620" spans="1:120" x14ac:dyDescent="0.2">
      <c r="A620" s="66"/>
      <c r="B620" s="31"/>
      <c r="C620" s="31"/>
      <c r="D620" s="31"/>
      <c r="E620" s="31"/>
      <c r="F620" s="31"/>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c r="BT620" s="69"/>
      <c r="BU620" s="69"/>
      <c r="BV620" s="69"/>
      <c r="BW620" s="69"/>
      <c r="BX620" s="69"/>
      <c r="BY620" s="69"/>
      <c r="BZ620" s="69"/>
      <c r="CA620" s="69"/>
      <c r="CB620" s="69"/>
      <c r="CC620" s="69"/>
      <c r="CD620" s="69"/>
      <c r="CE620" s="69"/>
      <c r="CF620" s="69"/>
      <c r="CG620" s="69"/>
      <c r="CH620" s="69"/>
      <c r="CI620" s="69"/>
      <c r="CJ620" s="69"/>
      <c r="CK620" s="69"/>
      <c r="CL620" s="69"/>
      <c r="CM620" s="69"/>
      <c r="CN620" s="69"/>
      <c r="CO620" s="69"/>
      <c r="CP620" s="69"/>
      <c r="CQ620" s="69"/>
      <c r="CR620" s="69"/>
      <c r="CS620" s="69"/>
      <c r="CT620" s="69"/>
      <c r="CU620" s="69"/>
      <c r="CV620" s="69"/>
      <c r="CW620" s="69"/>
      <c r="CX620" s="69"/>
      <c r="CY620" s="69"/>
      <c r="CZ620" s="69"/>
      <c r="DA620" s="69"/>
      <c r="DB620" s="69"/>
      <c r="DC620" s="69"/>
      <c r="DD620" s="69"/>
      <c r="DE620" s="69"/>
      <c r="DF620" s="69"/>
      <c r="DG620" s="69"/>
      <c r="DH620" s="69"/>
      <c r="DI620" s="69"/>
      <c r="DJ620" s="69"/>
      <c r="DK620" s="69"/>
      <c r="DL620" s="69"/>
      <c r="DM620" s="69"/>
      <c r="DN620" s="69"/>
      <c r="DO620" s="69"/>
      <c r="DP620" s="69"/>
    </row>
    <row r="621" spans="1:120" x14ac:dyDescent="0.2">
      <c r="A621" s="66"/>
      <c r="B621" s="31"/>
      <c r="C621" s="31"/>
      <c r="D621" s="31"/>
      <c r="E621" s="31"/>
      <c r="F621" s="31"/>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c r="AW621" s="69"/>
      <c r="AX621" s="69"/>
      <c r="AY621" s="69"/>
      <c r="AZ621" s="69"/>
      <c r="BA621" s="69"/>
      <c r="BB621" s="69"/>
      <c r="BC621" s="69"/>
      <c r="BD621" s="69"/>
      <c r="BE621" s="69"/>
      <c r="BF621" s="69"/>
      <c r="BG621" s="69"/>
      <c r="BH621" s="69"/>
      <c r="BI621" s="69"/>
      <c r="BJ621" s="69"/>
      <c r="BK621" s="69"/>
      <c r="BL621" s="69"/>
      <c r="BM621" s="69"/>
      <c r="BN621" s="69"/>
      <c r="BO621" s="69"/>
      <c r="BP621" s="69"/>
      <c r="BQ621" s="69"/>
      <c r="BR621" s="69"/>
      <c r="BS621" s="69"/>
      <c r="BT621" s="69"/>
      <c r="BU621" s="69"/>
      <c r="BV621" s="69"/>
      <c r="BW621" s="69"/>
      <c r="BX621" s="69"/>
      <c r="BY621" s="69"/>
      <c r="BZ621" s="69"/>
      <c r="CA621" s="69"/>
      <c r="CB621" s="69"/>
      <c r="CC621" s="69"/>
      <c r="CD621" s="69"/>
      <c r="CE621" s="69"/>
      <c r="CF621" s="69"/>
      <c r="CG621" s="69"/>
      <c r="CH621" s="69"/>
      <c r="CI621" s="69"/>
      <c r="CJ621" s="69"/>
      <c r="CK621" s="69"/>
      <c r="CL621" s="69"/>
      <c r="CM621" s="69"/>
      <c r="CN621" s="69"/>
      <c r="CO621" s="69"/>
      <c r="CP621" s="69"/>
      <c r="CQ621" s="69"/>
      <c r="CR621" s="69"/>
      <c r="CS621" s="69"/>
      <c r="CT621" s="69"/>
      <c r="CU621" s="69"/>
      <c r="CV621" s="69"/>
      <c r="CW621" s="69"/>
      <c r="CX621" s="69"/>
      <c r="CY621" s="69"/>
      <c r="CZ621" s="69"/>
      <c r="DA621" s="69"/>
      <c r="DB621" s="69"/>
      <c r="DC621" s="69"/>
      <c r="DD621" s="69"/>
      <c r="DE621" s="69"/>
      <c r="DF621" s="69"/>
      <c r="DG621" s="69"/>
      <c r="DH621" s="69"/>
      <c r="DI621" s="69"/>
      <c r="DJ621" s="69"/>
      <c r="DK621" s="69"/>
      <c r="DL621" s="69"/>
      <c r="DM621" s="69"/>
      <c r="DN621" s="69"/>
      <c r="DO621" s="69"/>
      <c r="DP621" s="69"/>
    </row>
    <row r="622" spans="1:120" x14ac:dyDescent="0.2">
      <c r="A622" s="66"/>
      <c r="B622" s="31"/>
      <c r="C622" s="31"/>
      <c r="D622" s="31"/>
      <c r="E622" s="31"/>
      <c r="F622" s="31"/>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c r="AW622" s="69"/>
      <c r="AX622" s="69"/>
      <c r="AY622" s="69"/>
      <c r="AZ622" s="69"/>
      <c r="BA622" s="69"/>
      <c r="BB622" s="69"/>
      <c r="BC622" s="69"/>
      <c r="BD622" s="69"/>
      <c r="BE622" s="69"/>
      <c r="BF622" s="69"/>
      <c r="BG622" s="69"/>
      <c r="BH622" s="69"/>
      <c r="BI622" s="69"/>
      <c r="BJ622" s="69"/>
      <c r="BK622" s="69"/>
      <c r="BL622" s="69"/>
      <c r="BM622" s="69"/>
      <c r="BN622" s="69"/>
      <c r="BO622" s="69"/>
      <c r="BP622" s="69"/>
      <c r="BQ622" s="69"/>
      <c r="BR622" s="69"/>
      <c r="BS622" s="69"/>
      <c r="BT622" s="69"/>
      <c r="BU622" s="69"/>
      <c r="BV622" s="69"/>
      <c r="BW622" s="69"/>
      <c r="BX622" s="69"/>
      <c r="BY622" s="69"/>
      <c r="BZ622" s="69"/>
      <c r="CA622" s="69"/>
      <c r="CB622" s="69"/>
      <c r="CC622" s="69"/>
      <c r="CD622" s="69"/>
      <c r="CE622" s="69"/>
      <c r="CF622" s="69"/>
      <c r="CG622" s="69"/>
      <c r="CH622" s="69"/>
      <c r="CI622" s="69"/>
      <c r="CJ622" s="69"/>
      <c r="CK622" s="69"/>
      <c r="CL622" s="69"/>
      <c r="CM622" s="69"/>
      <c r="CN622" s="69"/>
      <c r="CO622" s="69"/>
      <c r="CP622" s="69"/>
      <c r="CQ622" s="69"/>
      <c r="CR622" s="69"/>
      <c r="CS622" s="69"/>
      <c r="CT622" s="69"/>
      <c r="CU622" s="69"/>
      <c r="CV622" s="69"/>
      <c r="CW622" s="69"/>
      <c r="CX622" s="69"/>
      <c r="CY622" s="69"/>
      <c r="CZ622" s="69"/>
      <c r="DA622" s="69"/>
      <c r="DB622" s="69"/>
      <c r="DC622" s="69"/>
      <c r="DD622" s="69"/>
      <c r="DE622" s="69"/>
      <c r="DF622" s="69"/>
      <c r="DG622" s="69"/>
      <c r="DH622" s="69"/>
      <c r="DI622" s="69"/>
      <c r="DJ622" s="69"/>
      <c r="DK622" s="69"/>
      <c r="DL622" s="69"/>
      <c r="DM622" s="69"/>
      <c r="DN622" s="69"/>
      <c r="DO622" s="69"/>
      <c r="DP622" s="69"/>
    </row>
    <row r="623" spans="1:120" x14ac:dyDescent="0.2">
      <c r="A623" s="66"/>
      <c r="B623" s="31"/>
      <c r="C623" s="31"/>
      <c r="D623" s="31"/>
      <c r="E623" s="31"/>
      <c r="F623" s="31"/>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c r="BT623" s="69"/>
      <c r="BU623" s="69"/>
      <c r="BV623" s="69"/>
      <c r="BW623" s="69"/>
      <c r="BX623" s="69"/>
      <c r="BY623" s="69"/>
      <c r="BZ623" s="69"/>
      <c r="CA623" s="69"/>
      <c r="CB623" s="69"/>
      <c r="CC623" s="69"/>
      <c r="CD623" s="69"/>
      <c r="CE623" s="69"/>
      <c r="CF623" s="69"/>
      <c r="CG623" s="69"/>
      <c r="CH623" s="69"/>
      <c r="CI623" s="69"/>
      <c r="CJ623" s="69"/>
      <c r="CK623" s="69"/>
      <c r="CL623" s="69"/>
      <c r="CM623" s="69"/>
      <c r="CN623" s="69"/>
      <c r="CO623" s="69"/>
      <c r="CP623" s="69"/>
      <c r="CQ623" s="69"/>
      <c r="CR623" s="69"/>
      <c r="CS623" s="69"/>
      <c r="CT623" s="69"/>
      <c r="CU623" s="69"/>
      <c r="CV623" s="69"/>
      <c r="CW623" s="69"/>
      <c r="CX623" s="69"/>
      <c r="CY623" s="69"/>
      <c r="CZ623" s="69"/>
      <c r="DA623" s="69"/>
      <c r="DB623" s="69"/>
      <c r="DC623" s="69"/>
      <c r="DD623" s="69"/>
      <c r="DE623" s="69"/>
      <c r="DF623" s="69"/>
      <c r="DG623" s="69"/>
      <c r="DH623" s="69"/>
      <c r="DI623" s="69"/>
      <c r="DJ623" s="69"/>
      <c r="DK623" s="69"/>
      <c r="DL623" s="69"/>
      <c r="DM623" s="69"/>
      <c r="DN623" s="69"/>
      <c r="DO623" s="69"/>
      <c r="DP623" s="69"/>
    </row>
    <row r="624" spans="1:120" x14ac:dyDescent="0.2">
      <c r="A624" s="66"/>
      <c r="B624" s="31"/>
      <c r="C624" s="31"/>
      <c r="D624" s="31"/>
      <c r="E624" s="31"/>
      <c r="F624" s="31"/>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c r="BT624" s="69"/>
      <c r="BU624" s="69"/>
      <c r="BV624" s="69"/>
      <c r="BW624" s="69"/>
      <c r="BX624" s="69"/>
      <c r="BY624" s="69"/>
      <c r="BZ624" s="69"/>
      <c r="CA624" s="69"/>
      <c r="CB624" s="69"/>
      <c r="CC624" s="69"/>
      <c r="CD624" s="69"/>
      <c r="CE624" s="69"/>
      <c r="CF624" s="69"/>
      <c r="CG624" s="69"/>
      <c r="CH624" s="69"/>
      <c r="CI624" s="69"/>
      <c r="CJ624" s="69"/>
      <c r="CK624" s="69"/>
      <c r="CL624" s="69"/>
      <c r="CM624" s="69"/>
      <c r="CN624" s="69"/>
      <c r="CO624" s="69"/>
      <c r="CP624" s="69"/>
      <c r="CQ624" s="69"/>
      <c r="CR624" s="69"/>
      <c r="CS624" s="69"/>
      <c r="CT624" s="69"/>
      <c r="CU624" s="69"/>
      <c r="CV624" s="69"/>
      <c r="CW624" s="69"/>
      <c r="CX624" s="69"/>
      <c r="CY624" s="69"/>
      <c r="CZ624" s="69"/>
      <c r="DA624" s="69"/>
      <c r="DB624" s="69"/>
      <c r="DC624" s="69"/>
      <c r="DD624" s="69"/>
      <c r="DE624" s="69"/>
      <c r="DF624" s="69"/>
      <c r="DG624" s="69"/>
      <c r="DH624" s="69"/>
      <c r="DI624" s="69"/>
      <c r="DJ624" s="69"/>
      <c r="DK624" s="69"/>
      <c r="DL624" s="69"/>
      <c r="DM624" s="69"/>
      <c r="DN624" s="69"/>
      <c r="DO624" s="69"/>
      <c r="DP624" s="69"/>
    </row>
    <row r="625" spans="1:120" x14ac:dyDescent="0.2">
      <c r="A625" s="66"/>
      <c r="B625" s="31"/>
      <c r="C625" s="31"/>
      <c r="D625" s="31"/>
      <c r="E625" s="31"/>
      <c r="F625" s="31"/>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c r="AW625" s="69"/>
      <c r="AX625" s="69"/>
      <c r="AY625" s="69"/>
      <c r="AZ625" s="69"/>
      <c r="BA625" s="69"/>
      <c r="BB625" s="69"/>
      <c r="BC625" s="69"/>
      <c r="BD625" s="69"/>
      <c r="BE625" s="69"/>
      <c r="BF625" s="69"/>
      <c r="BG625" s="69"/>
      <c r="BH625" s="69"/>
      <c r="BI625" s="69"/>
      <c r="BJ625" s="69"/>
      <c r="BK625" s="69"/>
      <c r="BL625" s="69"/>
      <c r="BM625" s="69"/>
      <c r="BN625" s="69"/>
      <c r="BO625" s="69"/>
      <c r="BP625" s="69"/>
      <c r="BQ625" s="69"/>
      <c r="BR625" s="69"/>
      <c r="BS625" s="69"/>
      <c r="BT625" s="69"/>
      <c r="BU625" s="69"/>
      <c r="BV625" s="69"/>
      <c r="BW625" s="69"/>
      <c r="BX625" s="69"/>
      <c r="BY625" s="69"/>
      <c r="BZ625" s="69"/>
      <c r="CA625" s="69"/>
      <c r="CB625" s="69"/>
      <c r="CC625" s="69"/>
      <c r="CD625" s="69"/>
      <c r="CE625" s="69"/>
      <c r="CF625" s="69"/>
      <c r="CG625" s="69"/>
      <c r="CH625" s="69"/>
      <c r="CI625" s="69"/>
      <c r="CJ625" s="69"/>
      <c r="CK625" s="69"/>
      <c r="CL625" s="69"/>
      <c r="CM625" s="69"/>
      <c r="CN625" s="69"/>
      <c r="CO625" s="69"/>
      <c r="CP625" s="69"/>
      <c r="CQ625" s="69"/>
      <c r="CR625" s="69"/>
      <c r="CS625" s="69"/>
      <c r="CT625" s="69"/>
      <c r="CU625" s="69"/>
      <c r="CV625" s="69"/>
      <c r="CW625" s="69"/>
      <c r="CX625" s="69"/>
      <c r="CY625" s="69"/>
      <c r="CZ625" s="69"/>
      <c r="DA625" s="69"/>
      <c r="DB625" s="69"/>
      <c r="DC625" s="69"/>
      <c r="DD625" s="69"/>
      <c r="DE625" s="69"/>
      <c r="DF625" s="69"/>
      <c r="DG625" s="69"/>
      <c r="DH625" s="69"/>
      <c r="DI625" s="69"/>
      <c r="DJ625" s="69"/>
      <c r="DK625" s="69"/>
      <c r="DL625" s="69"/>
      <c r="DM625" s="69"/>
      <c r="DN625" s="69"/>
      <c r="DO625" s="69"/>
      <c r="DP625" s="69"/>
    </row>
    <row r="626" spans="1:120" x14ac:dyDescent="0.2">
      <c r="A626" s="66"/>
      <c r="B626" s="31"/>
      <c r="C626" s="31"/>
      <c r="D626" s="31"/>
      <c r="E626" s="31"/>
      <c r="F626" s="31"/>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c r="AW626" s="69"/>
      <c r="AX626" s="69"/>
      <c r="AY626" s="69"/>
      <c r="AZ626" s="69"/>
      <c r="BA626" s="69"/>
      <c r="BB626" s="69"/>
      <c r="BC626" s="69"/>
      <c r="BD626" s="69"/>
      <c r="BE626" s="69"/>
      <c r="BF626" s="69"/>
      <c r="BG626" s="69"/>
      <c r="BH626" s="69"/>
      <c r="BI626" s="69"/>
      <c r="BJ626" s="69"/>
      <c r="BK626" s="69"/>
      <c r="BL626" s="69"/>
      <c r="BM626" s="69"/>
      <c r="BN626" s="69"/>
      <c r="BO626" s="69"/>
      <c r="BP626" s="69"/>
      <c r="BQ626" s="69"/>
      <c r="BR626" s="69"/>
      <c r="BS626" s="69"/>
      <c r="BT626" s="69"/>
      <c r="BU626" s="69"/>
      <c r="BV626" s="69"/>
      <c r="BW626" s="69"/>
      <c r="BX626" s="69"/>
      <c r="BY626" s="69"/>
      <c r="BZ626" s="69"/>
      <c r="CA626" s="69"/>
      <c r="CB626" s="69"/>
      <c r="CC626" s="69"/>
      <c r="CD626" s="69"/>
      <c r="CE626" s="69"/>
      <c r="CF626" s="69"/>
      <c r="CG626" s="69"/>
      <c r="CH626" s="69"/>
      <c r="CI626" s="69"/>
      <c r="CJ626" s="69"/>
      <c r="CK626" s="69"/>
      <c r="CL626" s="69"/>
      <c r="CM626" s="69"/>
      <c r="CN626" s="69"/>
      <c r="CO626" s="69"/>
      <c r="CP626" s="69"/>
      <c r="CQ626" s="69"/>
      <c r="CR626" s="69"/>
      <c r="CS626" s="69"/>
      <c r="CT626" s="69"/>
      <c r="CU626" s="69"/>
      <c r="CV626" s="69"/>
      <c r="CW626" s="69"/>
      <c r="CX626" s="69"/>
      <c r="CY626" s="69"/>
      <c r="CZ626" s="69"/>
      <c r="DA626" s="69"/>
      <c r="DB626" s="69"/>
      <c r="DC626" s="69"/>
      <c r="DD626" s="69"/>
      <c r="DE626" s="69"/>
      <c r="DF626" s="69"/>
      <c r="DG626" s="69"/>
      <c r="DH626" s="69"/>
      <c r="DI626" s="69"/>
      <c r="DJ626" s="69"/>
      <c r="DK626" s="69"/>
      <c r="DL626" s="69"/>
      <c r="DM626" s="69"/>
      <c r="DN626" s="69"/>
      <c r="DO626" s="69"/>
      <c r="DP626" s="69"/>
    </row>
    <row r="627" spans="1:120" x14ac:dyDescent="0.2">
      <c r="A627" s="66"/>
      <c r="B627" s="31"/>
      <c r="C627" s="31"/>
      <c r="D627" s="31"/>
      <c r="E627" s="31"/>
      <c r="F627" s="31"/>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c r="BT627" s="69"/>
      <c r="BU627" s="69"/>
      <c r="BV627" s="69"/>
      <c r="BW627" s="69"/>
      <c r="BX627" s="69"/>
      <c r="BY627" s="69"/>
      <c r="BZ627" s="69"/>
      <c r="CA627" s="69"/>
      <c r="CB627" s="69"/>
      <c r="CC627" s="69"/>
      <c r="CD627" s="69"/>
      <c r="CE627" s="69"/>
      <c r="CF627" s="69"/>
      <c r="CG627" s="69"/>
      <c r="CH627" s="69"/>
      <c r="CI627" s="69"/>
      <c r="CJ627" s="69"/>
      <c r="CK627" s="69"/>
      <c r="CL627" s="69"/>
      <c r="CM627" s="69"/>
      <c r="CN627" s="69"/>
      <c r="CO627" s="69"/>
      <c r="CP627" s="69"/>
      <c r="CQ627" s="69"/>
      <c r="CR627" s="69"/>
      <c r="CS627" s="69"/>
      <c r="CT627" s="69"/>
      <c r="CU627" s="69"/>
      <c r="CV627" s="69"/>
      <c r="CW627" s="69"/>
      <c r="CX627" s="69"/>
      <c r="CY627" s="69"/>
      <c r="CZ627" s="69"/>
      <c r="DA627" s="69"/>
      <c r="DB627" s="69"/>
      <c r="DC627" s="69"/>
      <c r="DD627" s="69"/>
      <c r="DE627" s="69"/>
      <c r="DF627" s="69"/>
      <c r="DG627" s="69"/>
      <c r="DH627" s="69"/>
      <c r="DI627" s="69"/>
      <c r="DJ627" s="69"/>
      <c r="DK627" s="69"/>
      <c r="DL627" s="69"/>
      <c r="DM627" s="69"/>
      <c r="DN627" s="69"/>
      <c r="DO627" s="69"/>
      <c r="DP627" s="69"/>
    </row>
    <row r="628" spans="1:120" x14ac:dyDescent="0.2">
      <c r="A628" s="66"/>
      <c r="B628" s="31"/>
      <c r="C628" s="31"/>
      <c r="D628" s="31"/>
      <c r="E628" s="31"/>
      <c r="F628" s="31"/>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c r="BT628" s="69"/>
      <c r="BU628" s="69"/>
      <c r="BV628" s="69"/>
      <c r="BW628" s="69"/>
      <c r="BX628" s="69"/>
      <c r="BY628" s="69"/>
      <c r="BZ628" s="69"/>
      <c r="CA628" s="69"/>
      <c r="CB628" s="69"/>
      <c r="CC628" s="69"/>
      <c r="CD628" s="69"/>
      <c r="CE628" s="69"/>
      <c r="CF628" s="69"/>
      <c r="CG628" s="69"/>
      <c r="CH628" s="69"/>
      <c r="CI628" s="69"/>
      <c r="CJ628" s="69"/>
      <c r="CK628" s="69"/>
      <c r="CL628" s="69"/>
      <c r="CM628" s="69"/>
      <c r="CN628" s="69"/>
      <c r="CO628" s="69"/>
      <c r="CP628" s="69"/>
      <c r="CQ628" s="69"/>
      <c r="CR628" s="69"/>
      <c r="CS628" s="69"/>
      <c r="CT628" s="69"/>
      <c r="CU628" s="69"/>
      <c r="CV628" s="69"/>
      <c r="CW628" s="69"/>
      <c r="CX628" s="69"/>
      <c r="CY628" s="69"/>
      <c r="CZ628" s="69"/>
      <c r="DA628" s="69"/>
      <c r="DB628" s="69"/>
      <c r="DC628" s="69"/>
      <c r="DD628" s="69"/>
      <c r="DE628" s="69"/>
      <c r="DF628" s="69"/>
      <c r="DG628" s="69"/>
      <c r="DH628" s="69"/>
      <c r="DI628" s="69"/>
      <c r="DJ628" s="69"/>
      <c r="DK628" s="69"/>
      <c r="DL628" s="69"/>
      <c r="DM628" s="69"/>
      <c r="DN628" s="69"/>
      <c r="DO628" s="69"/>
      <c r="DP628" s="69"/>
    </row>
    <row r="629" spans="1:120" x14ac:dyDescent="0.2">
      <c r="A629" s="66"/>
      <c r="B629" s="31"/>
      <c r="C629" s="31"/>
      <c r="D629" s="31"/>
      <c r="E629" s="31"/>
      <c r="F629" s="31"/>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c r="BT629" s="69"/>
      <c r="BU629" s="69"/>
      <c r="BV629" s="69"/>
      <c r="BW629" s="69"/>
      <c r="BX629" s="69"/>
      <c r="BY629" s="69"/>
      <c r="BZ629" s="69"/>
      <c r="CA629" s="69"/>
      <c r="CB629" s="69"/>
      <c r="CC629" s="69"/>
      <c r="CD629" s="69"/>
      <c r="CE629" s="69"/>
      <c r="CF629" s="69"/>
      <c r="CG629" s="69"/>
      <c r="CH629" s="69"/>
      <c r="CI629" s="69"/>
      <c r="CJ629" s="69"/>
      <c r="CK629" s="69"/>
      <c r="CL629" s="69"/>
      <c r="CM629" s="69"/>
      <c r="CN629" s="69"/>
      <c r="CO629" s="69"/>
      <c r="CP629" s="69"/>
      <c r="CQ629" s="69"/>
      <c r="CR629" s="69"/>
      <c r="CS629" s="69"/>
      <c r="CT629" s="69"/>
      <c r="CU629" s="69"/>
      <c r="CV629" s="69"/>
      <c r="CW629" s="69"/>
      <c r="CX629" s="69"/>
      <c r="CY629" s="69"/>
      <c r="CZ629" s="69"/>
      <c r="DA629" s="69"/>
      <c r="DB629" s="69"/>
      <c r="DC629" s="69"/>
      <c r="DD629" s="69"/>
      <c r="DE629" s="69"/>
      <c r="DF629" s="69"/>
      <c r="DG629" s="69"/>
      <c r="DH629" s="69"/>
      <c r="DI629" s="69"/>
      <c r="DJ629" s="69"/>
      <c r="DK629" s="69"/>
      <c r="DL629" s="69"/>
      <c r="DM629" s="69"/>
      <c r="DN629" s="69"/>
      <c r="DO629" s="69"/>
      <c r="DP629" s="69"/>
    </row>
    <row r="630" spans="1:120" x14ac:dyDescent="0.2">
      <c r="A630" s="66"/>
      <c r="B630" s="31"/>
      <c r="C630" s="31"/>
      <c r="D630" s="31"/>
      <c r="E630" s="31"/>
      <c r="F630" s="31"/>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c r="BT630" s="69"/>
      <c r="BU630" s="69"/>
      <c r="BV630" s="69"/>
      <c r="BW630" s="69"/>
      <c r="BX630" s="69"/>
      <c r="BY630" s="69"/>
      <c r="BZ630" s="69"/>
      <c r="CA630" s="69"/>
      <c r="CB630" s="69"/>
      <c r="CC630" s="69"/>
      <c r="CD630" s="69"/>
      <c r="CE630" s="69"/>
      <c r="CF630" s="69"/>
      <c r="CG630" s="69"/>
      <c r="CH630" s="69"/>
      <c r="CI630" s="69"/>
      <c r="CJ630" s="69"/>
      <c r="CK630" s="69"/>
      <c r="CL630" s="69"/>
      <c r="CM630" s="69"/>
      <c r="CN630" s="69"/>
      <c r="CO630" s="69"/>
      <c r="CP630" s="69"/>
      <c r="CQ630" s="69"/>
      <c r="CR630" s="69"/>
      <c r="CS630" s="69"/>
      <c r="CT630" s="69"/>
      <c r="CU630" s="69"/>
      <c r="CV630" s="69"/>
      <c r="CW630" s="69"/>
      <c r="CX630" s="69"/>
      <c r="CY630" s="69"/>
      <c r="CZ630" s="69"/>
      <c r="DA630" s="69"/>
      <c r="DB630" s="69"/>
      <c r="DC630" s="69"/>
      <c r="DD630" s="69"/>
      <c r="DE630" s="69"/>
      <c r="DF630" s="69"/>
      <c r="DG630" s="69"/>
      <c r="DH630" s="69"/>
      <c r="DI630" s="69"/>
      <c r="DJ630" s="69"/>
      <c r="DK630" s="69"/>
      <c r="DL630" s="69"/>
      <c r="DM630" s="69"/>
      <c r="DN630" s="69"/>
      <c r="DO630" s="69"/>
      <c r="DP630" s="69"/>
    </row>
    <row r="631" spans="1:120" x14ac:dyDescent="0.2">
      <c r="A631" s="66"/>
      <c r="B631" s="31"/>
      <c r="C631" s="31"/>
      <c r="D631" s="31"/>
      <c r="E631" s="31"/>
      <c r="F631" s="31"/>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c r="BT631" s="69"/>
      <c r="BU631" s="69"/>
      <c r="BV631" s="69"/>
      <c r="BW631" s="69"/>
      <c r="BX631" s="69"/>
      <c r="BY631" s="69"/>
      <c r="BZ631" s="69"/>
      <c r="CA631" s="69"/>
      <c r="CB631" s="69"/>
      <c r="CC631" s="69"/>
      <c r="CD631" s="69"/>
      <c r="CE631" s="69"/>
      <c r="CF631" s="69"/>
      <c r="CG631" s="69"/>
      <c r="CH631" s="69"/>
      <c r="CI631" s="69"/>
      <c r="CJ631" s="69"/>
      <c r="CK631" s="69"/>
      <c r="CL631" s="69"/>
      <c r="CM631" s="69"/>
      <c r="CN631" s="69"/>
      <c r="CO631" s="69"/>
      <c r="CP631" s="69"/>
      <c r="CQ631" s="69"/>
      <c r="CR631" s="69"/>
      <c r="CS631" s="69"/>
      <c r="CT631" s="69"/>
      <c r="CU631" s="69"/>
      <c r="CV631" s="69"/>
      <c r="CW631" s="69"/>
      <c r="CX631" s="69"/>
      <c r="CY631" s="69"/>
      <c r="CZ631" s="69"/>
      <c r="DA631" s="69"/>
      <c r="DB631" s="69"/>
      <c r="DC631" s="69"/>
      <c r="DD631" s="69"/>
      <c r="DE631" s="69"/>
      <c r="DF631" s="69"/>
      <c r="DG631" s="69"/>
      <c r="DH631" s="69"/>
      <c r="DI631" s="69"/>
      <c r="DJ631" s="69"/>
      <c r="DK631" s="69"/>
      <c r="DL631" s="69"/>
      <c r="DM631" s="69"/>
      <c r="DN631" s="69"/>
      <c r="DO631" s="69"/>
      <c r="DP631" s="69"/>
    </row>
    <row r="632" spans="1:120" x14ac:dyDescent="0.2">
      <c r="A632" s="66"/>
      <c r="B632" s="31"/>
      <c r="C632" s="31"/>
      <c r="D632" s="31"/>
      <c r="E632" s="31"/>
      <c r="F632" s="31"/>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c r="BT632" s="69"/>
      <c r="BU632" s="69"/>
      <c r="BV632" s="69"/>
      <c r="BW632" s="69"/>
      <c r="BX632" s="69"/>
      <c r="BY632" s="69"/>
      <c r="BZ632" s="69"/>
      <c r="CA632" s="69"/>
      <c r="CB632" s="69"/>
      <c r="CC632" s="69"/>
      <c r="CD632" s="69"/>
      <c r="CE632" s="69"/>
      <c r="CF632" s="69"/>
      <c r="CG632" s="69"/>
      <c r="CH632" s="69"/>
      <c r="CI632" s="69"/>
      <c r="CJ632" s="69"/>
      <c r="CK632" s="69"/>
      <c r="CL632" s="69"/>
      <c r="CM632" s="69"/>
      <c r="CN632" s="69"/>
      <c r="CO632" s="69"/>
      <c r="CP632" s="69"/>
      <c r="CQ632" s="69"/>
      <c r="CR632" s="69"/>
      <c r="CS632" s="69"/>
      <c r="CT632" s="69"/>
      <c r="CU632" s="69"/>
      <c r="CV632" s="69"/>
      <c r="CW632" s="69"/>
      <c r="CX632" s="69"/>
      <c r="CY632" s="69"/>
      <c r="CZ632" s="69"/>
      <c r="DA632" s="69"/>
      <c r="DB632" s="69"/>
      <c r="DC632" s="69"/>
      <c r="DD632" s="69"/>
      <c r="DE632" s="69"/>
      <c r="DF632" s="69"/>
      <c r="DG632" s="69"/>
      <c r="DH632" s="69"/>
      <c r="DI632" s="69"/>
      <c r="DJ632" s="69"/>
      <c r="DK632" s="69"/>
      <c r="DL632" s="69"/>
      <c r="DM632" s="69"/>
      <c r="DN632" s="69"/>
      <c r="DO632" s="69"/>
      <c r="DP632" s="69"/>
    </row>
    <row r="633" spans="1:120" x14ac:dyDescent="0.2">
      <c r="A633" s="66"/>
      <c r="B633" s="31"/>
      <c r="C633" s="31"/>
      <c r="D633" s="31"/>
      <c r="E633" s="31"/>
      <c r="F633" s="31"/>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c r="BT633" s="69"/>
      <c r="BU633" s="69"/>
      <c r="BV633" s="69"/>
      <c r="BW633" s="69"/>
      <c r="BX633" s="69"/>
      <c r="BY633" s="69"/>
      <c r="BZ633" s="69"/>
      <c r="CA633" s="69"/>
      <c r="CB633" s="69"/>
      <c r="CC633" s="69"/>
      <c r="CD633" s="69"/>
      <c r="CE633" s="69"/>
      <c r="CF633" s="69"/>
      <c r="CG633" s="69"/>
      <c r="CH633" s="69"/>
      <c r="CI633" s="69"/>
      <c r="CJ633" s="69"/>
      <c r="CK633" s="69"/>
      <c r="CL633" s="69"/>
      <c r="CM633" s="69"/>
      <c r="CN633" s="69"/>
      <c r="CO633" s="69"/>
      <c r="CP633" s="69"/>
      <c r="CQ633" s="69"/>
      <c r="CR633" s="69"/>
      <c r="CS633" s="69"/>
      <c r="CT633" s="69"/>
      <c r="CU633" s="69"/>
      <c r="CV633" s="69"/>
      <c r="CW633" s="69"/>
      <c r="CX633" s="69"/>
      <c r="CY633" s="69"/>
      <c r="CZ633" s="69"/>
      <c r="DA633" s="69"/>
      <c r="DB633" s="69"/>
      <c r="DC633" s="69"/>
      <c r="DD633" s="69"/>
      <c r="DE633" s="69"/>
      <c r="DF633" s="69"/>
      <c r="DG633" s="69"/>
      <c r="DH633" s="69"/>
      <c r="DI633" s="69"/>
      <c r="DJ633" s="69"/>
      <c r="DK633" s="69"/>
      <c r="DL633" s="69"/>
      <c r="DM633" s="69"/>
      <c r="DN633" s="69"/>
      <c r="DO633" s="69"/>
      <c r="DP633" s="69"/>
    </row>
    <row r="634" spans="1:120" x14ac:dyDescent="0.2">
      <c r="A634" s="66"/>
      <c r="B634" s="31"/>
      <c r="C634" s="31"/>
      <c r="D634" s="31"/>
      <c r="E634" s="31"/>
      <c r="F634" s="31"/>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c r="BT634" s="69"/>
      <c r="BU634" s="69"/>
      <c r="BV634" s="69"/>
      <c r="BW634" s="69"/>
      <c r="BX634" s="69"/>
      <c r="BY634" s="69"/>
      <c r="BZ634" s="69"/>
      <c r="CA634" s="69"/>
      <c r="CB634" s="69"/>
      <c r="CC634" s="69"/>
      <c r="CD634" s="69"/>
      <c r="CE634" s="69"/>
      <c r="CF634" s="69"/>
      <c r="CG634" s="69"/>
      <c r="CH634" s="69"/>
      <c r="CI634" s="69"/>
      <c r="CJ634" s="69"/>
      <c r="CK634" s="69"/>
      <c r="CL634" s="69"/>
      <c r="CM634" s="69"/>
      <c r="CN634" s="69"/>
      <c r="CO634" s="69"/>
      <c r="CP634" s="69"/>
      <c r="CQ634" s="69"/>
      <c r="CR634" s="69"/>
      <c r="CS634" s="69"/>
      <c r="CT634" s="69"/>
      <c r="CU634" s="69"/>
      <c r="CV634" s="69"/>
      <c r="CW634" s="69"/>
      <c r="CX634" s="69"/>
      <c r="CY634" s="69"/>
      <c r="CZ634" s="69"/>
      <c r="DA634" s="69"/>
      <c r="DB634" s="69"/>
      <c r="DC634" s="69"/>
      <c r="DD634" s="69"/>
      <c r="DE634" s="69"/>
      <c r="DF634" s="69"/>
      <c r="DG634" s="69"/>
      <c r="DH634" s="69"/>
      <c r="DI634" s="69"/>
      <c r="DJ634" s="69"/>
      <c r="DK634" s="69"/>
      <c r="DL634" s="69"/>
      <c r="DM634" s="69"/>
      <c r="DN634" s="69"/>
      <c r="DO634" s="69"/>
      <c r="DP634" s="69"/>
    </row>
    <row r="635" spans="1:120" x14ac:dyDescent="0.2">
      <c r="A635" s="66"/>
      <c r="B635" s="31"/>
      <c r="C635" s="31"/>
      <c r="D635" s="31"/>
      <c r="E635" s="31"/>
      <c r="F635" s="31"/>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c r="BT635" s="69"/>
      <c r="BU635" s="69"/>
      <c r="BV635" s="69"/>
      <c r="BW635" s="69"/>
      <c r="BX635" s="69"/>
      <c r="BY635" s="69"/>
      <c r="BZ635" s="69"/>
      <c r="CA635" s="69"/>
      <c r="CB635" s="69"/>
      <c r="CC635" s="69"/>
      <c r="CD635" s="69"/>
      <c r="CE635" s="69"/>
      <c r="CF635" s="69"/>
      <c r="CG635" s="69"/>
      <c r="CH635" s="69"/>
      <c r="CI635" s="69"/>
      <c r="CJ635" s="69"/>
      <c r="CK635" s="69"/>
      <c r="CL635" s="69"/>
      <c r="CM635" s="69"/>
      <c r="CN635" s="69"/>
      <c r="CO635" s="69"/>
      <c r="CP635" s="69"/>
      <c r="CQ635" s="69"/>
      <c r="CR635" s="69"/>
      <c r="CS635" s="69"/>
      <c r="CT635" s="69"/>
      <c r="CU635" s="69"/>
      <c r="CV635" s="69"/>
      <c r="CW635" s="69"/>
      <c r="CX635" s="69"/>
      <c r="CY635" s="69"/>
      <c r="CZ635" s="69"/>
      <c r="DA635" s="69"/>
      <c r="DB635" s="69"/>
      <c r="DC635" s="69"/>
      <c r="DD635" s="69"/>
      <c r="DE635" s="69"/>
      <c r="DF635" s="69"/>
      <c r="DG635" s="69"/>
      <c r="DH635" s="69"/>
      <c r="DI635" s="69"/>
      <c r="DJ635" s="69"/>
      <c r="DK635" s="69"/>
      <c r="DL635" s="69"/>
      <c r="DM635" s="69"/>
      <c r="DN635" s="69"/>
      <c r="DO635" s="69"/>
      <c r="DP635" s="69"/>
    </row>
    <row r="636" spans="1:120" x14ac:dyDescent="0.2">
      <c r="A636" s="66"/>
      <c r="B636" s="31"/>
      <c r="C636" s="31"/>
      <c r="D636" s="31"/>
      <c r="E636" s="31"/>
      <c r="F636" s="31"/>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c r="BT636" s="69"/>
      <c r="BU636" s="69"/>
      <c r="BV636" s="69"/>
      <c r="BW636" s="69"/>
      <c r="BX636" s="69"/>
      <c r="BY636" s="69"/>
      <c r="BZ636" s="69"/>
      <c r="CA636" s="69"/>
      <c r="CB636" s="69"/>
      <c r="CC636" s="69"/>
      <c r="CD636" s="69"/>
      <c r="CE636" s="69"/>
      <c r="CF636" s="69"/>
      <c r="CG636" s="69"/>
      <c r="CH636" s="69"/>
      <c r="CI636" s="69"/>
      <c r="CJ636" s="69"/>
      <c r="CK636" s="69"/>
      <c r="CL636" s="69"/>
      <c r="CM636" s="69"/>
      <c r="CN636" s="69"/>
      <c r="CO636" s="69"/>
      <c r="CP636" s="69"/>
      <c r="CQ636" s="69"/>
      <c r="CR636" s="69"/>
      <c r="CS636" s="69"/>
      <c r="CT636" s="69"/>
      <c r="CU636" s="69"/>
      <c r="CV636" s="69"/>
      <c r="CW636" s="69"/>
      <c r="CX636" s="69"/>
      <c r="CY636" s="69"/>
      <c r="CZ636" s="69"/>
      <c r="DA636" s="69"/>
      <c r="DB636" s="69"/>
      <c r="DC636" s="69"/>
      <c r="DD636" s="69"/>
      <c r="DE636" s="69"/>
      <c r="DF636" s="69"/>
      <c r="DG636" s="69"/>
      <c r="DH636" s="69"/>
      <c r="DI636" s="69"/>
      <c r="DJ636" s="69"/>
      <c r="DK636" s="69"/>
      <c r="DL636" s="69"/>
      <c r="DM636" s="69"/>
      <c r="DN636" s="69"/>
      <c r="DO636" s="69"/>
      <c r="DP636" s="69"/>
    </row>
    <row r="637" spans="1:120" x14ac:dyDescent="0.2">
      <c r="A637" s="66"/>
      <c r="B637" s="31"/>
      <c r="C637" s="31"/>
      <c r="D637" s="31"/>
      <c r="E637" s="31"/>
      <c r="F637" s="31"/>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c r="BT637" s="69"/>
      <c r="BU637" s="69"/>
      <c r="BV637" s="69"/>
      <c r="BW637" s="69"/>
      <c r="BX637" s="69"/>
      <c r="BY637" s="69"/>
      <c r="BZ637" s="69"/>
      <c r="CA637" s="69"/>
      <c r="CB637" s="69"/>
      <c r="CC637" s="69"/>
      <c r="CD637" s="69"/>
      <c r="CE637" s="69"/>
      <c r="CF637" s="69"/>
      <c r="CG637" s="69"/>
      <c r="CH637" s="69"/>
      <c r="CI637" s="69"/>
      <c r="CJ637" s="69"/>
      <c r="CK637" s="69"/>
      <c r="CL637" s="69"/>
      <c r="CM637" s="69"/>
      <c r="CN637" s="69"/>
      <c r="CO637" s="69"/>
      <c r="CP637" s="69"/>
      <c r="CQ637" s="69"/>
      <c r="CR637" s="69"/>
      <c r="CS637" s="69"/>
      <c r="CT637" s="69"/>
      <c r="CU637" s="69"/>
      <c r="CV637" s="69"/>
      <c r="CW637" s="69"/>
      <c r="CX637" s="69"/>
      <c r="CY637" s="69"/>
      <c r="CZ637" s="69"/>
      <c r="DA637" s="69"/>
      <c r="DB637" s="69"/>
      <c r="DC637" s="69"/>
      <c r="DD637" s="69"/>
      <c r="DE637" s="69"/>
      <c r="DF637" s="69"/>
      <c r="DG637" s="69"/>
      <c r="DH637" s="69"/>
      <c r="DI637" s="69"/>
      <c r="DJ637" s="69"/>
      <c r="DK637" s="69"/>
      <c r="DL637" s="69"/>
      <c r="DM637" s="69"/>
      <c r="DN637" s="69"/>
      <c r="DO637" s="69"/>
      <c r="DP637" s="69"/>
    </row>
    <row r="638" spans="1:120" x14ac:dyDescent="0.2">
      <c r="A638" s="66"/>
      <c r="B638" s="31"/>
      <c r="C638" s="31"/>
      <c r="D638" s="31"/>
      <c r="E638" s="31"/>
      <c r="F638" s="31"/>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c r="BT638" s="69"/>
      <c r="BU638" s="69"/>
      <c r="BV638" s="69"/>
      <c r="BW638" s="69"/>
      <c r="BX638" s="69"/>
      <c r="BY638" s="69"/>
      <c r="BZ638" s="69"/>
      <c r="CA638" s="69"/>
      <c r="CB638" s="69"/>
      <c r="CC638" s="69"/>
      <c r="CD638" s="69"/>
      <c r="CE638" s="69"/>
      <c r="CF638" s="69"/>
      <c r="CG638" s="69"/>
      <c r="CH638" s="69"/>
      <c r="CI638" s="69"/>
      <c r="CJ638" s="69"/>
      <c r="CK638" s="69"/>
      <c r="CL638" s="69"/>
      <c r="CM638" s="69"/>
      <c r="CN638" s="69"/>
      <c r="CO638" s="69"/>
      <c r="CP638" s="69"/>
      <c r="CQ638" s="69"/>
      <c r="CR638" s="69"/>
      <c r="CS638" s="69"/>
      <c r="CT638" s="69"/>
      <c r="CU638" s="69"/>
      <c r="CV638" s="69"/>
      <c r="CW638" s="69"/>
      <c r="CX638" s="69"/>
      <c r="CY638" s="69"/>
      <c r="CZ638" s="69"/>
      <c r="DA638" s="69"/>
      <c r="DB638" s="69"/>
      <c r="DC638" s="69"/>
      <c r="DD638" s="69"/>
      <c r="DE638" s="69"/>
      <c r="DF638" s="69"/>
      <c r="DG638" s="69"/>
      <c r="DH638" s="69"/>
      <c r="DI638" s="69"/>
      <c r="DJ638" s="69"/>
      <c r="DK638" s="69"/>
      <c r="DL638" s="69"/>
      <c r="DM638" s="69"/>
      <c r="DN638" s="69"/>
      <c r="DO638" s="69"/>
      <c r="DP638" s="69"/>
    </row>
    <row r="639" spans="1:120" x14ac:dyDescent="0.2">
      <c r="A639" s="66"/>
      <c r="B639" s="31"/>
      <c r="C639" s="31"/>
      <c r="D639" s="31"/>
      <c r="E639" s="31"/>
      <c r="F639" s="31"/>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c r="BT639" s="69"/>
      <c r="BU639" s="69"/>
      <c r="BV639" s="69"/>
      <c r="BW639" s="69"/>
      <c r="BX639" s="69"/>
      <c r="BY639" s="69"/>
      <c r="BZ639" s="69"/>
      <c r="CA639" s="69"/>
      <c r="CB639" s="69"/>
      <c r="CC639" s="69"/>
      <c r="CD639" s="69"/>
      <c r="CE639" s="69"/>
      <c r="CF639" s="69"/>
      <c r="CG639" s="69"/>
      <c r="CH639" s="69"/>
      <c r="CI639" s="69"/>
      <c r="CJ639" s="69"/>
      <c r="CK639" s="69"/>
      <c r="CL639" s="69"/>
      <c r="CM639" s="69"/>
      <c r="CN639" s="69"/>
      <c r="CO639" s="69"/>
      <c r="CP639" s="69"/>
      <c r="CQ639" s="69"/>
      <c r="CR639" s="69"/>
      <c r="CS639" s="69"/>
      <c r="CT639" s="69"/>
      <c r="CU639" s="69"/>
      <c r="CV639" s="69"/>
      <c r="CW639" s="69"/>
      <c r="CX639" s="69"/>
      <c r="CY639" s="69"/>
      <c r="CZ639" s="69"/>
      <c r="DA639" s="69"/>
      <c r="DB639" s="69"/>
      <c r="DC639" s="69"/>
      <c r="DD639" s="69"/>
      <c r="DE639" s="69"/>
      <c r="DF639" s="69"/>
      <c r="DG639" s="69"/>
      <c r="DH639" s="69"/>
      <c r="DI639" s="69"/>
      <c r="DJ639" s="69"/>
      <c r="DK639" s="69"/>
      <c r="DL639" s="69"/>
      <c r="DM639" s="69"/>
      <c r="DN639" s="69"/>
      <c r="DO639" s="69"/>
      <c r="DP639" s="69"/>
    </row>
    <row r="640" spans="1:120" x14ac:dyDescent="0.2">
      <c r="A640" s="66"/>
      <c r="B640" s="31"/>
      <c r="C640" s="31"/>
      <c r="D640" s="31"/>
      <c r="E640" s="31"/>
      <c r="F640" s="31"/>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c r="BT640" s="69"/>
      <c r="BU640" s="69"/>
      <c r="BV640" s="69"/>
      <c r="BW640" s="69"/>
      <c r="BX640" s="69"/>
      <c r="BY640" s="69"/>
      <c r="BZ640" s="69"/>
      <c r="CA640" s="69"/>
      <c r="CB640" s="69"/>
      <c r="CC640" s="69"/>
      <c r="CD640" s="69"/>
      <c r="CE640" s="69"/>
      <c r="CF640" s="69"/>
      <c r="CG640" s="69"/>
      <c r="CH640" s="69"/>
      <c r="CI640" s="69"/>
      <c r="CJ640" s="69"/>
      <c r="CK640" s="69"/>
      <c r="CL640" s="69"/>
      <c r="CM640" s="69"/>
      <c r="CN640" s="69"/>
      <c r="CO640" s="69"/>
      <c r="CP640" s="69"/>
      <c r="CQ640" s="69"/>
      <c r="CR640" s="69"/>
      <c r="CS640" s="69"/>
      <c r="CT640" s="69"/>
      <c r="CU640" s="69"/>
      <c r="CV640" s="69"/>
      <c r="CW640" s="69"/>
      <c r="CX640" s="69"/>
      <c r="CY640" s="69"/>
      <c r="CZ640" s="69"/>
      <c r="DA640" s="69"/>
      <c r="DB640" s="69"/>
      <c r="DC640" s="69"/>
      <c r="DD640" s="69"/>
      <c r="DE640" s="69"/>
      <c r="DF640" s="69"/>
      <c r="DG640" s="69"/>
      <c r="DH640" s="69"/>
      <c r="DI640" s="69"/>
      <c r="DJ640" s="69"/>
      <c r="DK640" s="69"/>
      <c r="DL640" s="69"/>
      <c r="DM640" s="69"/>
      <c r="DN640" s="69"/>
      <c r="DO640" s="69"/>
      <c r="DP640" s="69"/>
    </row>
    <row r="641" spans="1:120" x14ac:dyDescent="0.2">
      <c r="A641" s="66"/>
      <c r="B641" s="31"/>
      <c r="C641" s="31"/>
      <c r="D641" s="31"/>
      <c r="E641" s="31"/>
      <c r="F641" s="31"/>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c r="BT641" s="69"/>
      <c r="BU641" s="69"/>
      <c r="BV641" s="69"/>
      <c r="BW641" s="69"/>
      <c r="BX641" s="69"/>
      <c r="BY641" s="69"/>
      <c r="BZ641" s="69"/>
      <c r="CA641" s="69"/>
      <c r="CB641" s="69"/>
      <c r="CC641" s="69"/>
      <c r="CD641" s="69"/>
      <c r="CE641" s="69"/>
      <c r="CF641" s="69"/>
      <c r="CG641" s="69"/>
      <c r="CH641" s="69"/>
      <c r="CI641" s="69"/>
      <c r="CJ641" s="69"/>
      <c r="CK641" s="69"/>
      <c r="CL641" s="69"/>
      <c r="CM641" s="69"/>
      <c r="CN641" s="69"/>
      <c r="CO641" s="69"/>
      <c r="CP641" s="69"/>
      <c r="CQ641" s="69"/>
      <c r="CR641" s="69"/>
      <c r="CS641" s="69"/>
      <c r="CT641" s="69"/>
      <c r="CU641" s="69"/>
      <c r="CV641" s="69"/>
      <c r="CW641" s="69"/>
      <c r="CX641" s="69"/>
      <c r="CY641" s="69"/>
      <c r="CZ641" s="69"/>
      <c r="DA641" s="69"/>
      <c r="DB641" s="69"/>
      <c r="DC641" s="69"/>
      <c r="DD641" s="69"/>
      <c r="DE641" s="69"/>
      <c r="DF641" s="69"/>
      <c r="DG641" s="69"/>
      <c r="DH641" s="69"/>
      <c r="DI641" s="69"/>
      <c r="DJ641" s="69"/>
      <c r="DK641" s="69"/>
      <c r="DL641" s="69"/>
      <c r="DM641" s="69"/>
      <c r="DN641" s="69"/>
      <c r="DO641" s="69"/>
      <c r="DP641" s="69"/>
    </row>
    <row r="642" spans="1:120" x14ac:dyDescent="0.2">
      <c r="A642" s="66"/>
      <c r="B642" s="31"/>
      <c r="C642" s="31"/>
      <c r="D642" s="31"/>
      <c r="E642" s="31"/>
      <c r="F642" s="31"/>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c r="BT642" s="69"/>
      <c r="BU642" s="69"/>
      <c r="BV642" s="69"/>
      <c r="BW642" s="69"/>
      <c r="BX642" s="69"/>
      <c r="BY642" s="69"/>
      <c r="BZ642" s="69"/>
      <c r="CA642" s="69"/>
      <c r="CB642" s="69"/>
      <c r="CC642" s="69"/>
      <c r="CD642" s="69"/>
      <c r="CE642" s="69"/>
      <c r="CF642" s="69"/>
      <c r="CG642" s="69"/>
      <c r="CH642" s="69"/>
      <c r="CI642" s="69"/>
      <c r="CJ642" s="69"/>
      <c r="CK642" s="69"/>
      <c r="CL642" s="69"/>
      <c r="CM642" s="69"/>
      <c r="CN642" s="69"/>
      <c r="CO642" s="69"/>
      <c r="CP642" s="69"/>
      <c r="CQ642" s="69"/>
      <c r="CR642" s="69"/>
      <c r="CS642" s="69"/>
      <c r="CT642" s="69"/>
      <c r="CU642" s="69"/>
      <c r="CV642" s="69"/>
      <c r="CW642" s="69"/>
      <c r="CX642" s="69"/>
      <c r="CY642" s="69"/>
      <c r="CZ642" s="69"/>
      <c r="DA642" s="69"/>
      <c r="DB642" s="69"/>
      <c r="DC642" s="69"/>
      <c r="DD642" s="69"/>
      <c r="DE642" s="69"/>
      <c r="DF642" s="69"/>
      <c r="DG642" s="69"/>
      <c r="DH642" s="69"/>
      <c r="DI642" s="69"/>
      <c r="DJ642" s="69"/>
      <c r="DK642" s="69"/>
      <c r="DL642" s="69"/>
      <c r="DM642" s="69"/>
      <c r="DN642" s="69"/>
      <c r="DO642" s="69"/>
      <c r="DP642" s="69"/>
    </row>
    <row r="643" spans="1:120" x14ac:dyDescent="0.2">
      <c r="A643" s="66"/>
      <c r="B643" s="31"/>
      <c r="C643" s="31"/>
      <c r="D643" s="31"/>
      <c r="E643" s="31"/>
      <c r="F643" s="31"/>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c r="BT643" s="69"/>
      <c r="BU643" s="69"/>
      <c r="BV643" s="69"/>
      <c r="BW643" s="69"/>
      <c r="BX643" s="69"/>
      <c r="BY643" s="69"/>
      <c r="BZ643" s="69"/>
      <c r="CA643" s="69"/>
      <c r="CB643" s="69"/>
      <c r="CC643" s="69"/>
      <c r="CD643" s="69"/>
      <c r="CE643" s="69"/>
      <c r="CF643" s="69"/>
      <c r="CG643" s="69"/>
      <c r="CH643" s="69"/>
      <c r="CI643" s="69"/>
      <c r="CJ643" s="69"/>
      <c r="CK643" s="69"/>
      <c r="CL643" s="69"/>
      <c r="CM643" s="69"/>
      <c r="CN643" s="69"/>
      <c r="CO643" s="69"/>
      <c r="CP643" s="69"/>
      <c r="CQ643" s="69"/>
      <c r="CR643" s="69"/>
      <c r="CS643" s="69"/>
      <c r="CT643" s="69"/>
      <c r="CU643" s="69"/>
      <c r="CV643" s="69"/>
      <c r="CW643" s="69"/>
      <c r="CX643" s="69"/>
      <c r="CY643" s="69"/>
      <c r="CZ643" s="69"/>
      <c r="DA643" s="69"/>
      <c r="DB643" s="69"/>
      <c r="DC643" s="69"/>
      <c r="DD643" s="69"/>
      <c r="DE643" s="69"/>
      <c r="DF643" s="69"/>
      <c r="DG643" s="69"/>
      <c r="DH643" s="69"/>
      <c r="DI643" s="69"/>
      <c r="DJ643" s="69"/>
      <c r="DK643" s="69"/>
      <c r="DL643" s="69"/>
      <c r="DM643" s="69"/>
      <c r="DN643" s="69"/>
      <c r="DO643" s="69"/>
      <c r="DP643" s="69"/>
    </row>
    <row r="644" spans="1:120" x14ac:dyDescent="0.2">
      <c r="A644" s="66"/>
      <c r="B644" s="31"/>
      <c r="C644" s="31"/>
      <c r="D644" s="31"/>
      <c r="E644" s="31"/>
      <c r="F644" s="31"/>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c r="BT644" s="69"/>
      <c r="BU644" s="69"/>
      <c r="BV644" s="69"/>
      <c r="BW644" s="69"/>
      <c r="BX644" s="69"/>
      <c r="BY644" s="69"/>
      <c r="BZ644" s="69"/>
      <c r="CA644" s="69"/>
      <c r="CB644" s="69"/>
      <c r="CC644" s="69"/>
      <c r="CD644" s="69"/>
      <c r="CE644" s="69"/>
      <c r="CF644" s="69"/>
      <c r="CG644" s="69"/>
      <c r="CH644" s="69"/>
      <c r="CI644" s="69"/>
      <c r="CJ644" s="69"/>
      <c r="CK644" s="69"/>
      <c r="CL644" s="69"/>
      <c r="CM644" s="69"/>
      <c r="CN644" s="69"/>
      <c r="CO644" s="69"/>
      <c r="CP644" s="69"/>
      <c r="CQ644" s="69"/>
      <c r="CR644" s="69"/>
      <c r="CS644" s="69"/>
      <c r="CT644" s="69"/>
      <c r="CU644" s="69"/>
      <c r="CV644" s="69"/>
      <c r="CW644" s="69"/>
      <c r="CX644" s="69"/>
      <c r="CY644" s="69"/>
      <c r="CZ644" s="69"/>
      <c r="DA644" s="69"/>
      <c r="DB644" s="69"/>
      <c r="DC644" s="69"/>
      <c r="DD644" s="69"/>
      <c r="DE644" s="69"/>
      <c r="DF644" s="69"/>
      <c r="DG644" s="69"/>
      <c r="DH644" s="69"/>
      <c r="DI644" s="69"/>
      <c r="DJ644" s="69"/>
      <c r="DK644" s="69"/>
      <c r="DL644" s="69"/>
      <c r="DM644" s="69"/>
      <c r="DN644" s="69"/>
      <c r="DO644" s="69"/>
      <c r="DP644" s="69"/>
    </row>
    <row r="645" spans="1:120" x14ac:dyDescent="0.2">
      <c r="A645" s="66"/>
      <c r="B645" s="31"/>
      <c r="C645" s="31"/>
      <c r="D645" s="31"/>
      <c r="E645" s="31"/>
      <c r="F645" s="31"/>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c r="AW645" s="69"/>
      <c r="AX645" s="69"/>
      <c r="AY645" s="69"/>
      <c r="AZ645" s="69"/>
      <c r="BA645" s="69"/>
      <c r="BB645" s="69"/>
      <c r="BC645" s="69"/>
      <c r="BD645" s="69"/>
      <c r="BE645" s="69"/>
      <c r="BF645" s="69"/>
      <c r="BG645" s="69"/>
      <c r="BH645" s="69"/>
      <c r="BI645" s="69"/>
      <c r="BJ645" s="69"/>
      <c r="BK645" s="69"/>
      <c r="BL645" s="69"/>
      <c r="BM645" s="69"/>
      <c r="BN645" s="69"/>
      <c r="BO645" s="69"/>
      <c r="BP645" s="69"/>
      <c r="BQ645" s="69"/>
      <c r="BR645" s="69"/>
      <c r="BS645" s="69"/>
      <c r="BT645" s="69"/>
      <c r="BU645" s="69"/>
      <c r="BV645" s="69"/>
      <c r="BW645" s="69"/>
      <c r="BX645" s="69"/>
      <c r="BY645" s="69"/>
      <c r="BZ645" s="69"/>
      <c r="CA645" s="69"/>
      <c r="CB645" s="69"/>
      <c r="CC645" s="69"/>
      <c r="CD645" s="69"/>
      <c r="CE645" s="69"/>
      <c r="CF645" s="69"/>
      <c r="CG645" s="69"/>
      <c r="CH645" s="69"/>
      <c r="CI645" s="69"/>
      <c r="CJ645" s="69"/>
      <c r="CK645" s="69"/>
      <c r="CL645" s="69"/>
      <c r="CM645" s="69"/>
      <c r="CN645" s="69"/>
      <c r="CO645" s="69"/>
      <c r="CP645" s="69"/>
      <c r="CQ645" s="69"/>
      <c r="CR645" s="69"/>
      <c r="CS645" s="69"/>
      <c r="CT645" s="69"/>
      <c r="CU645" s="69"/>
      <c r="CV645" s="69"/>
      <c r="CW645" s="69"/>
      <c r="CX645" s="69"/>
      <c r="CY645" s="69"/>
      <c r="CZ645" s="69"/>
      <c r="DA645" s="69"/>
      <c r="DB645" s="69"/>
      <c r="DC645" s="69"/>
      <c r="DD645" s="69"/>
      <c r="DE645" s="69"/>
      <c r="DF645" s="69"/>
      <c r="DG645" s="69"/>
      <c r="DH645" s="69"/>
      <c r="DI645" s="69"/>
      <c r="DJ645" s="69"/>
      <c r="DK645" s="69"/>
      <c r="DL645" s="69"/>
      <c r="DM645" s="69"/>
      <c r="DN645" s="69"/>
      <c r="DO645" s="69"/>
      <c r="DP645" s="69"/>
    </row>
    <row r="646" spans="1:120" x14ac:dyDescent="0.2">
      <c r="A646" s="66"/>
      <c r="B646" s="31"/>
      <c r="C646" s="31"/>
      <c r="D646" s="31"/>
      <c r="E646" s="31"/>
      <c r="F646" s="31"/>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c r="BT646" s="69"/>
      <c r="BU646" s="69"/>
      <c r="BV646" s="69"/>
      <c r="BW646" s="69"/>
      <c r="BX646" s="69"/>
      <c r="BY646" s="69"/>
      <c r="BZ646" s="69"/>
      <c r="CA646" s="69"/>
      <c r="CB646" s="69"/>
      <c r="CC646" s="69"/>
      <c r="CD646" s="69"/>
      <c r="CE646" s="69"/>
      <c r="CF646" s="69"/>
      <c r="CG646" s="69"/>
      <c r="CH646" s="69"/>
      <c r="CI646" s="69"/>
      <c r="CJ646" s="69"/>
      <c r="CK646" s="69"/>
      <c r="CL646" s="69"/>
      <c r="CM646" s="69"/>
      <c r="CN646" s="69"/>
      <c r="CO646" s="69"/>
      <c r="CP646" s="69"/>
      <c r="CQ646" s="69"/>
      <c r="CR646" s="69"/>
      <c r="CS646" s="69"/>
      <c r="CT646" s="69"/>
      <c r="CU646" s="69"/>
      <c r="CV646" s="69"/>
      <c r="CW646" s="69"/>
      <c r="CX646" s="69"/>
      <c r="CY646" s="69"/>
      <c r="CZ646" s="69"/>
      <c r="DA646" s="69"/>
      <c r="DB646" s="69"/>
      <c r="DC646" s="69"/>
      <c r="DD646" s="69"/>
      <c r="DE646" s="69"/>
      <c r="DF646" s="69"/>
      <c r="DG646" s="69"/>
      <c r="DH646" s="69"/>
      <c r="DI646" s="69"/>
      <c r="DJ646" s="69"/>
      <c r="DK646" s="69"/>
      <c r="DL646" s="69"/>
      <c r="DM646" s="69"/>
      <c r="DN646" s="69"/>
      <c r="DO646" s="69"/>
      <c r="DP646" s="69"/>
    </row>
    <row r="647" spans="1:120" x14ac:dyDescent="0.2">
      <c r="A647" s="66"/>
      <c r="B647" s="31"/>
      <c r="C647" s="31"/>
      <c r="D647" s="31"/>
      <c r="E647" s="31"/>
      <c r="F647" s="31"/>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c r="BT647" s="69"/>
      <c r="BU647" s="69"/>
      <c r="BV647" s="69"/>
      <c r="BW647" s="69"/>
      <c r="BX647" s="69"/>
      <c r="BY647" s="69"/>
      <c r="BZ647" s="69"/>
      <c r="CA647" s="69"/>
      <c r="CB647" s="69"/>
      <c r="CC647" s="69"/>
      <c r="CD647" s="69"/>
      <c r="CE647" s="69"/>
      <c r="CF647" s="69"/>
      <c r="CG647" s="69"/>
      <c r="CH647" s="69"/>
      <c r="CI647" s="69"/>
      <c r="CJ647" s="69"/>
      <c r="CK647" s="69"/>
      <c r="CL647" s="69"/>
      <c r="CM647" s="69"/>
      <c r="CN647" s="69"/>
      <c r="CO647" s="69"/>
      <c r="CP647" s="69"/>
      <c r="CQ647" s="69"/>
      <c r="CR647" s="69"/>
      <c r="CS647" s="69"/>
      <c r="CT647" s="69"/>
      <c r="CU647" s="69"/>
      <c r="CV647" s="69"/>
      <c r="CW647" s="69"/>
      <c r="CX647" s="69"/>
      <c r="CY647" s="69"/>
      <c r="CZ647" s="69"/>
      <c r="DA647" s="69"/>
      <c r="DB647" s="69"/>
      <c r="DC647" s="69"/>
      <c r="DD647" s="69"/>
      <c r="DE647" s="69"/>
      <c r="DF647" s="69"/>
      <c r="DG647" s="69"/>
      <c r="DH647" s="69"/>
      <c r="DI647" s="69"/>
      <c r="DJ647" s="69"/>
      <c r="DK647" s="69"/>
      <c r="DL647" s="69"/>
      <c r="DM647" s="69"/>
      <c r="DN647" s="69"/>
      <c r="DO647" s="69"/>
      <c r="DP647" s="69"/>
    </row>
    <row r="648" spans="1:120" x14ac:dyDescent="0.2">
      <c r="A648" s="66"/>
      <c r="B648" s="31"/>
      <c r="C648" s="31"/>
      <c r="D648" s="31"/>
      <c r="E648" s="31"/>
      <c r="F648" s="31"/>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c r="BT648" s="69"/>
      <c r="BU648" s="69"/>
      <c r="BV648" s="69"/>
      <c r="BW648" s="69"/>
      <c r="BX648" s="69"/>
      <c r="BY648" s="69"/>
      <c r="BZ648" s="69"/>
      <c r="CA648" s="69"/>
      <c r="CB648" s="69"/>
      <c r="CC648" s="69"/>
      <c r="CD648" s="69"/>
      <c r="CE648" s="69"/>
      <c r="CF648" s="69"/>
      <c r="CG648" s="69"/>
      <c r="CH648" s="69"/>
      <c r="CI648" s="69"/>
      <c r="CJ648" s="69"/>
      <c r="CK648" s="69"/>
      <c r="CL648" s="69"/>
      <c r="CM648" s="69"/>
      <c r="CN648" s="69"/>
      <c r="CO648" s="69"/>
      <c r="CP648" s="69"/>
      <c r="CQ648" s="69"/>
      <c r="CR648" s="69"/>
      <c r="CS648" s="69"/>
      <c r="CT648" s="69"/>
      <c r="CU648" s="69"/>
      <c r="CV648" s="69"/>
      <c r="CW648" s="69"/>
      <c r="CX648" s="69"/>
      <c r="CY648" s="69"/>
      <c r="CZ648" s="69"/>
      <c r="DA648" s="69"/>
      <c r="DB648" s="69"/>
      <c r="DC648" s="69"/>
      <c r="DD648" s="69"/>
      <c r="DE648" s="69"/>
      <c r="DF648" s="69"/>
      <c r="DG648" s="69"/>
      <c r="DH648" s="69"/>
      <c r="DI648" s="69"/>
      <c r="DJ648" s="69"/>
      <c r="DK648" s="69"/>
      <c r="DL648" s="69"/>
      <c r="DM648" s="69"/>
      <c r="DN648" s="69"/>
      <c r="DO648" s="69"/>
      <c r="DP648" s="69"/>
    </row>
    <row r="649" spans="1:120" x14ac:dyDescent="0.2">
      <c r="A649" s="66"/>
      <c r="B649" s="31"/>
      <c r="C649" s="31"/>
      <c r="D649" s="31"/>
      <c r="E649" s="31"/>
      <c r="F649" s="31"/>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c r="BT649" s="69"/>
      <c r="BU649" s="69"/>
      <c r="BV649" s="69"/>
      <c r="BW649" s="69"/>
      <c r="BX649" s="69"/>
      <c r="BY649" s="69"/>
      <c r="BZ649" s="69"/>
      <c r="CA649" s="69"/>
      <c r="CB649" s="69"/>
      <c r="CC649" s="69"/>
      <c r="CD649" s="69"/>
      <c r="CE649" s="69"/>
      <c r="CF649" s="69"/>
      <c r="CG649" s="69"/>
      <c r="CH649" s="69"/>
      <c r="CI649" s="69"/>
      <c r="CJ649" s="69"/>
      <c r="CK649" s="69"/>
      <c r="CL649" s="69"/>
      <c r="CM649" s="69"/>
      <c r="CN649" s="69"/>
      <c r="CO649" s="69"/>
      <c r="CP649" s="69"/>
      <c r="CQ649" s="69"/>
      <c r="CR649" s="69"/>
      <c r="CS649" s="69"/>
      <c r="CT649" s="69"/>
      <c r="CU649" s="69"/>
      <c r="CV649" s="69"/>
      <c r="CW649" s="69"/>
      <c r="CX649" s="69"/>
      <c r="CY649" s="69"/>
      <c r="CZ649" s="69"/>
      <c r="DA649" s="69"/>
      <c r="DB649" s="69"/>
      <c r="DC649" s="69"/>
      <c r="DD649" s="69"/>
      <c r="DE649" s="69"/>
      <c r="DF649" s="69"/>
      <c r="DG649" s="69"/>
      <c r="DH649" s="69"/>
      <c r="DI649" s="69"/>
      <c r="DJ649" s="69"/>
      <c r="DK649" s="69"/>
      <c r="DL649" s="69"/>
      <c r="DM649" s="69"/>
      <c r="DN649" s="69"/>
      <c r="DO649" s="69"/>
      <c r="DP649" s="69"/>
    </row>
    <row r="650" spans="1:120" x14ac:dyDescent="0.2">
      <c r="A650" s="66"/>
      <c r="B650" s="31"/>
      <c r="C650" s="31"/>
      <c r="D650" s="31"/>
      <c r="E650" s="31"/>
      <c r="F650" s="31"/>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c r="BT650" s="69"/>
      <c r="BU650" s="69"/>
      <c r="BV650" s="69"/>
      <c r="BW650" s="69"/>
      <c r="BX650" s="69"/>
      <c r="BY650" s="69"/>
      <c r="BZ650" s="69"/>
      <c r="CA650" s="69"/>
      <c r="CB650" s="69"/>
      <c r="CC650" s="69"/>
      <c r="CD650" s="69"/>
      <c r="CE650" s="69"/>
      <c r="CF650" s="69"/>
      <c r="CG650" s="69"/>
      <c r="CH650" s="69"/>
      <c r="CI650" s="69"/>
      <c r="CJ650" s="69"/>
      <c r="CK650" s="69"/>
      <c r="CL650" s="69"/>
      <c r="CM650" s="69"/>
      <c r="CN650" s="69"/>
      <c r="CO650" s="69"/>
      <c r="CP650" s="69"/>
      <c r="CQ650" s="69"/>
      <c r="CR650" s="69"/>
      <c r="CS650" s="69"/>
      <c r="CT650" s="69"/>
      <c r="CU650" s="69"/>
      <c r="CV650" s="69"/>
      <c r="CW650" s="69"/>
      <c r="CX650" s="69"/>
      <c r="CY650" s="69"/>
      <c r="CZ650" s="69"/>
      <c r="DA650" s="69"/>
      <c r="DB650" s="69"/>
      <c r="DC650" s="69"/>
      <c r="DD650" s="69"/>
      <c r="DE650" s="69"/>
      <c r="DF650" s="69"/>
      <c r="DG650" s="69"/>
      <c r="DH650" s="69"/>
      <c r="DI650" s="69"/>
      <c r="DJ650" s="69"/>
      <c r="DK650" s="69"/>
      <c r="DL650" s="69"/>
      <c r="DM650" s="69"/>
      <c r="DN650" s="69"/>
      <c r="DO650" s="69"/>
      <c r="DP650" s="69"/>
    </row>
    <row r="651" spans="1:120" x14ac:dyDescent="0.2">
      <c r="A651" s="66"/>
      <c r="B651" s="31"/>
      <c r="C651" s="31"/>
      <c r="D651" s="31"/>
      <c r="E651" s="31"/>
      <c r="F651" s="31"/>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c r="BT651" s="69"/>
      <c r="BU651" s="69"/>
      <c r="BV651" s="69"/>
      <c r="BW651" s="69"/>
      <c r="BX651" s="69"/>
      <c r="BY651" s="69"/>
      <c r="BZ651" s="69"/>
      <c r="CA651" s="69"/>
      <c r="CB651" s="69"/>
      <c r="CC651" s="69"/>
      <c r="CD651" s="69"/>
      <c r="CE651" s="69"/>
      <c r="CF651" s="69"/>
      <c r="CG651" s="69"/>
      <c r="CH651" s="69"/>
      <c r="CI651" s="69"/>
      <c r="CJ651" s="69"/>
      <c r="CK651" s="69"/>
      <c r="CL651" s="69"/>
      <c r="CM651" s="69"/>
      <c r="CN651" s="69"/>
      <c r="CO651" s="69"/>
      <c r="CP651" s="69"/>
      <c r="CQ651" s="69"/>
      <c r="CR651" s="69"/>
      <c r="CS651" s="69"/>
      <c r="CT651" s="69"/>
      <c r="CU651" s="69"/>
      <c r="CV651" s="69"/>
      <c r="CW651" s="69"/>
      <c r="CX651" s="69"/>
      <c r="CY651" s="69"/>
      <c r="CZ651" s="69"/>
      <c r="DA651" s="69"/>
      <c r="DB651" s="69"/>
      <c r="DC651" s="69"/>
      <c r="DD651" s="69"/>
      <c r="DE651" s="69"/>
      <c r="DF651" s="69"/>
      <c r="DG651" s="69"/>
      <c r="DH651" s="69"/>
      <c r="DI651" s="69"/>
      <c r="DJ651" s="69"/>
      <c r="DK651" s="69"/>
      <c r="DL651" s="69"/>
      <c r="DM651" s="69"/>
      <c r="DN651" s="69"/>
      <c r="DO651" s="69"/>
      <c r="DP651" s="69"/>
    </row>
    <row r="652" spans="1:120" x14ac:dyDescent="0.2">
      <c r="A652" s="66"/>
      <c r="B652" s="31"/>
      <c r="C652" s="31"/>
      <c r="D652" s="31"/>
      <c r="E652" s="31"/>
      <c r="F652" s="31"/>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c r="BT652" s="69"/>
      <c r="BU652" s="69"/>
      <c r="BV652" s="69"/>
      <c r="BW652" s="69"/>
      <c r="BX652" s="69"/>
      <c r="BY652" s="69"/>
      <c r="BZ652" s="69"/>
      <c r="CA652" s="69"/>
      <c r="CB652" s="69"/>
      <c r="CC652" s="69"/>
      <c r="CD652" s="69"/>
      <c r="CE652" s="69"/>
      <c r="CF652" s="69"/>
      <c r="CG652" s="69"/>
      <c r="CH652" s="69"/>
      <c r="CI652" s="69"/>
      <c r="CJ652" s="69"/>
      <c r="CK652" s="69"/>
      <c r="CL652" s="69"/>
      <c r="CM652" s="69"/>
      <c r="CN652" s="69"/>
      <c r="CO652" s="69"/>
      <c r="CP652" s="69"/>
      <c r="CQ652" s="69"/>
      <c r="CR652" s="69"/>
      <c r="CS652" s="69"/>
      <c r="CT652" s="69"/>
      <c r="CU652" s="69"/>
      <c r="CV652" s="69"/>
      <c r="CW652" s="69"/>
      <c r="CX652" s="69"/>
      <c r="CY652" s="69"/>
      <c r="CZ652" s="69"/>
      <c r="DA652" s="69"/>
      <c r="DB652" s="69"/>
      <c r="DC652" s="69"/>
      <c r="DD652" s="69"/>
      <c r="DE652" s="69"/>
      <c r="DF652" s="69"/>
      <c r="DG652" s="69"/>
      <c r="DH652" s="69"/>
      <c r="DI652" s="69"/>
      <c r="DJ652" s="69"/>
      <c r="DK652" s="69"/>
      <c r="DL652" s="69"/>
      <c r="DM652" s="69"/>
      <c r="DN652" s="69"/>
      <c r="DO652" s="69"/>
      <c r="DP652" s="69"/>
    </row>
    <row r="653" spans="1:120" x14ac:dyDescent="0.2">
      <c r="A653" s="66"/>
      <c r="B653" s="31"/>
      <c r="C653" s="31"/>
      <c r="D653" s="31"/>
      <c r="E653" s="31"/>
      <c r="F653" s="31"/>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c r="AW653" s="69"/>
      <c r="AX653" s="69"/>
      <c r="AY653" s="69"/>
      <c r="AZ653" s="69"/>
      <c r="BA653" s="69"/>
      <c r="BB653" s="69"/>
      <c r="BC653" s="69"/>
      <c r="BD653" s="69"/>
      <c r="BE653" s="69"/>
      <c r="BF653" s="69"/>
      <c r="BG653" s="69"/>
      <c r="BH653" s="69"/>
      <c r="BI653" s="69"/>
      <c r="BJ653" s="69"/>
      <c r="BK653" s="69"/>
      <c r="BL653" s="69"/>
      <c r="BM653" s="69"/>
      <c r="BN653" s="69"/>
      <c r="BO653" s="69"/>
      <c r="BP653" s="69"/>
      <c r="BQ653" s="69"/>
      <c r="BR653" s="69"/>
      <c r="BS653" s="69"/>
      <c r="BT653" s="69"/>
      <c r="BU653" s="69"/>
      <c r="BV653" s="69"/>
      <c r="BW653" s="69"/>
      <c r="BX653" s="69"/>
      <c r="BY653" s="69"/>
      <c r="BZ653" s="69"/>
      <c r="CA653" s="69"/>
      <c r="CB653" s="69"/>
      <c r="CC653" s="69"/>
      <c r="CD653" s="69"/>
      <c r="CE653" s="69"/>
      <c r="CF653" s="69"/>
      <c r="CG653" s="69"/>
      <c r="CH653" s="69"/>
      <c r="CI653" s="69"/>
      <c r="CJ653" s="69"/>
      <c r="CK653" s="69"/>
      <c r="CL653" s="69"/>
      <c r="CM653" s="69"/>
      <c r="CN653" s="69"/>
      <c r="CO653" s="69"/>
      <c r="CP653" s="69"/>
      <c r="CQ653" s="69"/>
      <c r="CR653" s="69"/>
      <c r="CS653" s="69"/>
      <c r="CT653" s="69"/>
      <c r="CU653" s="69"/>
      <c r="CV653" s="69"/>
      <c r="CW653" s="69"/>
      <c r="CX653" s="69"/>
      <c r="CY653" s="69"/>
      <c r="CZ653" s="69"/>
      <c r="DA653" s="69"/>
      <c r="DB653" s="69"/>
      <c r="DC653" s="69"/>
      <c r="DD653" s="69"/>
      <c r="DE653" s="69"/>
      <c r="DF653" s="69"/>
      <c r="DG653" s="69"/>
      <c r="DH653" s="69"/>
      <c r="DI653" s="69"/>
      <c r="DJ653" s="69"/>
      <c r="DK653" s="69"/>
      <c r="DL653" s="69"/>
      <c r="DM653" s="69"/>
      <c r="DN653" s="69"/>
      <c r="DO653" s="69"/>
      <c r="DP653" s="69"/>
    </row>
    <row r="654" spans="1:120" x14ac:dyDescent="0.2">
      <c r="A654" s="66"/>
      <c r="B654" s="31"/>
      <c r="C654" s="31"/>
      <c r="D654" s="31"/>
      <c r="E654" s="31"/>
      <c r="F654" s="31"/>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c r="AW654" s="69"/>
      <c r="AX654" s="69"/>
      <c r="AY654" s="69"/>
      <c r="AZ654" s="69"/>
      <c r="BA654" s="69"/>
      <c r="BB654" s="69"/>
      <c r="BC654" s="69"/>
      <c r="BD654" s="69"/>
      <c r="BE654" s="69"/>
      <c r="BF654" s="69"/>
      <c r="BG654" s="69"/>
      <c r="BH654" s="69"/>
      <c r="BI654" s="69"/>
      <c r="BJ654" s="69"/>
      <c r="BK654" s="69"/>
      <c r="BL654" s="69"/>
      <c r="BM654" s="69"/>
      <c r="BN654" s="69"/>
      <c r="BO654" s="69"/>
      <c r="BP654" s="69"/>
      <c r="BQ654" s="69"/>
      <c r="BR654" s="69"/>
      <c r="BS654" s="69"/>
      <c r="BT654" s="69"/>
      <c r="BU654" s="69"/>
      <c r="BV654" s="69"/>
      <c r="BW654" s="69"/>
      <c r="BX654" s="69"/>
      <c r="BY654" s="69"/>
      <c r="BZ654" s="69"/>
      <c r="CA654" s="69"/>
      <c r="CB654" s="69"/>
      <c r="CC654" s="69"/>
      <c r="CD654" s="69"/>
      <c r="CE654" s="69"/>
      <c r="CF654" s="69"/>
      <c r="CG654" s="69"/>
      <c r="CH654" s="69"/>
      <c r="CI654" s="69"/>
      <c r="CJ654" s="69"/>
      <c r="CK654" s="69"/>
      <c r="CL654" s="69"/>
      <c r="CM654" s="69"/>
      <c r="CN654" s="69"/>
      <c r="CO654" s="69"/>
      <c r="CP654" s="69"/>
      <c r="CQ654" s="69"/>
      <c r="CR654" s="69"/>
      <c r="CS654" s="69"/>
      <c r="CT654" s="69"/>
      <c r="CU654" s="69"/>
      <c r="CV654" s="69"/>
      <c r="CW654" s="69"/>
      <c r="CX654" s="69"/>
      <c r="CY654" s="69"/>
      <c r="CZ654" s="69"/>
      <c r="DA654" s="69"/>
      <c r="DB654" s="69"/>
      <c r="DC654" s="69"/>
      <c r="DD654" s="69"/>
      <c r="DE654" s="69"/>
      <c r="DF654" s="69"/>
      <c r="DG654" s="69"/>
      <c r="DH654" s="69"/>
      <c r="DI654" s="69"/>
      <c r="DJ654" s="69"/>
      <c r="DK654" s="69"/>
      <c r="DL654" s="69"/>
      <c r="DM654" s="69"/>
      <c r="DN654" s="69"/>
      <c r="DO654" s="69"/>
      <c r="DP654" s="69"/>
    </row>
    <row r="655" spans="1:120" x14ac:dyDescent="0.2">
      <c r="A655" s="66"/>
      <c r="B655" s="31"/>
      <c r="C655" s="31"/>
      <c r="D655" s="31"/>
      <c r="E655" s="31"/>
      <c r="F655" s="31"/>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c r="BT655" s="69"/>
      <c r="BU655" s="69"/>
      <c r="BV655" s="69"/>
      <c r="BW655" s="69"/>
      <c r="BX655" s="69"/>
      <c r="BY655" s="69"/>
      <c r="BZ655" s="69"/>
      <c r="CA655" s="69"/>
      <c r="CB655" s="69"/>
      <c r="CC655" s="69"/>
      <c r="CD655" s="69"/>
      <c r="CE655" s="69"/>
      <c r="CF655" s="69"/>
      <c r="CG655" s="69"/>
      <c r="CH655" s="69"/>
      <c r="CI655" s="69"/>
      <c r="CJ655" s="69"/>
      <c r="CK655" s="69"/>
      <c r="CL655" s="69"/>
      <c r="CM655" s="69"/>
      <c r="CN655" s="69"/>
      <c r="CO655" s="69"/>
      <c r="CP655" s="69"/>
      <c r="CQ655" s="69"/>
      <c r="CR655" s="69"/>
      <c r="CS655" s="69"/>
      <c r="CT655" s="69"/>
      <c r="CU655" s="69"/>
      <c r="CV655" s="69"/>
      <c r="CW655" s="69"/>
      <c r="CX655" s="69"/>
      <c r="CY655" s="69"/>
      <c r="CZ655" s="69"/>
      <c r="DA655" s="69"/>
      <c r="DB655" s="69"/>
      <c r="DC655" s="69"/>
      <c r="DD655" s="69"/>
      <c r="DE655" s="69"/>
      <c r="DF655" s="69"/>
      <c r="DG655" s="69"/>
      <c r="DH655" s="69"/>
      <c r="DI655" s="69"/>
      <c r="DJ655" s="69"/>
      <c r="DK655" s="69"/>
      <c r="DL655" s="69"/>
      <c r="DM655" s="69"/>
      <c r="DN655" s="69"/>
      <c r="DO655" s="69"/>
      <c r="DP655" s="69"/>
    </row>
    <row r="656" spans="1:120" x14ac:dyDescent="0.2">
      <c r="A656" s="66"/>
      <c r="B656" s="31"/>
      <c r="C656" s="31"/>
      <c r="D656" s="31"/>
      <c r="E656" s="31"/>
      <c r="F656" s="31"/>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c r="BT656" s="69"/>
      <c r="BU656" s="69"/>
      <c r="BV656" s="69"/>
      <c r="BW656" s="69"/>
      <c r="BX656" s="69"/>
      <c r="BY656" s="69"/>
      <c r="BZ656" s="69"/>
      <c r="CA656" s="69"/>
      <c r="CB656" s="69"/>
      <c r="CC656" s="69"/>
      <c r="CD656" s="69"/>
      <c r="CE656" s="69"/>
      <c r="CF656" s="69"/>
      <c r="CG656" s="69"/>
      <c r="CH656" s="69"/>
      <c r="CI656" s="69"/>
      <c r="CJ656" s="69"/>
      <c r="CK656" s="69"/>
      <c r="CL656" s="69"/>
      <c r="CM656" s="69"/>
      <c r="CN656" s="69"/>
      <c r="CO656" s="69"/>
      <c r="CP656" s="69"/>
      <c r="CQ656" s="69"/>
      <c r="CR656" s="69"/>
      <c r="CS656" s="69"/>
      <c r="CT656" s="69"/>
      <c r="CU656" s="69"/>
      <c r="CV656" s="69"/>
      <c r="CW656" s="69"/>
      <c r="CX656" s="69"/>
      <c r="CY656" s="69"/>
      <c r="CZ656" s="69"/>
      <c r="DA656" s="69"/>
      <c r="DB656" s="69"/>
      <c r="DC656" s="69"/>
      <c r="DD656" s="69"/>
      <c r="DE656" s="69"/>
      <c r="DF656" s="69"/>
      <c r="DG656" s="69"/>
      <c r="DH656" s="69"/>
      <c r="DI656" s="69"/>
      <c r="DJ656" s="69"/>
      <c r="DK656" s="69"/>
      <c r="DL656" s="69"/>
      <c r="DM656" s="69"/>
      <c r="DN656" s="69"/>
      <c r="DO656" s="69"/>
      <c r="DP656" s="69"/>
    </row>
    <row r="657" spans="1:120" x14ac:dyDescent="0.2">
      <c r="A657" s="66"/>
      <c r="B657" s="31"/>
      <c r="C657" s="31"/>
      <c r="D657" s="31"/>
      <c r="E657" s="31"/>
      <c r="F657" s="31"/>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c r="AW657" s="69"/>
      <c r="AX657" s="69"/>
      <c r="AY657" s="69"/>
      <c r="AZ657" s="69"/>
      <c r="BA657" s="69"/>
      <c r="BB657" s="69"/>
      <c r="BC657" s="69"/>
      <c r="BD657" s="69"/>
      <c r="BE657" s="69"/>
      <c r="BF657" s="69"/>
      <c r="BG657" s="69"/>
      <c r="BH657" s="69"/>
      <c r="BI657" s="69"/>
      <c r="BJ657" s="69"/>
      <c r="BK657" s="69"/>
      <c r="BL657" s="69"/>
      <c r="BM657" s="69"/>
      <c r="BN657" s="69"/>
      <c r="BO657" s="69"/>
      <c r="BP657" s="69"/>
      <c r="BQ657" s="69"/>
      <c r="BR657" s="69"/>
      <c r="BS657" s="69"/>
      <c r="BT657" s="69"/>
      <c r="BU657" s="69"/>
      <c r="BV657" s="69"/>
      <c r="BW657" s="69"/>
      <c r="BX657" s="69"/>
      <c r="BY657" s="69"/>
      <c r="BZ657" s="69"/>
      <c r="CA657" s="69"/>
      <c r="CB657" s="69"/>
      <c r="CC657" s="69"/>
      <c r="CD657" s="69"/>
      <c r="CE657" s="69"/>
      <c r="CF657" s="69"/>
      <c r="CG657" s="69"/>
      <c r="CH657" s="69"/>
      <c r="CI657" s="69"/>
      <c r="CJ657" s="69"/>
      <c r="CK657" s="69"/>
      <c r="CL657" s="69"/>
      <c r="CM657" s="69"/>
      <c r="CN657" s="69"/>
      <c r="CO657" s="69"/>
      <c r="CP657" s="69"/>
      <c r="CQ657" s="69"/>
      <c r="CR657" s="69"/>
      <c r="CS657" s="69"/>
      <c r="CT657" s="69"/>
      <c r="CU657" s="69"/>
      <c r="CV657" s="69"/>
      <c r="CW657" s="69"/>
      <c r="CX657" s="69"/>
      <c r="CY657" s="69"/>
      <c r="CZ657" s="69"/>
      <c r="DA657" s="69"/>
      <c r="DB657" s="69"/>
      <c r="DC657" s="69"/>
      <c r="DD657" s="69"/>
      <c r="DE657" s="69"/>
      <c r="DF657" s="69"/>
      <c r="DG657" s="69"/>
      <c r="DH657" s="69"/>
      <c r="DI657" s="69"/>
      <c r="DJ657" s="69"/>
      <c r="DK657" s="69"/>
      <c r="DL657" s="69"/>
      <c r="DM657" s="69"/>
      <c r="DN657" s="69"/>
      <c r="DO657" s="69"/>
      <c r="DP657" s="69"/>
    </row>
    <row r="658" spans="1:120" x14ac:dyDescent="0.2">
      <c r="A658" s="66"/>
      <c r="B658" s="31"/>
      <c r="C658" s="31"/>
      <c r="D658" s="31"/>
      <c r="E658" s="31"/>
      <c r="F658" s="31"/>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c r="AW658" s="69"/>
      <c r="AX658" s="69"/>
      <c r="AY658" s="69"/>
      <c r="AZ658" s="69"/>
      <c r="BA658" s="69"/>
      <c r="BB658" s="69"/>
      <c r="BC658" s="69"/>
      <c r="BD658" s="69"/>
      <c r="BE658" s="69"/>
      <c r="BF658" s="69"/>
      <c r="BG658" s="69"/>
      <c r="BH658" s="69"/>
      <c r="BI658" s="69"/>
      <c r="BJ658" s="69"/>
      <c r="BK658" s="69"/>
      <c r="BL658" s="69"/>
      <c r="BM658" s="69"/>
      <c r="BN658" s="69"/>
      <c r="BO658" s="69"/>
      <c r="BP658" s="69"/>
      <c r="BQ658" s="69"/>
      <c r="BR658" s="69"/>
      <c r="BS658" s="69"/>
      <c r="BT658" s="69"/>
      <c r="BU658" s="69"/>
      <c r="BV658" s="69"/>
      <c r="BW658" s="69"/>
      <c r="BX658" s="69"/>
      <c r="BY658" s="69"/>
      <c r="BZ658" s="69"/>
      <c r="CA658" s="69"/>
      <c r="CB658" s="69"/>
      <c r="CC658" s="69"/>
      <c r="CD658" s="69"/>
      <c r="CE658" s="69"/>
      <c r="CF658" s="69"/>
      <c r="CG658" s="69"/>
      <c r="CH658" s="69"/>
      <c r="CI658" s="69"/>
      <c r="CJ658" s="69"/>
      <c r="CK658" s="69"/>
      <c r="CL658" s="69"/>
      <c r="CM658" s="69"/>
      <c r="CN658" s="69"/>
      <c r="CO658" s="69"/>
      <c r="CP658" s="69"/>
      <c r="CQ658" s="69"/>
      <c r="CR658" s="69"/>
      <c r="CS658" s="69"/>
      <c r="CT658" s="69"/>
      <c r="CU658" s="69"/>
      <c r="CV658" s="69"/>
      <c r="CW658" s="69"/>
      <c r="CX658" s="69"/>
      <c r="CY658" s="69"/>
      <c r="CZ658" s="69"/>
      <c r="DA658" s="69"/>
      <c r="DB658" s="69"/>
      <c r="DC658" s="69"/>
      <c r="DD658" s="69"/>
      <c r="DE658" s="69"/>
      <c r="DF658" s="69"/>
      <c r="DG658" s="69"/>
      <c r="DH658" s="69"/>
      <c r="DI658" s="69"/>
      <c r="DJ658" s="69"/>
      <c r="DK658" s="69"/>
      <c r="DL658" s="69"/>
      <c r="DM658" s="69"/>
      <c r="DN658" s="69"/>
      <c r="DO658" s="69"/>
      <c r="DP658" s="69"/>
    </row>
    <row r="659" spans="1:120" x14ac:dyDescent="0.2">
      <c r="A659" s="66"/>
      <c r="B659" s="31"/>
      <c r="C659" s="31"/>
      <c r="D659" s="31"/>
      <c r="E659" s="31"/>
      <c r="F659" s="31"/>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c r="BT659" s="69"/>
      <c r="BU659" s="69"/>
      <c r="BV659" s="69"/>
      <c r="BW659" s="69"/>
      <c r="BX659" s="69"/>
      <c r="BY659" s="69"/>
      <c r="BZ659" s="69"/>
      <c r="CA659" s="69"/>
      <c r="CB659" s="69"/>
      <c r="CC659" s="69"/>
      <c r="CD659" s="69"/>
      <c r="CE659" s="69"/>
      <c r="CF659" s="69"/>
      <c r="CG659" s="69"/>
      <c r="CH659" s="69"/>
      <c r="CI659" s="69"/>
      <c r="CJ659" s="69"/>
      <c r="CK659" s="69"/>
      <c r="CL659" s="69"/>
      <c r="CM659" s="69"/>
      <c r="CN659" s="69"/>
      <c r="CO659" s="69"/>
      <c r="CP659" s="69"/>
      <c r="CQ659" s="69"/>
      <c r="CR659" s="69"/>
      <c r="CS659" s="69"/>
      <c r="CT659" s="69"/>
      <c r="CU659" s="69"/>
      <c r="CV659" s="69"/>
      <c r="CW659" s="69"/>
      <c r="CX659" s="69"/>
      <c r="CY659" s="69"/>
      <c r="CZ659" s="69"/>
      <c r="DA659" s="69"/>
      <c r="DB659" s="69"/>
      <c r="DC659" s="69"/>
      <c r="DD659" s="69"/>
      <c r="DE659" s="69"/>
      <c r="DF659" s="69"/>
      <c r="DG659" s="69"/>
      <c r="DH659" s="69"/>
      <c r="DI659" s="69"/>
      <c r="DJ659" s="69"/>
      <c r="DK659" s="69"/>
      <c r="DL659" s="69"/>
      <c r="DM659" s="69"/>
      <c r="DN659" s="69"/>
      <c r="DO659" s="69"/>
      <c r="DP659" s="69"/>
    </row>
    <row r="660" spans="1:120" x14ac:dyDescent="0.2">
      <c r="A660" s="66"/>
      <c r="B660" s="31"/>
      <c r="C660" s="31"/>
      <c r="D660" s="31"/>
      <c r="E660" s="31"/>
      <c r="F660" s="31"/>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c r="BT660" s="69"/>
      <c r="BU660" s="69"/>
      <c r="BV660" s="69"/>
      <c r="BW660" s="69"/>
      <c r="BX660" s="69"/>
      <c r="BY660" s="69"/>
      <c r="BZ660" s="69"/>
      <c r="CA660" s="69"/>
      <c r="CB660" s="69"/>
      <c r="CC660" s="69"/>
      <c r="CD660" s="69"/>
      <c r="CE660" s="69"/>
      <c r="CF660" s="69"/>
      <c r="CG660" s="69"/>
      <c r="CH660" s="69"/>
      <c r="CI660" s="69"/>
      <c r="CJ660" s="69"/>
      <c r="CK660" s="69"/>
      <c r="CL660" s="69"/>
      <c r="CM660" s="69"/>
      <c r="CN660" s="69"/>
      <c r="CO660" s="69"/>
      <c r="CP660" s="69"/>
      <c r="CQ660" s="69"/>
      <c r="CR660" s="69"/>
      <c r="CS660" s="69"/>
      <c r="CT660" s="69"/>
      <c r="CU660" s="69"/>
      <c r="CV660" s="69"/>
      <c r="CW660" s="69"/>
      <c r="CX660" s="69"/>
      <c r="CY660" s="69"/>
      <c r="CZ660" s="69"/>
      <c r="DA660" s="69"/>
      <c r="DB660" s="69"/>
      <c r="DC660" s="69"/>
      <c r="DD660" s="69"/>
      <c r="DE660" s="69"/>
      <c r="DF660" s="69"/>
      <c r="DG660" s="69"/>
      <c r="DH660" s="69"/>
      <c r="DI660" s="69"/>
      <c r="DJ660" s="69"/>
      <c r="DK660" s="69"/>
      <c r="DL660" s="69"/>
      <c r="DM660" s="69"/>
      <c r="DN660" s="69"/>
      <c r="DO660" s="69"/>
      <c r="DP660" s="69"/>
    </row>
    <row r="661" spans="1:120" x14ac:dyDescent="0.2">
      <c r="A661" s="66"/>
      <c r="B661" s="31"/>
      <c r="C661" s="31"/>
      <c r="D661" s="31"/>
      <c r="E661" s="31"/>
      <c r="F661" s="31"/>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c r="AW661" s="69"/>
      <c r="AX661" s="69"/>
      <c r="AY661" s="69"/>
      <c r="AZ661" s="69"/>
      <c r="BA661" s="69"/>
      <c r="BB661" s="69"/>
      <c r="BC661" s="69"/>
      <c r="BD661" s="69"/>
      <c r="BE661" s="69"/>
      <c r="BF661" s="69"/>
      <c r="BG661" s="69"/>
      <c r="BH661" s="69"/>
      <c r="BI661" s="69"/>
      <c r="BJ661" s="69"/>
      <c r="BK661" s="69"/>
      <c r="BL661" s="69"/>
      <c r="BM661" s="69"/>
      <c r="BN661" s="69"/>
      <c r="BO661" s="69"/>
      <c r="BP661" s="69"/>
      <c r="BQ661" s="69"/>
      <c r="BR661" s="69"/>
      <c r="BS661" s="69"/>
      <c r="BT661" s="69"/>
      <c r="BU661" s="69"/>
      <c r="BV661" s="69"/>
      <c r="BW661" s="69"/>
      <c r="BX661" s="69"/>
      <c r="BY661" s="69"/>
      <c r="BZ661" s="69"/>
      <c r="CA661" s="69"/>
      <c r="CB661" s="69"/>
      <c r="CC661" s="69"/>
      <c r="CD661" s="69"/>
      <c r="CE661" s="69"/>
      <c r="CF661" s="69"/>
      <c r="CG661" s="69"/>
      <c r="CH661" s="69"/>
      <c r="CI661" s="69"/>
      <c r="CJ661" s="69"/>
      <c r="CK661" s="69"/>
      <c r="CL661" s="69"/>
      <c r="CM661" s="69"/>
      <c r="CN661" s="69"/>
      <c r="CO661" s="69"/>
      <c r="CP661" s="69"/>
      <c r="CQ661" s="69"/>
      <c r="CR661" s="69"/>
      <c r="CS661" s="69"/>
      <c r="CT661" s="69"/>
      <c r="CU661" s="69"/>
      <c r="CV661" s="69"/>
      <c r="CW661" s="69"/>
      <c r="CX661" s="69"/>
      <c r="CY661" s="69"/>
      <c r="CZ661" s="69"/>
      <c r="DA661" s="69"/>
      <c r="DB661" s="69"/>
      <c r="DC661" s="69"/>
      <c r="DD661" s="69"/>
      <c r="DE661" s="69"/>
      <c r="DF661" s="69"/>
      <c r="DG661" s="69"/>
      <c r="DH661" s="69"/>
      <c r="DI661" s="69"/>
      <c r="DJ661" s="69"/>
      <c r="DK661" s="69"/>
      <c r="DL661" s="69"/>
      <c r="DM661" s="69"/>
      <c r="DN661" s="69"/>
      <c r="DO661" s="69"/>
      <c r="DP661" s="69"/>
    </row>
    <row r="662" spans="1:120" x14ac:dyDescent="0.2">
      <c r="A662" s="66"/>
      <c r="B662" s="31"/>
      <c r="C662" s="31"/>
      <c r="D662" s="31"/>
      <c r="E662" s="31"/>
      <c r="F662" s="31"/>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c r="AW662" s="69"/>
      <c r="AX662" s="69"/>
      <c r="AY662" s="69"/>
      <c r="AZ662" s="69"/>
      <c r="BA662" s="69"/>
      <c r="BB662" s="69"/>
      <c r="BC662" s="69"/>
      <c r="BD662" s="69"/>
      <c r="BE662" s="69"/>
      <c r="BF662" s="69"/>
      <c r="BG662" s="69"/>
      <c r="BH662" s="69"/>
      <c r="BI662" s="69"/>
      <c r="BJ662" s="69"/>
      <c r="BK662" s="69"/>
      <c r="BL662" s="69"/>
      <c r="BM662" s="69"/>
      <c r="BN662" s="69"/>
      <c r="BO662" s="69"/>
      <c r="BP662" s="69"/>
      <c r="BQ662" s="69"/>
      <c r="BR662" s="69"/>
      <c r="BS662" s="69"/>
      <c r="BT662" s="69"/>
      <c r="BU662" s="69"/>
      <c r="BV662" s="69"/>
      <c r="BW662" s="69"/>
      <c r="BX662" s="69"/>
      <c r="BY662" s="69"/>
      <c r="BZ662" s="69"/>
      <c r="CA662" s="69"/>
      <c r="CB662" s="69"/>
      <c r="CC662" s="69"/>
      <c r="CD662" s="69"/>
      <c r="CE662" s="69"/>
      <c r="CF662" s="69"/>
      <c r="CG662" s="69"/>
      <c r="CH662" s="69"/>
      <c r="CI662" s="69"/>
      <c r="CJ662" s="69"/>
      <c r="CK662" s="69"/>
      <c r="CL662" s="69"/>
      <c r="CM662" s="69"/>
      <c r="CN662" s="69"/>
      <c r="CO662" s="69"/>
      <c r="CP662" s="69"/>
      <c r="CQ662" s="69"/>
      <c r="CR662" s="69"/>
      <c r="CS662" s="69"/>
      <c r="CT662" s="69"/>
      <c r="CU662" s="69"/>
      <c r="CV662" s="69"/>
      <c r="CW662" s="69"/>
      <c r="CX662" s="69"/>
      <c r="CY662" s="69"/>
      <c r="CZ662" s="69"/>
      <c r="DA662" s="69"/>
      <c r="DB662" s="69"/>
      <c r="DC662" s="69"/>
      <c r="DD662" s="69"/>
      <c r="DE662" s="69"/>
      <c r="DF662" s="69"/>
      <c r="DG662" s="69"/>
      <c r="DH662" s="69"/>
      <c r="DI662" s="69"/>
      <c r="DJ662" s="69"/>
      <c r="DK662" s="69"/>
      <c r="DL662" s="69"/>
      <c r="DM662" s="69"/>
      <c r="DN662" s="69"/>
      <c r="DO662" s="69"/>
      <c r="DP662" s="69"/>
    </row>
    <row r="663" spans="1:120" x14ac:dyDescent="0.2">
      <c r="A663" s="66"/>
      <c r="B663" s="31"/>
      <c r="C663" s="31"/>
      <c r="D663" s="31"/>
      <c r="E663" s="31"/>
      <c r="F663" s="31"/>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c r="BT663" s="69"/>
      <c r="BU663" s="69"/>
      <c r="BV663" s="69"/>
      <c r="BW663" s="69"/>
      <c r="BX663" s="69"/>
      <c r="BY663" s="69"/>
      <c r="BZ663" s="69"/>
      <c r="CA663" s="69"/>
      <c r="CB663" s="69"/>
      <c r="CC663" s="69"/>
      <c r="CD663" s="69"/>
      <c r="CE663" s="69"/>
      <c r="CF663" s="69"/>
      <c r="CG663" s="69"/>
      <c r="CH663" s="69"/>
      <c r="CI663" s="69"/>
      <c r="CJ663" s="69"/>
      <c r="CK663" s="69"/>
      <c r="CL663" s="69"/>
      <c r="CM663" s="69"/>
      <c r="CN663" s="69"/>
      <c r="CO663" s="69"/>
      <c r="CP663" s="69"/>
      <c r="CQ663" s="69"/>
      <c r="CR663" s="69"/>
      <c r="CS663" s="69"/>
      <c r="CT663" s="69"/>
      <c r="CU663" s="69"/>
      <c r="CV663" s="69"/>
      <c r="CW663" s="69"/>
      <c r="CX663" s="69"/>
      <c r="CY663" s="69"/>
      <c r="CZ663" s="69"/>
      <c r="DA663" s="69"/>
      <c r="DB663" s="69"/>
      <c r="DC663" s="69"/>
      <c r="DD663" s="69"/>
      <c r="DE663" s="69"/>
      <c r="DF663" s="69"/>
      <c r="DG663" s="69"/>
      <c r="DH663" s="69"/>
      <c r="DI663" s="69"/>
      <c r="DJ663" s="69"/>
      <c r="DK663" s="69"/>
      <c r="DL663" s="69"/>
      <c r="DM663" s="69"/>
      <c r="DN663" s="69"/>
      <c r="DO663" s="69"/>
      <c r="DP663" s="69"/>
    </row>
    <row r="664" spans="1:120" x14ac:dyDescent="0.2">
      <c r="A664" s="66"/>
      <c r="B664" s="31"/>
      <c r="C664" s="31"/>
      <c r="D664" s="31"/>
      <c r="E664" s="31"/>
      <c r="F664" s="31"/>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c r="BT664" s="69"/>
      <c r="BU664" s="69"/>
      <c r="BV664" s="69"/>
      <c r="BW664" s="69"/>
      <c r="BX664" s="69"/>
      <c r="BY664" s="69"/>
      <c r="BZ664" s="69"/>
      <c r="CA664" s="69"/>
      <c r="CB664" s="69"/>
      <c r="CC664" s="69"/>
      <c r="CD664" s="69"/>
      <c r="CE664" s="69"/>
      <c r="CF664" s="69"/>
      <c r="CG664" s="69"/>
      <c r="CH664" s="69"/>
      <c r="CI664" s="69"/>
      <c r="CJ664" s="69"/>
      <c r="CK664" s="69"/>
      <c r="CL664" s="69"/>
      <c r="CM664" s="69"/>
      <c r="CN664" s="69"/>
      <c r="CO664" s="69"/>
      <c r="CP664" s="69"/>
      <c r="CQ664" s="69"/>
      <c r="CR664" s="69"/>
      <c r="CS664" s="69"/>
      <c r="CT664" s="69"/>
      <c r="CU664" s="69"/>
      <c r="CV664" s="69"/>
      <c r="CW664" s="69"/>
      <c r="CX664" s="69"/>
      <c r="CY664" s="69"/>
      <c r="CZ664" s="69"/>
      <c r="DA664" s="69"/>
      <c r="DB664" s="69"/>
      <c r="DC664" s="69"/>
      <c r="DD664" s="69"/>
      <c r="DE664" s="69"/>
      <c r="DF664" s="69"/>
      <c r="DG664" s="69"/>
      <c r="DH664" s="69"/>
      <c r="DI664" s="69"/>
      <c r="DJ664" s="69"/>
      <c r="DK664" s="69"/>
      <c r="DL664" s="69"/>
      <c r="DM664" s="69"/>
      <c r="DN664" s="69"/>
      <c r="DO664" s="69"/>
      <c r="DP664" s="69"/>
    </row>
    <row r="665" spans="1:120" x14ac:dyDescent="0.2">
      <c r="A665" s="66"/>
      <c r="B665" s="31"/>
      <c r="C665" s="31"/>
      <c r="D665" s="31"/>
      <c r="E665" s="31"/>
      <c r="F665" s="31"/>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c r="AW665" s="69"/>
      <c r="AX665" s="69"/>
      <c r="AY665" s="69"/>
      <c r="AZ665" s="69"/>
      <c r="BA665" s="69"/>
      <c r="BB665" s="69"/>
      <c r="BC665" s="69"/>
      <c r="BD665" s="69"/>
      <c r="BE665" s="69"/>
      <c r="BF665" s="69"/>
      <c r="BG665" s="69"/>
      <c r="BH665" s="69"/>
      <c r="BI665" s="69"/>
      <c r="BJ665" s="69"/>
      <c r="BK665" s="69"/>
      <c r="BL665" s="69"/>
      <c r="BM665" s="69"/>
      <c r="BN665" s="69"/>
      <c r="BO665" s="69"/>
      <c r="BP665" s="69"/>
      <c r="BQ665" s="69"/>
      <c r="BR665" s="69"/>
      <c r="BS665" s="69"/>
      <c r="BT665" s="69"/>
      <c r="BU665" s="69"/>
      <c r="BV665" s="69"/>
      <c r="BW665" s="69"/>
      <c r="BX665" s="69"/>
      <c r="BY665" s="69"/>
      <c r="BZ665" s="69"/>
      <c r="CA665" s="69"/>
      <c r="CB665" s="69"/>
      <c r="CC665" s="69"/>
      <c r="CD665" s="69"/>
      <c r="CE665" s="69"/>
      <c r="CF665" s="69"/>
      <c r="CG665" s="69"/>
      <c r="CH665" s="69"/>
      <c r="CI665" s="69"/>
      <c r="CJ665" s="69"/>
      <c r="CK665" s="69"/>
      <c r="CL665" s="69"/>
      <c r="CM665" s="69"/>
      <c r="CN665" s="69"/>
      <c r="CO665" s="69"/>
      <c r="CP665" s="69"/>
      <c r="CQ665" s="69"/>
      <c r="CR665" s="69"/>
      <c r="CS665" s="69"/>
      <c r="CT665" s="69"/>
      <c r="CU665" s="69"/>
      <c r="CV665" s="69"/>
      <c r="CW665" s="69"/>
      <c r="CX665" s="69"/>
      <c r="CY665" s="69"/>
      <c r="CZ665" s="69"/>
      <c r="DA665" s="69"/>
      <c r="DB665" s="69"/>
      <c r="DC665" s="69"/>
      <c r="DD665" s="69"/>
      <c r="DE665" s="69"/>
      <c r="DF665" s="69"/>
      <c r="DG665" s="69"/>
      <c r="DH665" s="69"/>
      <c r="DI665" s="69"/>
      <c r="DJ665" s="69"/>
      <c r="DK665" s="69"/>
      <c r="DL665" s="69"/>
      <c r="DM665" s="69"/>
      <c r="DN665" s="69"/>
      <c r="DO665" s="69"/>
      <c r="DP665" s="69"/>
    </row>
    <row r="666" spans="1:120" x14ac:dyDescent="0.2">
      <c r="A666" s="66"/>
      <c r="B666" s="31"/>
      <c r="C666" s="31"/>
      <c r="D666" s="31"/>
      <c r="E666" s="31"/>
      <c r="F666" s="31"/>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c r="AW666" s="69"/>
      <c r="AX666" s="69"/>
      <c r="AY666" s="69"/>
      <c r="AZ666" s="69"/>
      <c r="BA666" s="69"/>
      <c r="BB666" s="69"/>
      <c r="BC666" s="69"/>
      <c r="BD666" s="69"/>
      <c r="BE666" s="69"/>
      <c r="BF666" s="69"/>
      <c r="BG666" s="69"/>
      <c r="BH666" s="69"/>
      <c r="BI666" s="69"/>
      <c r="BJ666" s="69"/>
      <c r="BK666" s="69"/>
      <c r="BL666" s="69"/>
      <c r="BM666" s="69"/>
      <c r="BN666" s="69"/>
      <c r="BO666" s="69"/>
      <c r="BP666" s="69"/>
      <c r="BQ666" s="69"/>
      <c r="BR666" s="69"/>
      <c r="BS666" s="69"/>
      <c r="BT666" s="69"/>
      <c r="BU666" s="69"/>
      <c r="BV666" s="69"/>
      <c r="BW666" s="69"/>
      <c r="BX666" s="69"/>
      <c r="BY666" s="69"/>
      <c r="BZ666" s="69"/>
      <c r="CA666" s="69"/>
      <c r="CB666" s="69"/>
      <c r="CC666" s="69"/>
      <c r="CD666" s="69"/>
      <c r="CE666" s="69"/>
      <c r="CF666" s="69"/>
      <c r="CG666" s="69"/>
      <c r="CH666" s="69"/>
      <c r="CI666" s="69"/>
      <c r="CJ666" s="69"/>
      <c r="CK666" s="69"/>
      <c r="CL666" s="69"/>
      <c r="CM666" s="69"/>
      <c r="CN666" s="69"/>
      <c r="CO666" s="69"/>
      <c r="CP666" s="69"/>
      <c r="CQ666" s="69"/>
      <c r="CR666" s="69"/>
      <c r="CS666" s="69"/>
      <c r="CT666" s="69"/>
      <c r="CU666" s="69"/>
      <c r="CV666" s="69"/>
      <c r="CW666" s="69"/>
      <c r="CX666" s="69"/>
      <c r="CY666" s="69"/>
      <c r="CZ666" s="69"/>
      <c r="DA666" s="69"/>
      <c r="DB666" s="69"/>
      <c r="DC666" s="69"/>
      <c r="DD666" s="69"/>
      <c r="DE666" s="69"/>
      <c r="DF666" s="69"/>
      <c r="DG666" s="69"/>
      <c r="DH666" s="69"/>
      <c r="DI666" s="69"/>
      <c r="DJ666" s="69"/>
      <c r="DK666" s="69"/>
      <c r="DL666" s="69"/>
      <c r="DM666" s="69"/>
      <c r="DN666" s="69"/>
      <c r="DO666" s="69"/>
      <c r="DP666" s="69"/>
    </row>
    <row r="667" spans="1:120" x14ac:dyDescent="0.2">
      <c r="A667" s="66"/>
      <c r="B667" s="31"/>
      <c r="C667" s="31"/>
      <c r="D667" s="31"/>
      <c r="E667" s="31"/>
      <c r="F667" s="31"/>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c r="BT667" s="69"/>
      <c r="BU667" s="69"/>
      <c r="BV667" s="69"/>
      <c r="BW667" s="69"/>
      <c r="BX667" s="69"/>
      <c r="BY667" s="69"/>
      <c r="BZ667" s="69"/>
      <c r="CA667" s="69"/>
      <c r="CB667" s="69"/>
      <c r="CC667" s="69"/>
      <c r="CD667" s="69"/>
      <c r="CE667" s="69"/>
      <c r="CF667" s="69"/>
      <c r="CG667" s="69"/>
      <c r="CH667" s="69"/>
      <c r="CI667" s="69"/>
      <c r="CJ667" s="69"/>
      <c r="CK667" s="69"/>
      <c r="CL667" s="69"/>
      <c r="CM667" s="69"/>
      <c r="CN667" s="69"/>
      <c r="CO667" s="69"/>
      <c r="CP667" s="69"/>
      <c r="CQ667" s="69"/>
      <c r="CR667" s="69"/>
      <c r="CS667" s="69"/>
      <c r="CT667" s="69"/>
      <c r="CU667" s="69"/>
      <c r="CV667" s="69"/>
      <c r="CW667" s="69"/>
      <c r="CX667" s="69"/>
      <c r="CY667" s="69"/>
      <c r="CZ667" s="69"/>
      <c r="DA667" s="69"/>
      <c r="DB667" s="69"/>
      <c r="DC667" s="69"/>
      <c r="DD667" s="69"/>
      <c r="DE667" s="69"/>
      <c r="DF667" s="69"/>
      <c r="DG667" s="69"/>
      <c r="DH667" s="69"/>
      <c r="DI667" s="69"/>
      <c r="DJ667" s="69"/>
      <c r="DK667" s="69"/>
      <c r="DL667" s="69"/>
      <c r="DM667" s="69"/>
      <c r="DN667" s="69"/>
      <c r="DO667" s="69"/>
      <c r="DP667" s="69"/>
    </row>
    <row r="668" spans="1:120" x14ac:dyDescent="0.2">
      <c r="A668" s="66"/>
      <c r="B668" s="31"/>
      <c r="C668" s="31"/>
      <c r="D668" s="31"/>
      <c r="E668" s="31"/>
      <c r="F668" s="31"/>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c r="BT668" s="69"/>
      <c r="BU668" s="69"/>
      <c r="BV668" s="69"/>
      <c r="BW668" s="69"/>
      <c r="BX668" s="69"/>
      <c r="BY668" s="69"/>
      <c r="BZ668" s="69"/>
      <c r="CA668" s="69"/>
      <c r="CB668" s="69"/>
      <c r="CC668" s="69"/>
      <c r="CD668" s="69"/>
      <c r="CE668" s="69"/>
      <c r="CF668" s="69"/>
      <c r="CG668" s="69"/>
      <c r="CH668" s="69"/>
      <c r="CI668" s="69"/>
      <c r="CJ668" s="69"/>
      <c r="CK668" s="69"/>
      <c r="CL668" s="69"/>
      <c r="CM668" s="69"/>
      <c r="CN668" s="69"/>
      <c r="CO668" s="69"/>
      <c r="CP668" s="69"/>
      <c r="CQ668" s="69"/>
      <c r="CR668" s="69"/>
      <c r="CS668" s="69"/>
      <c r="CT668" s="69"/>
      <c r="CU668" s="69"/>
      <c r="CV668" s="69"/>
      <c r="CW668" s="69"/>
      <c r="CX668" s="69"/>
      <c r="CY668" s="69"/>
      <c r="CZ668" s="69"/>
      <c r="DA668" s="69"/>
      <c r="DB668" s="69"/>
      <c r="DC668" s="69"/>
      <c r="DD668" s="69"/>
      <c r="DE668" s="69"/>
      <c r="DF668" s="69"/>
      <c r="DG668" s="69"/>
      <c r="DH668" s="69"/>
      <c r="DI668" s="69"/>
      <c r="DJ668" s="69"/>
      <c r="DK668" s="69"/>
      <c r="DL668" s="69"/>
      <c r="DM668" s="69"/>
      <c r="DN668" s="69"/>
      <c r="DO668" s="69"/>
      <c r="DP668" s="69"/>
    </row>
    <row r="669" spans="1:120" x14ac:dyDescent="0.2">
      <c r="A669" s="66"/>
      <c r="B669" s="31"/>
      <c r="C669" s="31"/>
      <c r="D669" s="31"/>
      <c r="E669" s="31"/>
      <c r="F669" s="31"/>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c r="AW669" s="69"/>
      <c r="AX669" s="69"/>
      <c r="AY669" s="69"/>
      <c r="AZ669" s="69"/>
      <c r="BA669" s="69"/>
      <c r="BB669" s="69"/>
      <c r="BC669" s="69"/>
      <c r="BD669" s="69"/>
      <c r="BE669" s="69"/>
      <c r="BF669" s="69"/>
      <c r="BG669" s="69"/>
      <c r="BH669" s="69"/>
      <c r="BI669" s="69"/>
      <c r="BJ669" s="69"/>
      <c r="BK669" s="69"/>
      <c r="BL669" s="69"/>
      <c r="BM669" s="69"/>
      <c r="BN669" s="69"/>
      <c r="BO669" s="69"/>
      <c r="BP669" s="69"/>
      <c r="BQ669" s="69"/>
      <c r="BR669" s="69"/>
      <c r="BS669" s="69"/>
      <c r="BT669" s="69"/>
      <c r="BU669" s="69"/>
      <c r="BV669" s="69"/>
      <c r="BW669" s="69"/>
      <c r="BX669" s="69"/>
      <c r="BY669" s="69"/>
      <c r="BZ669" s="69"/>
      <c r="CA669" s="69"/>
      <c r="CB669" s="69"/>
      <c r="CC669" s="69"/>
      <c r="CD669" s="69"/>
      <c r="CE669" s="69"/>
      <c r="CF669" s="69"/>
      <c r="CG669" s="69"/>
      <c r="CH669" s="69"/>
      <c r="CI669" s="69"/>
      <c r="CJ669" s="69"/>
      <c r="CK669" s="69"/>
      <c r="CL669" s="69"/>
      <c r="CM669" s="69"/>
      <c r="CN669" s="69"/>
      <c r="CO669" s="69"/>
      <c r="CP669" s="69"/>
      <c r="CQ669" s="69"/>
      <c r="CR669" s="69"/>
      <c r="CS669" s="69"/>
      <c r="CT669" s="69"/>
      <c r="CU669" s="69"/>
      <c r="CV669" s="69"/>
      <c r="CW669" s="69"/>
      <c r="CX669" s="69"/>
      <c r="CY669" s="69"/>
      <c r="CZ669" s="69"/>
      <c r="DA669" s="69"/>
      <c r="DB669" s="69"/>
      <c r="DC669" s="69"/>
      <c r="DD669" s="69"/>
      <c r="DE669" s="69"/>
      <c r="DF669" s="69"/>
      <c r="DG669" s="69"/>
      <c r="DH669" s="69"/>
      <c r="DI669" s="69"/>
      <c r="DJ669" s="69"/>
      <c r="DK669" s="69"/>
      <c r="DL669" s="69"/>
      <c r="DM669" s="69"/>
      <c r="DN669" s="69"/>
      <c r="DO669" s="69"/>
      <c r="DP669" s="69"/>
    </row>
    <row r="670" spans="1:120" x14ac:dyDescent="0.2">
      <c r="A670" s="66"/>
      <c r="B670" s="31"/>
      <c r="C670" s="31"/>
      <c r="D670" s="31"/>
      <c r="E670" s="31"/>
      <c r="F670" s="31"/>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c r="AW670" s="69"/>
      <c r="AX670" s="69"/>
      <c r="AY670" s="69"/>
      <c r="AZ670" s="69"/>
      <c r="BA670" s="69"/>
      <c r="BB670" s="69"/>
      <c r="BC670" s="69"/>
      <c r="BD670" s="69"/>
      <c r="BE670" s="69"/>
      <c r="BF670" s="69"/>
      <c r="BG670" s="69"/>
      <c r="BH670" s="69"/>
      <c r="BI670" s="69"/>
      <c r="BJ670" s="69"/>
      <c r="BK670" s="69"/>
      <c r="BL670" s="69"/>
      <c r="BM670" s="69"/>
      <c r="BN670" s="69"/>
      <c r="BO670" s="69"/>
      <c r="BP670" s="69"/>
      <c r="BQ670" s="69"/>
      <c r="BR670" s="69"/>
      <c r="BS670" s="69"/>
      <c r="BT670" s="69"/>
      <c r="BU670" s="69"/>
      <c r="BV670" s="69"/>
      <c r="BW670" s="69"/>
      <c r="BX670" s="69"/>
      <c r="BY670" s="69"/>
      <c r="BZ670" s="69"/>
      <c r="CA670" s="69"/>
      <c r="CB670" s="69"/>
      <c r="CC670" s="69"/>
      <c r="CD670" s="69"/>
      <c r="CE670" s="69"/>
      <c r="CF670" s="69"/>
      <c r="CG670" s="69"/>
      <c r="CH670" s="69"/>
      <c r="CI670" s="69"/>
      <c r="CJ670" s="69"/>
      <c r="CK670" s="69"/>
      <c r="CL670" s="69"/>
      <c r="CM670" s="69"/>
      <c r="CN670" s="69"/>
      <c r="CO670" s="69"/>
      <c r="CP670" s="69"/>
      <c r="CQ670" s="69"/>
      <c r="CR670" s="69"/>
      <c r="CS670" s="69"/>
      <c r="CT670" s="69"/>
      <c r="CU670" s="69"/>
      <c r="CV670" s="69"/>
      <c r="CW670" s="69"/>
      <c r="CX670" s="69"/>
      <c r="CY670" s="69"/>
      <c r="CZ670" s="69"/>
      <c r="DA670" s="69"/>
      <c r="DB670" s="69"/>
      <c r="DC670" s="69"/>
      <c r="DD670" s="69"/>
      <c r="DE670" s="69"/>
      <c r="DF670" s="69"/>
      <c r="DG670" s="69"/>
      <c r="DH670" s="69"/>
      <c r="DI670" s="69"/>
      <c r="DJ670" s="69"/>
      <c r="DK670" s="69"/>
      <c r="DL670" s="69"/>
      <c r="DM670" s="69"/>
      <c r="DN670" s="69"/>
      <c r="DO670" s="69"/>
      <c r="DP670" s="69"/>
    </row>
    <row r="671" spans="1:120" x14ac:dyDescent="0.2">
      <c r="A671" s="66"/>
      <c r="B671" s="31"/>
      <c r="C671" s="31"/>
      <c r="D671" s="31"/>
      <c r="E671" s="31"/>
      <c r="F671" s="31"/>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c r="BT671" s="69"/>
      <c r="BU671" s="69"/>
      <c r="BV671" s="69"/>
      <c r="BW671" s="69"/>
      <c r="BX671" s="69"/>
      <c r="BY671" s="69"/>
      <c r="BZ671" s="69"/>
      <c r="CA671" s="69"/>
      <c r="CB671" s="69"/>
      <c r="CC671" s="69"/>
      <c r="CD671" s="69"/>
      <c r="CE671" s="69"/>
      <c r="CF671" s="69"/>
      <c r="CG671" s="69"/>
      <c r="CH671" s="69"/>
      <c r="CI671" s="69"/>
      <c r="CJ671" s="69"/>
      <c r="CK671" s="69"/>
      <c r="CL671" s="69"/>
      <c r="CM671" s="69"/>
      <c r="CN671" s="69"/>
      <c r="CO671" s="69"/>
      <c r="CP671" s="69"/>
      <c r="CQ671" s="69"/>
      <c r="CR671" s="69"/>
      <c r="CS671" s="69"/>
      <c r="CT671" s="69"/>
      <c r="CU671" s="69"/>
      <c r="CV671" s="69"/>
      <c r="CW671" s="69"/>
      <c r="CX671" s="69"/>
      <c r="CY671" s="69"/>
      <c r="CZ671" s="69"/>
      <c r="DA671" s="69"/>
      <c r="DB671" s="69"/>
      <c r="DC671" s="69"/>
      <c r="DD671" s="69"/>
      <c r="DE671" s="69"/>
      <c r="DF671" s="69"/>
      <c r="DG671" s="69"/>
      <c r="DH671" s="69"/>
      <c r="DI671" s="69"/>
      <c r="DJ671" s="69"/>
      <c r="DK671" s="69"/>
      <c r="DL671" s="69"/>
      <c r="DM671" s="69"/>
      <c r="DN671" s="69"/>
      <c r="DO671" s="69"/>
      <c r="DP671" s="69"/>
    </row>
    <row r="672" spans="1:120" x14ac:dyDescent="0.2">
      <c r="A672" s="66"/>
      <c r="B672" s="31"/>
      <c r="C672" s="31"/>
      <c r="D672" s="31"/>
      <c r="E672" s="31"/>
      <c r="F672" s="31"/>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c r="BT672" s="69"/>
      <c r="BU672" s="69"/>
      <c r="BV672" s="69"/>
      <c r="BW672" s="69"/>
      <c r="BX672" s="69"/>
      <c r="BY672" s="69"/>
      <c r="BZ672" s="69"/>
      <c r="CA672" s="69"/>
      <c r="CB672" s="69"/>
      <c r="CC672" s="69"/>
      <c r="CD672" s="69"/>
      <c r="CE672" s="69"/>
      <c r="CF672" s="69"/>
      <c r="CG672" s="69"/>
      <c r="CH672" s="69"/>
      <c r="CI672" s="69"/>
      <c r="CJ672" s="69"/>
      <c r="CK672" s="69"/>
      <c r="CL672" s="69"/>
      <c r="CM672" s="69"/>
      <c r="CN672" s="69"/>
      <c r="CO672" s="69"/>
      <c r="CP672" s="69"/>
      <c r="CQ672" s="69"/>
      <c r="CR672" s="69"/>
      <c r="CS672" s="69"/>
      <c r="CT672" s="69"/>
      <c r="CU672" s="69"/>
      <c r="CV672" s="69"/>
      <c r="CW672" s="69"/>
      <c r="CX672" s="69"/>
      <c r="CY672" s="69"/>
      <c r="CZ672" s="69"/>
      <c r="DA672" s="69"/>
      <c r="DB672" s="69"/>
      <c r="DC672" s="69"/>
      <c r="DD672" s="69"/>
      <c r="DE672" s="69"/>
      <c r="DF672" s="69"/>
      <c r="DG672" s="69"/>
      <c r="DH672" s="69"/>
      <c r="DI672" s="69"/>
      <c r="DJ672" s="69"/>
      <c r="DK672" s="69"/>
      <c r="DL672" s="69"/>
      <c r="DM672" s="69"/>
      <c r="DN672" s="69"/>
      <c r="DO672" s="69"/>
      <c r="DP672" s="69"/>
    </row>
    <row r="673" spans="1:120" x14ac:dyDescent="0.2">
      <c r="A673" s="66"/>
      <c r="B673" s="31"/>
      <c r="C673" s="31"/>
      <c r="D673" s="31"/>
      <c r="E673" s="31"/>
      <c r="F673" s="31"/>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c r="AW673" s="69"/>
      <c r="AX673" s="69"/>
      <c r="AY673" s="69"/>
      <c r="AZ673" s="69"/>
      <c r="BA673" s="69"/>
      <c r="BB673" s="69"/>
      <c r="BC673" s="69"/>
      <c r="BD673" s="69"/>
      <c r="BE673" s="69"/>
      <c r="BF673" s="69"/>
      <c r="BG673" s="69"/>
      <c r="BH673" s="69"/>
      <c r="BI673" s="69"/>
      <c r="BJ673" s="69"/>
      <c r="BK673" s="69"/>
      <c r="BL673" s="69"/>
      <c r="BM673" s="69"/>
      <c r="BN673" s="69"/>
      <c r="BO673" s="69"/>
      <c r="BP673" s="69"/>
      <c r="BQ673" s="69"/>
      <c r="BR673" s="69"/>
      <c r="BS673" s="69"/>
      <c r="BT673" s="69"/>
      <c r="BU673" s="69"/>
      <c r="BV673" s="69"/>
      <c r="BW673" s="69"/>
      <c r="BX673" s="69"/>
      <c r="BY673" s="69"/>
      <c r="BZ673" s="69"/>
      <c r="CA673" s="69"/>
      <c r="CB673" s="69"/>
      <c r="CC673" s="69"/>
      <c r="CD673" s="69"/>
      <c r="CE673" s="69"/>
      <c r="CF673" s="69"/>
      <c r="CG673" s="69"/>
      <c r="CH673" s="69"/>
      <c r="CI673" s="69"/>
      <c r="CJ673" s="69"/>
      <c r="CK673" s="69"/>
      <c r="CL673" s="69"/>
      <c r="CM673" s="69"/>
      <c r="CN673" s="69"/>
      <c r="CO673" s="69"/>
      <c r="CP673" s="69"/>
      <c r="CQ673" s="69"/>
      <c r="CR673" s="69"/>
      <c r="CS673" s="69"/>
      <c r="CT673" s="69"/>
      <c r="CU673" s="69"/>
      <c r="CV673" s="69"/>
      <c r="CW673" s="69"/>
      <c r="CX673" s="69"/>
      <c r="CY673" s="69"/>
      <c r="CZ673" s="69"/>
      <c r="DA673" s="69"/>
      <c r="DB673" s="69"/>
      <c r="DC673" s="69"/>
      <c r="DD673" s="69"/>
      <c r="DE673" s="69"/>
      <c r="DF673" s="69"/>
      <c r="DG673" s="69"/>
      <c r="DH673" s="69"/>
      <c r="DI673" s="69"/>
      <c r="DJ673" s="69"/>
      <c r="DK673" s="69"/>
      <c r="DL673" s="69"/>
      <c r="DM673" s="69"/>
      <c r="DN673" s="69"/>
      <c r="DO673" s="69"/>
      <c r="DP673" s="69"/>
    </row>
    <row r="674" spans="1:120" x14ac:dyDescent="0.2">
      <c r="A674" s="66"/>
      <c r="B674" s="31"/>
      <c r="C674" s="31"/>
      <c r="D674" s="31"/>
      <c r="E674" s="31"/>
      <c r="F674" s="31"/>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c r="AW674" s="69"/>
      <c r="AX674" s="69"/>
      <c r="AY674" s="69"/>
      <c r="AZ674" s="69"/>
      <c r="BA674" s="69"/>
      <c r="BB674" s="69"/>
      <c r="BC674" s="69"/>
      <c r="BD674" s="69"/>
      <c r="BE674" s="69"/>
      <c r="BF674" s="69"/>
      <c r="BG674" s="69"/>
      <c r="BH674" s="69"/>
      <c r="BI674" s="69"/>
      <c r="BJ674" s="69"/>
      <c r="BK674" s="69"/>
      <c r="BL674" s="69"/>
      <c r="BM674" s="69"/>
      <c r="BN674" s="69"/>
      <c r="BO674" s="69"/>
      <c r="BP674" s="69"/>
      <c r="BQ674" s="69"/>
      <c r="BR674" s="69"/>
      <c r="BS674" s="69"/>
      <c r="BT674" s="69"/>
      <c r="BU674" s="69"/>
      <c r="BV674" s="69"/>
      <c r="BW674" s="69"/>
      <c r="BX674" s="69"/>
      <c r="BY674" s="69"/>
      <c r="BZ674" s="69"/>
      <c r="CA674" s="69"/>
      <c r="CB674" s="69"/>
      <c r="CC674" s="69"/>
      <c r="CD674" s="69"/>
      <c r="CE674" s="69"/>
      <c r="CF674" s="69"/>
      <c r="CG674" s="69"/>
      <c r="CH674" s="69"/>
      <c r="CI674" s="69"/>
      <c r="CJ674" s="69"/>
      <c r="CK674" s="69"/>
      <c r="CL674" s="69"/>
      <c r="CM674" s="69"/>
      <c r="CN674" s="69"/>
      <c r="CO674" s="69"/>
      <c r="CP674" s="69"/>
      <c r="CQ674" s="69"/>
      <c r="CR674" s="69"/>
      <c r="CS674" s="69"/>
      <c r="CT674" s="69"/>
      <c r="CU674" s="69"/>
      <c r="CV674" s="69"/>
      <c r="CW674" s="69"/>
      <c r="CX674" s="69"/>
      <c r="CY674" s="69"/>
      <c r="CZ674" s="69"/>
      <c r="DA674" s="69"/>
      <c r="DB674" s="69"/>
      <c r="DC674" s="69"/>
      <c r="DD674" s="69"/>
      <c r="DE674" s="69"/>
      <c r="DF674" s="69"/>
      <c r="DG674" s="69"/>
      <c r="DH674" s="69"/>
      <c r="DI674" s="69"/>
      <c r="DJ674" s="69"/>
      <c r="DK674" s="69"/>
      <c r="DL674" s="69"/>
      <c r="DM674" s="69"/>
      <c r="DN674" s="69"/>
      <c r="DO674" s="69"/>
      <c r="DP674" s="69"/>
    </row>
    <row r="675" spans="1:120" x14ac:dyDescent="0.2">
      <c r="A675" s="66"/>
      <c r="B675" s="31"/>
      <c r="C675" s="31"/>
      <c r="D675" s="31"/>
      <c r="E675" s="31"/>
      <c r="F675" s="31"/>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c r="BT675" s="69"/>
      <c r="BU675" s="69"/>
      <c r="BV675" s="69"/>
      <c r="BW675" s="69"/>
      <c r="BX675" s="69"/>
      <c r="BY675" s="69"/>
      <c r="BZ675" s="69"/>
      <c r="CA675" s="69"/>
      <c r="CB675" s="69"/>
      <c r="CC675" s="69"/>
      <c r="CD675" s="69"/>
      <c r="CE675" s="69"/>
      <c r="CF675" s="69"/>
      <c r="CG675" s="69"/>
      <c r="CH675" s="69"/>
      <c r="CI675" s="69"/>
      <c r="CJ675" s="69"/>
      <c r="CK675" s="69"/>
      <c r="CL675" s="69"/>
      <c r="CM675" s="69"/>
      <c r="CN675" s="69"/>
      <c r="CO675" s="69"/>
      <c r="CP675" s="69"/>
      <c r="CQ675" s="69"/>
      <c r="CR675" s="69"/>
      <c r="CS675" s="69"/>
      <c r="CT675" s="69"/>
      <c r="CU675" s="69"/>
      <c r="CV675" s="69"/>
      <c r="CW675" s="69"/>
      <c r="CX675" s="69"/>
      <c r="CY675" s="69"/>
      <c r="CZ675" s="69"/>
      <c r="DA675" s="69"/>
      <c r="DB675" s="69"/>
      <c r="DC675" s="69"/>
      <c r="DD675" s="69"/>
      <c r="DE675" s="69"/>
      <c r="DF675" s="69"/>
      <c r="DG675" s="69"/>
      <c r="DH675" s="69"/>
      <c r="DI675" s="69"/>
      <c r="DJ675" s="69"/>
      <c r="DK675" s="69"/>
      <c r="DL675" s="69"/>
      <c r="DM675" s="69"/>
      <c r="DN675" s="69"/>
      <c r="DO675" s="69"/>
      <c r="DP675" s="69"/>
    </row>
    <row r="676" spans="1:120" x14ac:dyDescent="0.2">
      <c r="A676" s="66"/>
      <c r="B676" s="31"/>
      <c r="C676" s="31"/>
      <c r="D676" s="31"/>
      <c r="E676" s="31"/>
      <c r="F676" s="31"/>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c r="BT676" s="69"/>
      <c r="BU676" s="69"/>
      <c r="BV676" s="69"/>
      <c r="BW676" s="69"/>
      <c r="BX676" s="69"/>
      <c r="BY676" s="69"/>
      <c r="BZ676" s="69"/>
      <c r="CA676" s="69"/>
      <c r="CB676" s="69"/>
      <c r="CC676" s="69"/>
      <c r="CD676" s="69"/>
      <c r="CE676" s="69"/>
      <c r="CF676" s="69"/>
      <c r="CG676" s="69"/>
      <c r="CH676" s="69"/>
      <c r="CI676" s="69"/>
      <c r="CJ676" s="69"/>
      <c r="CK676" s="69"/>
      <c r="CL676" s="69"/>
      <c r="CM676" s="69"/>
      <c r="CN676" s="69"/>
      <c r="CO676" s="69"/>
      <c r="CP676" s="69"/>
      <c r="CQ676" s="69"/>
      <c r="CR676" s="69"/>
      <c r="CS676" s="69"/>
      <c r="CT676" s="69"/>
      <c r="CU676" s="69"/>
      <c r="CV676" s="69"/>
      <c r="CW676" s="69"/>
      <c r="CX676" s="69"/>
      <c r="CY676" s="69"/>
      <c r="CZ676" s="69"/>
      <c r="DA676" s="69"/>
      <c r="DB676" s="69"/>
      <c r="DC676" s="69"/>
      <c r="DD676" s="69"/>
      <c r="DE676" s="69"/>
      <c r="DF676" s="69"/>
      <c r="DG676" s="69"/>
      <c r="DH676" s="69"/>
      <c r="DI676" s="69"/>
      <c r="DJ676" s="69"/>
      <c r="DK676" s="69"/>
      <c r="DL676" s="69"/>
      <c r="DM676" s="69"/>
      <c r="DN676" s="69"/>
      <c r="DO676" s="69"/>
      <c r="DP676" s="69"/>
    </row>
    <row r="677" spans="1:120" x14ac:dyDescent="0.2">
      <c r="A677" s="66"/>
      <c r="B677" s="31"/>
      <c r="C677" s="31"/>
      <c r="D677" s="31"/>
      <c r="E677" s="31"/>
      <c r="F677" s="31"/>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c r="AW677" s="69"/>
      <c r="AX677" s="69"/>
      <c r="AY677" s="69"/>
      <c r="AZ677" s="69"/>
      <c r="BA677" s="69"/>
      <c r="BB677" s="69"/>
      <c r="BC677" s="69"/>
      <c r="BD677" s="69"/>
      <c r="BE677" s="69"/>
      <c r="BF677" s="69"/>
      <c r="BG677" s="69"/>
      <c r="BH677" s="69"/>
      <c r="BI677" s="69"/>
      <c r="BJ677" s="69"/>
      <c r="BK677" s="69"/>
      <c r="BL677" s="69"/>
      <c r="BM677" s="69"/>
      <c r="BN677" s="69"/>
      <c r="BO677" s="69"/>
      <c r="BP677" s="69"/>
      <c r="BQ677" s="69"/>
      <c r="BR677" s="69"/>
      <c r="BS677" s="69"/>
      <c r="BT677" s="69"/>
      <c r="BU677" s="69"/>
      <c r="BV677" s="69"/>
      <c r="BW677" s="69"/>
      <c r="BX677" s="69"/>
      <c r="BY677" s="69"/>
      <c r="BZ677" s="69"/>
      <c r="CA677" s="69"/>
      <c r="CB677" s="69"/>
      <c r="CC677" s="69"/>
      <c r="CD677" s="69"/>
      <c r="CE677" s="69"/>
      <c r="CF677" s="69"/>
      <c r="CG677" s="69"/>
      <c r="CH677" s="69"/>
      <c r="CI677" s="69"/>
      <c r="CJ677" s="69"/>
      <c r="CK677" s="69"/>
      <c r="CL677" s="69"/>
      <c r="CM677" s="69"/>
      <c r="CN677" s="69"/>
      <c r="CO677" s="69"/>
      <c r="CP677" s="69"/>
      <c r="CQ677" s="69"/>
      <c r="CR677" s="69"/>
      <c r="CS677" s="69"/>
      <c r="CT677" s="69"/>
      <c r="CU677" s="69"/>
      <c r="CV677" s="69"/>
      <c r="CW677" s="69"/>
      <c r="CX677" s="69"/>
      <c r="CY677" s="69"/>
      <c r="CZ677" s="69"/>
      <c r="DA677" s="69"/>
      <c r="DB677" s="69"/>
      <c r="DC677" s="69"/>
      <c r="DD677" s="69"/>
      <c r="DE677" s="69"/>
      <c r="DF677" s="69"/>
      <c r="DG677" s="69"/>
      <c r="DH677" s="69"/>
      <c r="DI677" s="69"/>
      <c r="DJ677" s="69"/>
      <c r="DK677" s="69"/>
      <c r="DL677" s="69"/>
      <c r="DM677" s="69"/>
      <c r="DN677" s="69"/>
      <c r="DO677" s="69"/>
      <c r="DP677" s="69"/>
    </row>
    <row r="678" spans="1:120" x14ac:dyDescent="0.2">
      <c r="A678" s="66"/>
      <c r="B678" s="31"/>
      <c r="C678" s="31"/>
      <c r="D678" s="31"/>
      <c r="E678" s="31"/>
      <c r="F678" s="31"/>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c r="AW678" s="69"/>
      <c r="AX678" s="69"/>
      <c r="AY678" s="69"/>
      <c r="AZ678" s="69"/>
      <c r="BA678" s="69"/>
      <c r="BB678" s="69"/>
      <c r="BC678" s="69"/>
      <c r="BD678" s="69"/>
      <c r="BE678" s="69"/>
      <c r="BF678" s="69"/>
      <c r="BG678" s="69"/>
      <c r="BH678" s="69"/>
      <c r="BI678" s="69"/>
      <c r="BJ678" s="69"/>
      <c r="BK678" s="69"/>
      <c r="BL678" s="69"/>
      <c r="BM678" s="69"/>
      <c r="BN678" s="69"/>
      <c r="BO678" s="69"/>
      <c r="BP678" s="69"/>
      <c r="BQ678" s="69"/>
      <c r="BR678" s="69"/>
      <c r="BS678" s="69"/>
      <c r="BT678" s="69"/>
      <c r="BU678" s="69"/>
      <c r="BV678" s="69"/>
      <c r="BW678" s="69"/>
      <c r="BX678" s="69"/>
      <c r="BY678" s="69"/>
      <c r="BZ678" s="69"/>
      <c r="CA678" s="69"/>
      <c r="CB678" s="69"/>
      <c r="CC678" s="69"/>
      <c r="CD678" s="69"/>
      <c r="CE678" s="69"/>
      <c r="CF678" s="69"/>
      <c r="CG678" s="69"/>
      <c r="CH678" s="69"/>
      <c r="CI678" s="69"/>
      <c r="CJ678" s="69"/>
      <c r="CK678" s="69"/>
      <c r="CL678" s="69"/>
      <c r="CM678" s="69"/>
      <c r="CN678" s="69"/>
      <c r="CO678" s="69"/>
      <c r="CP678" s="69"/>
      <c r="CQ678" s="69"/>
      <c r="CR678" s="69"/>
      <c r="CS678" s="69"/>
      <c r="CT678" s="69"/>
      <c r="CU678" s="69"/>
      <c r="CV678" s="69"/>
      <c r="CW678" s="69"/>
      <c r="CX678" s="69"/>
      <c r="CY678" s="69"/>
      <c r="CZ678" s="69"/>
      <c r="DA678" s="69"/>
      <c r="DB678" s="69"/>
      <c r="DC678" s="69"/>
      <c r="DD678" s="69"/>
      <c r="DE678" s="69"/>
      <c r="DF678" s="69"/>
      <c r="DG678" s="69"/>
      <c r="DH678" s="69"/>
      <c r="DI678" s="69"/>
      <c r="DJ678" s="69"/>
      <c r="DK678" s="69"/>
      <c r="DL678" s="69"/>
      <c r="DM678" s="69"/>
      <c r="DN678" s="69"/>
      <c r="DO678" s="69"/>
      <c r="DP678" s="69"/>
    </row>
    <row r="679" spans="1:120" x14ac:dyDescent="0.2">
      <c r="A679" s="66"/>
      <c r="B679" s="31"/>
      <c r="C679" s="31"/>
      <c r="D679" s="31"/>
      <c r="E679" s="31"/>
      <c r="F679" s="31"/>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c r="BT679" s="69"/>
      <c r="BU679" s="69"/>
      <c r="BV679" s="69"/>
      <c r="BW679" s="69"/>
      <c r="BX679" s="69"/>
      <c r="BY679" s="69"/>
      <c r="BZ679" s="69"/>
      <c r="CA679" s="69"/>
      <c r="CB679" s="69"/>
      <c r="CC679" s="69"/>
      <c r="CD679" s="69"/>
      <c r="CE679" s="69"/>
      <c r="CF679" s="69"/>
      <c r="CG679" s="69"/>
      <c r="CH679" s="69"/>
      <c r="CI679" s="69"/>
      <c r="CJ679" s="69"/>
      <c r="CK679" s="69"/>
      <c r="CL679" s="69"/>
      <c r="CM679" s="69"/>
      <c r="CN679" s="69"/>
      <c r="CO679" s="69"/>
      <c r="CP679" s="69"/>
      <c r="CQ679" s="69"/>
      <c r="CR679" s="69"/>
      <c r="CS679" s="69"/>
      <c r="CT679" s="69"/>
      <c r="CU679" s="69"/>
      <c r="CV679" s="69"/>
      <c r="CW679" s="69"/>
      <c r="CX679" s="69"/>
      <c r="CY679" s="69"/>
      <c r="CZ679" s="69"/>
      <c r="DA679" s="69"/>
      <c r="DB679" s="69"/>
      <c r="DC679" s="69"/>
      <c r="DD679" s="69"/>
      <c r="DE679" s="69"/>
      <c r="DF679" s="69"/>
      <c r="DG679" s="69"/>
      <c r="DH679" s="69"/>
      <c r="DI679" s="69"/>
      <c r="DJ679" s="69"/>
      <c r="DK679" s="69"/>
      <c r="DL679" s="69"/>
      <c r="DM679" s="69"/>
      <c r="DN679" s="69"/>
      <c r="DO679" s="69"/>
      <c r="DP679" s="69"/>
    </row>
    <row r="680" spans="1:120" x14ac:dyDescent="0.2">
      <c r="A680" s="66"/>
      <c r="B680" s="31"/>
      <c r="C680" s="31"/>
      <c r="D680" s="31"/>
      <c r="E680" s="31"/>
      <c r="F680" s="31"/>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c r="BT680" s="69"/>
      <c r="BU680" s="69"/>
      <c r="BV680" s="69"/>
      <c r="BW680" s="69"/>
      <c r="BX680" s="69"/>
      <c r="BY680" s="69"/>
      <c r="BZ680" s="69"/>
      <c r="CA680" s="69"/>
      <c r="CB680" s="69"/>
      <c r="CC680" s="69"/>
      <c r="CD680" s="69"/>
      <c r="CE680" s="69"/>
      <c r="CF680" s="69"/>
      <c r="CG680" s="69"/>
      <c r="CH680" s="69"/>
      <c r="CI680" s="69"/>
      <c r="CJ680" s="69"/>
      <c r="CK680" s="69"/>
      <c r="CL680" s="69"/>
      <c r="CM680" s="69"/>
      <c r="CN680" s="69"/>
      <c r="CO680" s="69"/>
      <c r="CP680" s="69"/>
      <c r="CQ680" s="69"/>
      <c r="CR680" s="69"/>
      <c r="CS680" s="69"/>
      <c r="CT680" s="69"/>
      <c r="CU680" s="69"/>
      <c r="CV680" s="69"/>
      <c r="CW680" s="69"/>
      <c r="CX680" s="69"/>
      <c r="CY680" s="69"/>
      <c r="CZ680" s="69"/>
      <c r="DA680" s="69"/>
      <c r="DB680" s="69"/>
      <c r="DC680" s="69"/>
      <c r="DD680" s="69"/>
      <c r="DE680" s="69"/>
      <c r="DF680" s="69"/>
      <c r="DG680" s="69"/>
      <c r="DH680" s="69"/>
      <c r="DI680" s="69"/>
      <c r="DJ680" s="69"/>
      <c r="DK680" s="69"/>
      <c r="DL680" s="69"/>
      <c r="DM680" s="69"/>
      <c r="DN680" s="69"/>
      <c r="DO680" s="69"/>
      <c r="DP680" s="69"/>
    </row>
    <row r="681" spans="1:120" x14ac:dyDescent="0.2">
      <c r="A681" s="66"/>
      <c r="B681" s="31"/>
      <c r="C681" s="31"/>
      <c r="D681" s="31"/>
      <c r="E681" s="31"/>
      <c r="F681" s="31"/>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c r="AW681" s="69"/>
      <c r="AX681" s="69"/>
      <c r="AY681" s="69"/>
      <c r="AZ681" s="69"/>
      <c r="BA681" s="69"/>
      <c r="BB681" s="69"/>
      <c r="BC681" s="69"/>
      <c r="BD681" s="69"/>
      <c r="BE681" s="69"/>
      <c r="BF681" s="69"/>
      <c r="BG681" s="69"/>
      <c r="BH681" s="69"/>
      <c r="BI681" s="69"/>
      <c r="BJ681" s="69"/>
      <c r="BK681" s="69"/>
      <c r="BL681" s="69"/>
      <c r="BM681" s="69"/>
      <c r="BN681" s="69"/>
      <c r="BO681" s="69"/>
      <c r="BP681" s="69"/>
      <c r="BQ681" s="69"/>
      <c r="BR681" s="69"/>
      <c r="BS681" s="69"/>
      <c r="BT681" s="69"/>
      <c r="BU681" s="69"/>
      <c r="BV681" s="69"/>
      <c r="BW681" s="69"/>
      <c r="BX681" s="69"/>
      <c r="BY681" s="69"/>
      <c r="BZ681" s="69"/>
      <c r="CA681" s="69"/>
      <c r="CB681" s="69"/>
      <c r="CC681" s="69"/>
      <c r="CD681" s="69"/>
      <c r="CE681" s="69"/>
      <c r="CF681" s="69"/>
      <c r="CG681" s="69"/>
      <c r="CH681" s="69"/>
      <c r="CI681" s="69"/>
      <c r="CJ681" s="69"/>
      <c r="CK681" s="69"/>
      <c r="CL681" s="69"/>
      <c r="CM681" s="69"/>
      <c r="CN681" s="69"/>
      <c r="CO681" s="69"/>
      <c r="CP681" s="69"/>
      <c r="CQ681" s="69"/>
      <c r="CR681" s="69"/>
      <c r="CS681" s="69"/>
      <c r="CT681" s="69"/>
      <c r="CU681" s="69"/>
      <c r="CV681" s="69"/>
      <c r="CW681" s="69"/>
      <c r="CX681" s="69"/>
      <c r="CY681" s="69"/>
      <c r="CZ681" s="69"/>
      <c r="DA681" s="69"/>
      <c r="DB681" s="69"/>
      <c r="DC681" s="69"/>
      <c r="DD681" s="69"/>
      <c r="DE681" s="69"/>
      <c r="DF681" s="69"/>
      <c r="DG681" s="69"/>
      <c r="DH681" s="69"/>
      <c r="DI681" s="69"/>
      <c r="DJ681" s="69"/>
      <c r="DK681" s="69"/>
      <c r="DL681" s="69"/>
      <c r="DM681" s="69"/>
      <c r="DN681" s="69"/>
      <c r="DO681" s="69"/>
      <c r="DP681" s="69"/>
    </row>
    <row r="682" spans="1:120" x14ac:dyDescent="0.2">
      <c r="A682" s="66"/>
      <c r="B682" s="31"/>
      <c r="C682" s="31"/>
      <c r="D682" s="31"/>
      <c r="E682" s="31"/>
      <c r="F682" s="31"/>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c r="AW682" s="69"/>
      <c r="AX682" s="69"/>
      <c r="AY682" s="69"/>
      <c r="AZ682" s="69"/>
      <c r="BA682" s="69"/>
      <c r="BB682" s="69"/>
      <c r="BC682" s="69"/>
      <c r="BD682" s="69"/>
      <c r="BE682" s="69"/>
      <c r="BF682" s="69"/>
      <c r="BG682" s="69"/>
      <c r="BH682" s="69"/>
      <c r="BI682" s="69"/>
      <c r="BJ682" s="69"/>
      <c r="BK682" s="69"/>
      <c r="BL682" s="69"/>
      <c r="BM682" s="69"/>
      <c r="BN682" s="69"/>
      <c r="BO682" s="69"/>
      <c r="BP682" s="69"/>
      <c r="BQ682" s="69"/>
      <c r="BR682" s="69"/>
      <c r="BS682" s="69"/>
      <c r="BT682" s="69"/>
      <c r="BU682" s="69"/>
      <c r="BV682" s="69"/>
      <c r="BW682" s="69"/>
      <c r="BX682" s="69"/>
      <c r="BY682" s="69"/>
      <c r="BZ682" s="69"/>
      <c r="CA682" s="69"/>
      <c r="CB682" s="69"/>
      <c r="CC682" s="69"/>
      <c r="CD682" s="69"/>
      <c r="CE682" s="69"/>
      <c r="CF682" s="69"/>
      <c r="CG682" s="69"/>
      <c r="CH682" s="69"/>
      <c r="CI682" s="69"/>
      <c r="CJ682" s="69"/>
      <c r="CK682" s="69"/>
      <c r="CL682" s="69"/>
      <c r="CM682" s="69"/>
      <c r="CN682" s="69"/>
      <c r="CO682" s="69"/>
      <c r="CP682" s="69"/>
      <c r="CQ682" s="69"/>
      <c r="CR682" s="69"/>
      <c r="CS682" s="69"/>
      <c r="CT682" s="69"/>
      <c r="CU682" s="69"/>
      <c r="CV682" s="69"/>
      <c r="CW682" s="69"/>
      <c r="CX682" s="69"/>
      <c r="CY682" s="69"/>
      <c r="CZ682" s="69"/>
      <c r="DA682" s="69"/>
      <c r="DB682" s="69"/>
      <c r="DC682" s="69"/>
      <c r="DD682" s="69"/>
      <c r="DE682" s="69"/>
      <c r="DF682" s="69"/>
      <c r="DG682" s="69"/>
      <c r="DH682" s="69"/>
      <c r="DI682" s="69"/>
      <c r="DJ682" s="69"/>
      <c r="DK682" s="69"/>
      <c r="DL682" s="69"/>
      <c r="DM682" s="69"/>
      <c r="DN682" s="69"/>
      <c r="DO682" s="69"/>
      <c r="DP682" s="69"/>
    </row>
    <row r="683" spans="1:120" x14ac:dyDescent="0.2">
      <c r="A683" s="66"/>
      <c r="B683" s="31"/>
      <c r="C683" s="31"/>
      <c r="D683" s="31"/>
      <c r="E683" s="31"/>
      <c r="F683" s="31"/>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c r="BT683" s="69"/>
      <c r="BU683" s="69"/>
      <c r="BV683" s="69"/>
      <c r="BW683" s="69"/>
      <c r="BX683" s="69"/>
      <c r="BY683" s="69"/>
      <c r="BZ683" s="69"/>
      <c r="CA683" s="69"/>
      <c r="CB683" s="69"/>
      <c r="CC683" s="69"/>
      <c r="CD683" s="69"/>
      <c r="CE683" s="69"/>
      <c r="CF683" s="69"/>
      <c r="CG683" s="69"/>
      <c r="CH683" s="69"/>
      <c r="CI683" s="69"/>
      <c r="CJ683" s="69"/>
      <c r="CK683" s="69"/>
      <c r="CL683" s="69"/>
      <c r="CM683" s="69"/>
      <c r="CN683" s="69"/>
      <c r="CO683" s="69"/>
      <c r="CP683" s="69"/>
      <c r="CQ683" s="69"/>
      <c r="CR683" s="69"/>
      <c r="CS683" s="69"/>
      <c r="CT683" s="69"/>
      <c r="CU683" s="69"/>
      <c r="CV683" s="69"/>
      <c r="CW683" s="69"/>
      <c r="CX683" s="69"/>
      <c r="CY683" s="69"/>
      <c r="CZ683" s="69"/>
      <c r="DA683" s="69"/>
      <c r="DB683" s="69"/>
      <c r="DC683" s="69"/>
      <c r="DD683" s="69"/>
      <c r="DE683" s="69"/>
      <c r="DF683" s="69"/>
      <c r="DG683" s="69"/>
      <c r="DH683" s="69"/>
      <c r="DI683" s="69"/>
      <c r="DJ683" s="69"/>
      <c r="DK683" s="69"/>
      <c r="DL683" s="69"/>
      <c r="DM683" s="69"/>
      <c r="DN683" s="69"/>
      <c r="DO683" s="69"/>
      <c r="DP683" s="69"/>
    </row>
    <row r="684" spans="1:120" x14ac:dyDescent="0.2">
      <c r="A684" s="66"/>
      <c r="B684" s="31"/>
      <c r="C684" s="31"/>
      <c r="D684" s="31"/>
      <c r="E684" s="31"/>
      <c r="F684" s="31"/>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c r="BT684" s="69"/>
      <c r="BU684" s="69"/>
      <c r="BV684" s="69"/>
      <c r="BW684" s="69"/>
      <c r="BX684" s="69"/>
      <c r="BY684" s="69"/>
      <c r="BZ684" s="69"/>
      <c r="CA684" s="69"/>
      <c r="CB684" s="69"/>
      <c r="CC684" s="69"/>
      <c r="CD684" s="69"/>
      <c r="CE684" s="69"/>
      <c r="CF684" s="69"/>
      <c r="CG684" s="69"/>
      <c r="CH684" s="69"/>
      <c r="CI684" s="69"/>
      <c r="CJ684" s="69"/>
      <c r="CK684" s="69"/>
      <c r="CL684" s="69"/>
      <c r="CM684" s="69"/>
      <c r="CN684" s="69"/>
      <c r="CO684" s="69"/>
      <c r="CP684" s="69"/>
      <c r="CQ684" s="69"/>
      <c r="CR684" s="69"/>
      <c r="CS684" s="69"/>
      <c r="CT684" s="69"/>
      <c r="CU684" s="69"/>
      <c r="CV684" s="69"/>
      <c r="CW684" s="69"/>
      <c r="CX684" s="69"/>
      <c r="CY684" s="69"/>
      <c r="CZ684" s="69"/>
      <c r="DA684" s="69"/>
      <c r="DB684" s="69"/>
      <c r="DC684" s="69"/>
      <c r="DD684" s="69"/>
      <c r="DE684" s="69"/>
      <c r="DF684" s="69"/>
      <c r="DG684" s="69"/>
      <c r="DH684" s="69"/>
      <c r="DI684" s="69"/>
      <c r="DJ684" s="69"/>
      <c r="DK684" s="69"/>
      <c r="DL684" s="69"/>
      <c r="DM684" s="69"/>
      <c r="DN684" s="69"/>
      <c r="DO684" s="69"/>
      <c r="DP684" s="69"/>
    </row>
    <row r="685" spans="1:120" x14ac:dyDescent="0.2">
      <c r="A685" s="66"/>
      <c r="B685" s="31"/>
      <c r="C685" s="31"/>
      <c r="D685" s="31"/>
      <c r="E685" s="31"/>
      <c r="F685" s="31"/>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c r="BT685" s="69"/>
      <c r="BU685" s="69"/>
      <c r="BV685" s="69"/>
      <c r="BW685" s="69"/>
      <c r="BX685" s="69"/>
      <c r="BY685" s="69"/>
      <c r="BZ685" s="69"/>
      <c r="CA685" s="69"/>
      <c r="CB685" s="69"/>
      <c r="CC685" s="69"/>
      <c r="CD685" s="69"/>
      <c r="CE685" s="69"/>
      <c r="CF685" s="69"/>
      <c r="CG685" s="69"/>
      <c r="CH685" s="69"/>
      <c r="CI685" s="69"/>
      <c r="CJ685" s="69"/>
      <c r="CK685" s="69"/>
      <c r="CL685" s="69"/>
      <c r="CM685" s="69"/>
      <c r="CN685" s="69"/>
      <c r="CO685" s="69"/>
      <c r="CP685" s="69"/>
      <c r="CQ685" s="69"/>
      <c r="CR685" s="69"/>
      <c r="CS685" s="69"/>
      <c r="CT685" s="69"/>
      <c r="CU685" s="69"/>
      <c r="CV685" s="69"/>
      <c r="CW685" s="69"/>
      <c r="CX685" s="69"/>
      <c r="CY685" s="69"/>
      <c r="CZ685" s="69"/>
      <c r="DA685" s="69"/>
      <c r="DB685" s="69"/>
      <c r="DC685" s="69"/>
      <c r="DD685" s="69"/>
      <c r="DE685" s="69"/>
      <c r="DF685" s="69"/>
      <c r="DG685" s="69"/>
      <c r="DH685" s="69"/>
      <c r="DI685" s="69"/>
      <c r="DJ685" s="69"/>
      <c r="DK685" s="69"/>
      <c r="DL685" s="69"/>
      <c r="DM685" s="69"/>
      <c r="DN685" s="69"/>
      <c r="DO685" s="69"/>
      <c r="DP685" s="69"/>
    </row>
    <row r="686" spans="1:120" x14ac:dyDescent="0.2">
      <c r="A686" s="66"/>
      <c r="B686" s="31"/>
      <c r="C686" s="31"/>
      <c r="D686" s="31"/>
      <c r="E686" s="31"/>
      <c r="F686" s="31"/>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c r="BT686" s="69"/>
      <c r="BU686" s="69"/>
      <c r="BV686" s="69"/>
      <c r="BW686" s="69"/>
      <c r="BX686" s="69"/>
      <c r="BY686" s="69"/>
      <c r="BZ686" s="69"/>
      <c r="CA686" s="69"/>
      <c r="CB686" s="69"/>
      <c r="CC686" s="69"/>
      <c r="CD686" s="69"/>
      <c r="CE686" s="69"/>
      <c r="CF686" s="69"/>
      <c r="CG686" s="69"/>
      <c r="CH686" s="69"/>
      <c r="CI686" s="69"/>
      <c r="CJ686" s="69"/>
      <c r="CK686" s="69"/>
      <c r="CL686" s="69"/>
      <c r="CM686" s="69"/>
      <c r="CN686" s="69"/>
      <c r="CO686" s="69"/>
      <c r="CP686" s="69"/>
      <c r="CQ686" s="69"/>
      <c r="CR686" s="69"/>
      <c r="CS686" s="69"/>
      <c r="CT686" s="69"/>
      <c r="CU686" s="69"/>
      <c r="CV686" s="69"/>
      <c r="CW686" s="69"/>
      <c r="CX686" s="69"/>
      <c r="CY686" s="69"/>
      <c r="CZ686" s="69"/>
      <c r="DA686" s="69"/>
      <c r="DB686" s="69"/>
      <c r="DC686" s="69"/>
      <c r="DD686" s="69"/>
      <c r="DE686" s="69"/>
      <c r="DF686" s="69"/>
      <c r="DG686" s="69"/>
      <c r="DH686" s="69"/>
      <c r="DI686" s="69"/>
      <c r="DJ686" s="69"/>
      <c r="DK686" s="69"/>
      <c r="DL686" s="69"/>
      <c r="DM686" s="69"/>
      <c r="DN686" s="69"/>
      <c r="DO686" s="69"/>
      <c r="DP686" s="69"/>
    </row>
    <row r="687" spans="1:120" x14ac:dyDescent="0.2">
      <c r="A687" s="66"/>
      <c r="B687" s="31"/>
      <c r="C687" s="31"/>
      <c r="D687" s="31"/>
      <c r="E687" s="31"/>
      <c r="F687" s="31"/>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c r="BT687" s="69"/>
      <c r="BU687" s="69"/>
      <c r="BV687" s="69"/>
      <c r="BW687" s="69"/>
      <c r="BX687" s="69"/>
      <c r="BY687" s="69"/>
      <c r="BZ687" s="69"/>
      <c r="CA687" s="69"/>
      <c r="CB687" s="69"/>
      <c r="CC687" s="69"/>
      <c r="CD687" s="69"/>
      <c r="CE687" s="69"/>
      <c r="CF687" s="69"/>
      <c r="CG687" s="69"/>
      <c r="CH687" s="69"/>
      <c r="CI687" s="69"/>
      <c r="CJ687" s="69"/>
      <c r="CK687" s="69"/>
      <c r="CL687" s="69"/>
      <c r="CM687" s="69"/>
      <c r="CN687" s="69"/>
      <c r="CO687" s="69"/>
      <c r="CP687" s="69"/>
      <c r="CQ687" s="69"/>
      <c r="CR687" s="69"/>
      <c r="CS687" s="69"/>
      <c r="CT687" s="69"/>
      <c r="CU687" s="69"/>
      <c r="CV687" s="69"/>
      <c r="CW687" s="69"/>
      <c r="CX687" s="69"/>
      <c r="CY687" s="69"/>
      <c r="CZ687" s="69"/>
      <c r="DA687" s="69"/>
      <c r="DB687" s="69"/>
      <c r="DC687" s="69"/>
      <c r="DD687" s="69"/>
      <c r="DE687" s="69"/>
      <c r="DF687" s="69"/>
      <c r="DG687" s="69"/>
      <c r="DH687" s="69"/>
      <c r="DI687" s="69"/>
      <c r="DJ687" s="69"/>
      <c r="DK687" s="69"/>
      <c r="DL687" s="69"/>
      <c r="DM687" s="69"/>
      <c r="DN687" s="69"/>
      <c r="DO687" s="69"/>
      <c r="DP687" s="69"/>
    </row>
    <row r="688" spans="1:120" x14ac:dyDescent="0.2">
      <c r="A688" s="66"/>
      <c r="B688" s="31"/>
      <c r="C688" s="31"/>
      <c r="D688" s="31"/>
      <c r="E688" s="31"/>
      <c r="F688" s="31"/>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c r="BT688" s="69"/>
      <c r="BU688" s="69"/>
      <c r="BV688" s="69"/>
      <c r="BW688" s="69"/>
      <c r="BX688" s="69"/>
      <c r="BY688" s="69"/>
      <c r="BZ688" s="69"/>
      <c r="CA688" s="69"/>
      <c r="CB688" s="69"/>
      <c r="CC688" s="69"/>
      <c r="CD688" s="69"/>
      <c r="CE688" s="69"/>
      <c r="CF688" s="69"/>
      <c r="CG688" s="69"/>
      <c r="CH688" s="69"/>
      <c r="CI688" s="69"/>
      <c r="CJ688" s="69"/>
      <c r="CK688" s="69"/>
      <c r="CL688" s="69"/>
      <c r="CM688" s="69"/>
      <c r="CN688" s="69"/>
      <c r="CO688" s="69"/>
      <c r="CP688" s="69"/>
      <c r="CQ688" s="69"/>
      <c r="CR688" s="69"/>
      <c r="CS688" s="69"/>
      <c r="CT688" s="69"/>
      <c r="CU688" s="69"/>
      <c r="CV688" s="69"/>
      <c r="CW688" s="69"/>
      <c r="CX688" s="69"/>
      <c r="CY688" s="69"/>
      <c r="CZ688" s="69"/>
      <c r="DA688" s="69"/>
      <c r="DB688" s="69"/>
      <c r="DC688" s="69"/>
      <c r="DD688" s="69"/>
      <c r="DE688" s="69"/>
      <c r="DF688" s="69"/>
      <c r="DG688" s="69"/>
      <c r="DH688" s="69"/>
      <c r="DI688" s="69"/>
      <c r="DJ688" s="69"/>
      <c r="DK688" s="69"/>
      <c r="DL688" s="69"/>
      <c r="DM688" s="69"/>
      <c r="DN688" s="69"/>
      <c r="DO688" s="69"/>
      <c r="DP688" s="69"/>
    </row>
    <row r="689" spans="1:120" x14ac:dyDescent="0.2">
      <c r="A689" s="66"/>
      <c r="B689" s="31"/>
      <c r="C689" s="31"/>
      <c r="D689" s="31"/>
      <c r="E689" s="31"/>
      <c r="F689" s="31"/>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c r="BT689" s="69"/>
      <c r="BU689" s="69"/>
      <c r="BV689" s="69"/>
      <c r="BW689" s="69"/>
      <c r="BX689" s="69"/>
      <c r="BY689" s="69"/>
      <c r="BZ689" s="69"/>
      <c r="CA689" s="69"/>
      <c r="CB689" s="69"/>
      <c r="CC689" s="69"/>
      <c r="CD689" s="69"/>
      <c r="CE689" s="69"/>
      <c r="CF689" s="69"/>
      <c r="CG689" s="69"/>
      <c r="CH689" s="69"/>
      <c r="CI689" s="69"/>
      <c r="CJ689" s="69"/>
      <c r="CK689" s="69"/>
      <c r="CL689" s="69"/>
      <c r="CM689" s="69"/>
      <c r="CN689" s="69"/>
      <c r="CO689" s="69"/>
      <c r="CP689" s="69"/>
      <c r="CQ689" s="69"/>
      <c r="CR689" s="69"/>
      <c r="CS689" s="69"/>
      <c r="CT689" s="69"/>
      <c r="CU689" s="69"/>
      <c r="CV689" s="69"/>
      <c r="CW689" s="69"/>
      <c r="CX689" s="69"/>
      <c r="CY689" s="69"/>
      <c r="CZ689" s="69"/>
      <c r="DA689" s="69"/>
      <c r="DB689" s="69"/>
      <c r="DC689" s="69"/>
      <c r="DD689" s="69"/>
      <c r="DE689" s="69"/>
      <c r="DF689" s="69"/>
      <c r="DG689" s="69"/>
      <c r="DH689" s="69"/>
      <c r="DI689" s="69"/>
      <c r="DJ689" s="69"/>
      <c r="DK689" s="69"/>
      <c r="DL689" s="69"/>
      <c r="DM689" s="69"/>
      <c r="DN689" s="69"/>
      <c r="DO689" s="69"/>
      <c r="DP689" s="69"/>
    </row>
    <row r="690" spans="1:120" x14ac:dyDescent="0.2">
      <c r="A690" s="66"/>
      <c r="B690" s="31"/>
      <c r="C690" s="31"/>
      <c r="D690" s="31"/>
      <c r="E690" s="31"/>
      <c r="F690" s="31"/>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c r="BT690" s="69"/>
      <c r="BU690" s="69"/>
      <c r="BV690" s="69"/>
      <c r="BW690" s="69"/>
      <c r="BX690" s="69"/>
      <c r="BY690" s="69"/>
      <c r="BZ690" s="69"/>
      <c r="CA690" s="69"/>
      <c r="CB690" s="69"/>
      <c r="CC690" s="69"/>
      <c r="CD690" s="69"/>
      <c r="CE690" s="69"/>
      <c r="CF690" s="69"/>
      <c r="CG690" s="69"/>
      <c r="CH690" s="69"/>
      <c r="CI690" s="69"/>
      <c r="CJ690" s="69"/>
      <c r="CK690" s="69"/>
      <c r="CL690" s="69"/>
      <c r="CM690" s="69"/>
      <c r="CN690" s="69"/>
      <c r="CO690" s="69"/>
      <c r="CP690" s="69"/>
      <c r="CQ690" s="69"/>
      <c r="CR690" s="69"/>
      <c r="CS690" s="69"/>
      <c r="CT690" s="69"/>
      <c r="CU690" s="69"/>
      <c r="CV690" s="69"/>
      <c r="CW690" s="69"/>
      <c r="CX690" s="69"/>
      <c r="CY690" s="69"/>
      <c r="CZ690" s="69"/>
      <c r="DA690" s="69"/>
      <c r="DB690" s="69"/>
      <c r="DC690" s="69"/>
      <c r="DD690" s="69"/>
      <c r="DE690" s="69"/>
      <c r="DF690" s="69"/>
      <c r="DG690" s="69"/>
      <c r="DH690" s="69"/>
      <c r="DI690" s="69"/>
      <c r="DJ690" s="69"/>
      <c r="DK690" s="69"/>
      <c r="DL690" s="69"/>
      <c r="DM690" s="69"/>
      <c r="DN690" s="69"/>
      <c r="DO690" s="69"/>
      <c r="DP690" s="69"/>
    </row>
    <row r="691" spans="1:120" x14ac:dyDescent="0.2">
      <c r="A691" s="66"/>
      <c r="B691" s="31"/>
      <c r="C691" s="31"/>
      <c r="D691" s="31"/>
      <c r="E691" s="31"/>
      <c r="F691" s="31"/>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c r="BT691" s="69"/>
      <c r="BU691" s="69"/>
      <c r="BV691" s="69"/>
      <c r="BW691" s="69"/>
      <c r="BX691" s="69"/>
      <c r="BY691" s="69"/>
      <c r="BZ691" s="69"/>
      <c r="CA691" s="69"/>
      <c r="CB691" s="69"/>
      <c r="CC691" s="69"/>
      <c r="CD691" s="69"/>
      <c r="CE691" s="69"/>
      <c r="CF691" s="69"/>
      <c r="CG691" s="69"/>
      <c r="CH691" s="69"/>
      <c r="CI691" s="69"/>
      <c r="CJ691" s="69"/>
      <c r="CK691" s="69"/>
      <c r="CL691" s="69"/>
      <c r="CM691" s="69"/>
      <c r="CN691" s="69"/>
      <c r="CO691" s="69"/>
      <c r="CP691" s="69"/>
      <c r="CQ691" s="69"/>
      <c r="CR691" s="69"/>
      <c r="CS691" s="69"/>
      <c r="CT691" s="69"/>
      <c r="CU691" s="69"/>
      <c r="CV691" s="69"/>
      <c r="CW691" s="69"/>
      <c r="CX691" s="69"/>
      <c r="CY691" s="69"/>
      <c r="CZ691" s="69"/>
      <c r="DA691" s="69"/>
      <c r="DB691" s="69"/>
      <c r="DC691" s="69"/>
      <c r="DD691" s="69"/>
      <c r="DE691" s="69"/>
      <c r="DF691" s="69"/>
      <c r="DG691" s="69"/>
      <c r="DH691" s="69"/>
      <c r="DI691" s="69"/>
      <c r="DJ691" s="69"/>
      <c r="DK691" s="69"/>
      <c r="DL691" s="69"/>
      <c r="DM691" s="69"/>
      <c r="DN691" s="69"/>
      <c r="DO691" s="69"/>
      <c r="DP691" s="69"/>
    </row>
    <row r="692" spans="1:120" x14ac:dyDescent="0.2">
      <c r="A692" s="66"/>
      <c r="B692" s="31"/>
      <c r="C692" s="31"/>
      <c r="D692" s="31"/>
      <c r="E692" s="31"/>
      <c r="F692" s="31"/>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c r="BT692" s="69"/>
      <c r="BU692" s="69"/>
      <c r="BV692" s="69"/>
      <c r="BW692" s="69"/>
      <c r="BX692" s="69"/>
      <c r="BY692" s="69"/>
      <c r="BZ692" s="69"/>
      <c r="CA692" s="69"/>
      <c r="CB692" s="69"/>
      <c r="CC692" s="69"/>
      <c r="CD692" s="69"/>
      <c r="CE692" s="69"/>
      <c r="CF692" s="69"/>
      <c r="CG692" s="69"/>
      <c r="CH692" s="69"/>
      <c r="CI692" s="69"/>
      <c r="CJ692" s="69"/>
      <c r="CK692" s="69"/>
      <c r="CL692" s="69"/>
      <c r="CM692" s="69"/>
      <c r="CN692" s="69"/>
      <c r="CO692" s="69"/>
      <c r="CP692" s="69"/>
      <c r="CQ692" s="69"/>
      <c r="CR692" s="69"/>
      <c r="CS692" s="69"/>
      <c r="CT692" s="69"/>
      <c r="CU692" s="69"/>
      <c r="CV692" s="69"/>
      <c r="CW692" s="69"/>
      <c r="CX692" s="69"/>
      <c r="CY692" s="69"/>
      <c r="CZ692" s="69"/>
      <c r="DA692" s="69"/>
      <c r="DB692" s="69"/>
      <c r="DC692" s="69"/>
      <c r="DD692" s="69"/>
      <c r="DE692" s="69"/>
      <c r="DF692" s="69"/>
      <c r="DG692" s="69"/>
      <c r="DH692" s="69"/>
      <c r="DI692" s="69"/>
      <c r="DJ692" s="69"/>
      <c r="DK692" s="69"/>
      <c r="DL692" s="69"/>
      <c r="DM692" s="69"/>
      <c r="DN692" s="69"/>
      <c r="DO692" s="69"/>
      <c r="DP692" s="69"/>
    </row>
    <row r="693" spans="1:120" x14ac:dyDescent="0.2">
      <c r="A693" s="66"/>
      <c r="B693" s="31"/>
      <c r="C693" s="31"/>
      <c r="D693" s="31"/>
      <c r="E693" s="31"/>
      <c r="F693" s="31"/>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c r="AW693" s="69"/>
      <c r="AX693" s="69"/>
      <c r="AY693" s="69"/>
      <c r="AZ693" s="69"/>
      <c r="BA693" s="69"/>
      <c r="BB693" s="69"/>
      <c r="BC693" s="69"/>
      <c r="BD693" s="69"/>
      <c r="BE693" s="69"/>
      <c r="BF693" s="69"/>
      <c r="BG693" s="69"/>
      <c r="BH693" s="69"/>
      <c r="BI693" s="69"/>
      <c r="BJ693" s="69"/>
      <c r="BK693" s="69"/>
      <c r="BL693" s="69"/>
      <c r="BM693" s="69"/>
      <c r="BN693" s="69"/>
      <c r="BO693" s="69"/>
      <c r="BP693" s="69"/>
      <c r="BQ693" s="69"/>
      <c r="BR693" s="69"/>
      <c r="BS693" s="69"/>
      <c r="BT693" s="69"/>
      <c r="BU693" s="69"/>
      <c r="BV693" s="69"/>
      <c r="BW693" s="69"/>
      <c r="BX693" s="69"/>
      <c r="BY693" s="69"/>
      <c r="BZ693" s="69"/>
      <c r="CA693" s="69"/>
      <c r="CB693" s="69"/>
      <c r="CC693" s="69"/>
      <c r="CD693" s="69"/>
      <c r="CE693" s="69"/>
      <c r="CF693" s="69"/>
      <c r="CG693" s="69"/>
      <c r="CH693" s="69"/>
      <c r="CI693" s="69"/>
      <c r="CJ693" s="69"/>
      <c r="CK693" s="69"/>
      <c r="CL693" s="69"/>
      <c r="CM693" s="69"/>
      <c r="CN693" s="69"/>
      <c r="CO693" s="69"/>
      <c r="CP693" s="69"/>
      <c r="CQ693" s="69"/>
      <c r="CR693" s="69"/>
      <c r="CS693" s="69"/>
      <c r="CT693" s="69"/>
      <c r="CU693" s="69"/>
      <c r="CV693" s="69"/>
      <c r="CW693" s="69"/>
      <c r="CX693" s="69"/>
      <c r="CY693" s="69"/>
      <c r="CZ693" s="69"/>
      <c r="DA693" s="69"/>
      <c r="DB693" s="69"/>
      <c r="DC693" s="69"/>
      <c r="DD693" s="69"/>
      <c r="DE693" s="69"/>
      <c r="DF693" s="69"/>
      <c r="DG693" s="69"/>
      <c r="DH693" s="69"/>
      <c r="DI693" s="69"/>
      <c r="DJ693" s="69"/>
      <c r="DK693" s="69"/>
      <c r="DL693" s="69"/>
      <c r="DM693" s="69"/>
      <c r="DN693" s="69"/>
      <c r="DO693" s="69"/>
      <c r="DP693" s="69"/>
    </row>
    <row r="694" spans="1:120" x14ac:dyDescent="0.2">
      <c r="A694" s="66"/>
      <c r="B694" s="31"/>
      <c r="C694" s="31"/>
      <c r="D694" s="31"/>
      <c r="E694" s="31"/>
      <c r="F694" s="31"/>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c r="BT694" s="69"/>
      <c r="BU694" s="69"/>
      <c r="BV694" s="69"/>
      <c r="BW694" s="69"/>
      <c r="BX694" s="69"/>
      <c r="BY694" s="69"/>
      <c r="BZ694" s="69"/>
      <c r="CA694" s="69"/>
      <c r="CB694" s="69"/>
      <c r="CC694" s="69"/>
      <c r="CD694" s="69"/>
      <c r="CE694" s="69"/>
      <c r="CF694" s="69"/>
      <c r="CG694" s="69"/>
      <c r="CH694" s="69"/>
      <c r="CI694" s="69"/>
      <c r="CJ694" s="69"/>
      <c r="CK694" s="69"/>
      <c r="CL694" s="69"/>
      <c r="CM694" s="69"/>
      <c r="CN694" s="69"/>
      <c r="CO694" s="69"/>
      <c r="CP694" s="69"/>
      <c r="CQ694" s="69"/>
      <c r="CR694" s="69"/>
      <c r="CS694" s="69"/>
      <c r="CT694" s="69"/>
      <c r="CU694" s="69"/>
      <c r="CV694" s="69"/>
      <c r="CW694" s="69"/>
      <c r="CX694" s="69"/>
      <c r="CY694" s="69"/>
      <c r="CZ694" s="69"/>
      <c r="DA694" s="69"/>
      <c r="DB694" s="69"/>
      <c r="DC694" s="69"/>
      <c r="DD694" s="69"/>
      <c r="DE694" s="69"/>
      <c r="DF694" s="69"/>
      <c r="DG694" s="69"/>
      <c r="DH694" s="69"/>
      <c r="DI694" s="69"/>
      <c r="DJ694" s="69"/>
      <c r="DK694" s="69"/>
      <c r="DL694" s="69"/>
      <c r="DM694" s="69"/>
      <c r="DN694" s="69"/>
      <c r="DO694" s="69"/>
      <c r="DP694" s="69"/>
    </row>
    <row r="695" spans="1:120" x14ac:dyDescent="0.2">
      <c r="A695" s="66"/>
      <c r="B695" s="31"/>
      <c r="C695" s="31"/>
      <c r="D695" s="31"/>
      <c r="E695" s="31"/>
      <c r="F695" s="31"/>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c r="BT695" s="69"/>
      <c r="BU695" s="69"/>
      <c r="BV695" s="69"/>
      <c r="BW695" s="69"/>
      <c r="BX695" s="69"/>
      <c r="BY695" s="69"/>
      <c r="BZ695" s="69"/>
      <c r="CA695" s="69"/>
      <c r="CB695" s="69"/>
      <c r="CC695" s="69"/>
      <c r="CD695" s="69"/>
      <c r="CE695" s="69"/>
      <c r="CF695" s="69"/>
      <c r="CG695" s="69"/>
      <c r="CH695" s="69"/>
      <c r="CI695" s="69"/>
      <c r="CJ695" s="69"/>
      <c r="CK695" s="69"/>
      <c r="CL695" s="69"/>
      <c r="CM695" s="69"/>
      <c r="CN695" s="69"/>
      <c r="CO695" s="69"/>
      <c r="CP695" s="69"/>
      <c r="CQ695" s="69"/>
      <c r="CR695" s="69"/>
      <c r="CS695" s="69"/>
      <c r="CT695" s="69"/>
      <c r="CU695" s="69"/>
      <c r="CV695" s="69"/>
      <c r="CW695" s="69"/>
      <c r="CX695" s="69"/>
      <c r="CY695" s="69"/>
      <c r="CZ695" s="69"/>
      <c r="DA695" s="69"/>
      <c r="DB695" s="69"/>
      <c r="DC695" s="69"/>
      <c r="DD695" s="69"/>
      <c r="DE695" s="69"/>
      <c r="DF695" s="69"/>
      <c r="DG695" s="69"/>
      <c r="DH695" s="69"/>
      <c r="DI695" s="69"/>
      <c r="DJ695" s="69"/>
      <c r="DK695" s="69"/>
      <c r="DL695" s="69"/>
      <c r="DM695" s="69"/>
      <c r="DN695" s="69"/>
      <c r="DO695" s="69"/>
      <c r="DP695" s="69"/>
    </row>
    <row r="696" spans="1:120" x14ac:dyDescent="0.2">
      <c r="A696" s="66"/>
      <c r="B696" s="31"/>
      <c r="C696" s="31"/>
      <c r="D696" s="31"/>
      <c r="E696" s="31"/>
      <c r="F696" s="31"/>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c r="BT696" s="69"/>
      <c r="BU696" s="69"/>
      <c r="BV696" s="69"/>
      <c r="BW696" s="69"/>
      <c r="BX696" s="69"/>
      <c r="BY696" s="69"/>
      <c r="BZ696" s="69"/>
      <c r="CA696" s="69"/>
      <c r="CB696" s="69"/>
      <c r="CC696" s="69"/>
      <c r="CD696" s="69"/>
      <c r="CE696" s="69"/>
      <c r="CF696" s="69"/>
      <c r="CG696" s="69"/>
      <c r="CH696" s="69"/>
      <c r="CI696" s="69"/>
      <c r="CJ696" s="69"/>
      <c r="CK696" s="69"/>
      <c r="CL696" s="69"/>
      <c r="CM696" s="69"/>
      <c r="CN696" s="69"/>
      <c r="CO696" s="69"/>
      <c r="CP696" s="69"/>
      <c r="CQ696" s="69"/>
      <c r="CR696" s="69"/>
      <c r="CS696" s="69"/>
      <c r="CT696" s="69"/>
      <c r="CU696" s="69"/>
      <c r="CV696" s="69"/>
      <c r="CW696" s="69"/>
      <c r="CX696" s="69"/>
      <c r="CY696" s="69"/>
      <c r="CZ696" s="69"/>
      <c r="DA696" s="69"/>
      <c r="DB696" s="69"/>
      <c r="DC696" s="69"/>
      <c r="DD696" s="69"/>
      <c r="DE696" s="69"/>
      <c r="DF696" s="69"/>
      <c r="DG696" s="69"/>
      <c r="DH696" s="69"/>
      <c r="DI696" s="69"/>
      <c r="DJ696" s="69"/>
      <c r="DK696" s="69"/>
      <c r="DL696" s="69"/>
      <c r="DM696" s="69"/>
      <c r="DN696" s="69"/>
      <c r="DO696" s="69"/>
      <c r="DP696" s="69"/>
    </row>
    <row r="697" spans="1:120" x14ac:dyDescent="0.2">
      <c r="A697" s="66"/>
      <c r="B697" s="31"/>
      <c r="C697" s="31"/>
      <c r="D697" s="31"/>
      <c r="E697" s="31"/>
      <c r="F697" s="31"/>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c r="BT697" s="69"/>
      <c r="BU697" s="69"/>
      <c r="BV697" s="69"/>
      <c r="BW697" s="69"/>
      <c r="BX697" s="69"/>
      <c r="BY697" s="69"/>
      <c r="BZ697" s="69"/>
      <c r="CA697" s="69"/>
      <c r="CB697" s="69"/>
      <c r="CC697" s="69"/>
      <c r="CD697" s="69"/>
      <c r="CE697" s="69"/>
      <c r="CF697" s="69"/>
      <c r="CG697" s="69"/>
      <c r="CH697" s="69"/>
      <c r="CI697" s="69"/>
      <c r="CJ697" s="69"/>
      <c r="CK697" s="69"/>
      <c r="CL697" s="69"/>
      <c r="CM697" s="69"/>
      <c r="CN697" s="69"/>
      <c r="CO697" s="69"/>
      <c r="CP697" s="69"/>
      <c r="CQ697" s="69"/>
      <c r="CR697" s="69"/>
      <c r="CS697" s="69"/>
      <c r="CT697" s="69"/>
      <c r="CU697" s="69"/>
      <c r="CV697" s="69"/>
      <c r="CW697" s="69"/>
      <c r="CX697" s="69"/>
      <c r="CY697" s="69"/>
      <c r="CZ697" s="69"/>
      <c r="DA697" s="69"/>
      <c r="DB697" s="69"/>
      <c r="DC697" s="69"/>
      <c r="DD697" s="69"/>
      <c r="DE697" s="69"/>
      <c r="DF697" s="69"/>
      <c r="DG697" s="69"/>
      <c r="DH697" s="69"/>
      <c r="DI697" s="69"/>
      <c r="DJ697" s="69"/>
      <c r="DK697" s="69"/>
      <c r="DL697" s="69"/>
      <c r="DM697" s="69"/>
      <c r="DN697" s="69"/>
      <c r="DO697" s="69"/>
      <c r="DP697" s="69"/>
    </row>
    <row r="698" spans="1:120" x14ac:dyDescent="0.2">
      <c r="A698" s="66"/>
      <c r="B698" s="31"/>
      <c r="C698" s="31"/>
      <c r="D698" s="31"/>
      <c r="E698" s="31"/>
      <c r="F698" s="31"/>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c r="BT698" s="69"/>
      <c r="BU698" s="69"/>
      <c r="BV698" s="69"/>
      <c r="BW698" s="69"/>
      <c r="BX698" s="69"/>
      <c r="BY698" s="69"/>
      <c r="BZ698" s="69"/>
      <c r="CA698" s="69"/>
      <c r="CB698" s="69"/>
      <c r="CC698" s="69"/>
      <c r="CD698" s="69"/>
      <c r="CE698" s="69"/>
      <c r="CF698" s="69"/>
      <c r="CG698" s="69"/>
      <c r="CH698" s="69"/>
      <c r="CI698" s="69"/>
      <c r="CJ698" s="69"/>
      <c r="CK698" s="69"/>
      <c r="CL698" s="69"/>
      <c r="CM698" s="69"/>
      <c r="CN698" s="69"/>
      <c r="CO698" s="69"/>
      <c r="CP698" s="69"/>
      <c r="CQ698" s="69"/>
      <c r="CR698" s="69"/>
      <c r="CS698" s="69"/>
      <c r="CT698" s="69"/>
      <c r="CU698" s="69"/>
      <c r="CV698" s="69"/>
      <c r="CW698" s="69"/>
      <c r="CX698" s="69"/>
      <c r="CY698" s="69"/>
      <c r="CZ698" s="69"/>
      <c r="DA698" s="69"/>
      <c r="DB698" s="69"/>
      <c r="DC698" s="69"/>
      <c r="DD698" s="69"/>
      <c r="DE698" s="69"/>
      <c r="DF698" s="69"/>
      <c r="DG698" s="69"/>
      <c r="DH698" s="69"/>
      <c r="DI698" s="69"/>
      <c r="DJ698" s="69"/>
      <c r="DK698" s="69"/>
      <c r="DL698" s="69"/>
      <c r="DM698" s="69"/>
      <c r="DN698" s="69"/>
      <c r="DO698" s="69"/>
      <c r="DP698" s="69"/>
    </row>
    <row r="699" spans="1:120" x14ac:dyDescent="0.2">
      <c r="A699" s="66"/>
      <c r="B699" s="31"/>
      <c r="C699" s="31"/>
      <c r="D699" s="31"/>
      <c r="E699" s="31"/>
      <c r="F699" s="31"/>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c r="BT699" s="69"/>
      <c r="BU699" s="69"/>
      <c r="BV699" s="69"/>
      <c r="BW699" s="69"/>
      <c r="BX699" s="69"/>
      <c r="BY699" s="69"/>
      <c r="BZ699" s="69"/>
      <c r="CA699" s="69"/>
      <c r="CB699" s="69"/>
      <c r="CC699" s="69"/>
      <c r="CD699" s="69"/>
      <c r="CE699" s="69"/>
      <c r="CF699" s="69"/>
      <c r="CG699" s="69"/>
      <c r="CH699" s="69"/>
      <c r="CI699" s="69"/>
      <c r="CJ699" s="69"/>
      <c r="CK699" s="69"/>
      <c r="CL699" s="69"/>
      <c r="CM699" s="69"/>
      <c r="CN699" s="69"/>
      <c r="CO699" s="69"/>
      <c r="CP699" s="69"/>
      <c r="CQ699" s="69"/>
      <c r="CR699" s="69"/>
      <c r="CS699" s="69"/>
      <c r="CT699" s="69"/>
      <c r="CU699" s="69"/>
      <c r="CV699" s="69"/>
      <c r="CW699" s="69"/>
      <c r="CX699" s="69"/>
      <c r="CY699" s="69"/>
      <c r="CZ699" s="69"/>
      <c r="DA699" s="69"/>
      <c r="DB699" s="69"/>
      <c r="DC699" s="69"/>
      <c r="DD699" s="69"/>
      <c r="DE699" s="69"/>
      <c r="DF699" s="69"/>
      <c r="DG699" s="69"/>
      <c r="DH699" s="69"/>
      <c r="DI699" s="69"/>
      <c r="DJ699" s="69"/>
      <c r="DK699" s="69"/>
      <c r="DL699" s="69"/>
      <c r="DM699" s="69"/>
      <c r="DN699" s="69"/>
      <c r="DO699" s="69"/>
      <c r="DP699" s="69"/>
    </row>
    <row r="700" spans="1:120" x14ac:dyDescent="0.2">
      <c r="A700" s="66"/>
      <c r="B700" s="31"/>
      <c r="C700" s="31"/>
      <c r="D700" s="31"/>
      <c r="E700" s="31"/>
      <c r="F700" s="31"/>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c r="BT700" s="69"/>
      <c r="BU700" s="69"/>
      <c r="BV700" s="69"/>
      <c r="BW700" s="69"/>
      <c r="BX700" s="69"/>
      <c r="BY700" s="69"/>
      <c r="BZ700" s="69"/>
      <c r="CA700" s="69"/>
      <c r="CB700" s="69"/>
      <c r="CC700" s="69"/>
      <c r="CD700" s="69"/>
      <c r="CE700" s="69"/>
      <c r="CF700" s="69"/>
      <c r="CG700" s="69"/>
      <c r="CH700" s="69"/>
      <c r="CI700" s="69"/>
      <c r="CJ700" s="69"/>
      <c r="CK700" s="69"/>
      <c r="CL700" s="69"/>
      <c r="CM700" s="69"/>
      <c r="CN700" s="69"/>
      <c r="CO700" s="69"/>
      <c r="CP700" s="69"/>
      <c r="CQ700" s="69"/>
      <c r="CR700" s="69"/>
      <c r="CS700" s="69"/>
      <c r="CT700" s="69"/>
      <c r="CU700" s="69"/>
      <c r="CV700" s="69"/>
      <c r="CW700" s="69"/>
      <c r="CX700" s="69"/>
      <c r="CY700" s="69"/>
      <c r="CZ700" s="69"/>
      <c r="DA700" s="69"/>
      <c r="DB700" s="69"/>
      <c r="DC700" s="69"/>
      <c r="DD700" s="69"/>
      <c r="DE700" s="69"/>
      <c r="DF700" s="69"/>
      <c r="DG700" s="69"/>
      <c r="DH700" s="69"/>
      <c r="DI700" s="69"/>
      <c r="DJ700" s="69"/>
      <c r="DK700" s="69"/>
      <c r="DL700" s="69"/>
      <c r="DM700" s="69"/>
      <c r="DN700" s="69"/>
      <c r="DO700" s="69"/>
      <c r="DP700" s="69"/>
    </row>
    <row r="701" spans="1:120" x14ac:dyDescent="0.2">
      <c r="A701" s="66"/>
      <c r="B701" s="31"/>
      <c r="C701" s="31"/>
      <c r="D701" s="31"/>
      <c r="E701" s="31"/>
      <c r="F701" s="31"/>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c r="AW701" s="69"/>
      <c r="AX701" s="69"/>
      <c r="AY701" s="69"/>
      <c r="AZ701" s="69"/>
      <c r="BA701" s="69"/>
      <c r="BB701" s="69"/>
      <c r="BC701" s="69"/>
      <c r="BD701" s="69"/>
      <c r="BE701" s="69"/>
      <c r="BF701" s="69"/>
      <c r="BG701" s="69"/>
      <c r="BH701" s="69"/>
      <c r="BI701" s="69"/>
      <c r="BJ701" s="69"/>
      <c r="BK701" s="69"/>
      <c r="BL701" s="69"/>
      <c r="BM701" s="69"/>
      <c r="BN701" s="69"/>
      <c r="BO701" s="69"/>
      <c r="BP701" s="69"/>
      <c r="BQ701" s="69"/>
      <c r="BR701" s="69"/>
      <c r="BS701" s="69"/>
      <c r="BT701" s="69"/>
      <c r="BU701" s="69"/>
      <c r="BV701" s="69"/>
      <c r="BW701" s="69"/>
      <c r="BX701" s="69"/>
      <c r="BY701" s="69"/>
      <c r="BZ701" s="69"/>
      <c r="CA701" s="69"/>
      <c r="CB701" s="69"/>
      <c r="CC701" s="69"/>
      <c r="CD701" s="69"/>
      <c r="CE701" s="69"/>
      <c r="CF701" s="69"/>
      <c r="CG701" s="69"/>
      <c r="CH701" s="69"/>
      <c r="CI701" s="69"/>
      <c r="CJ701" s="69"/>
      <c r="CK701" s="69"/>
      <c r="CL701" s="69"/>
      <c r="CM701" s="69"/>
      <c r="CN701" s="69"/>
      <c r="CO701" s="69"/>
      <c r="CP701" s="69"/>
      <c r="CQ701" s="69"/>
      <c r="CR701" s="69"/>
      <c r="CS701" s="69"/>
      <c r="CT701" s="69"/>
      <c r="CU701" s="69"/>
      <c r="CV701" s="69"/>
      <c r="CW701" s="69"/>
      <c r="CX701" s="69"/>
      <c r="CY701" s="69"/>
      <c r="CZ701" s="69"/>
      <c r="DA701" s="69"/>
      <c r="DB701" s="69"/>
      <c r="DC701" s="69"/>
      <c r="DD701" s="69"/>
      <c r="DE701" s="69"/>
      <c r="DF701" s="69"/>
      <c r="DG701" s="69"/>
      <c r="DH701" s="69"/>
      <c r="DI701" s="69"/>
      <c r="DJ701" s="69"/>
      <c r="DK701" s="69"/>
      <c r="DL701" s="69"/>
      <c r="DM701" s="69"/>
      <c r="DN701" s="69"/>
      <c r="DO701" s="69"/>
      <c r="DP701" s="69"/>
    </row>
    <row r="702" spans="1:120" x14ac:dyDescent="0.2">
      <c r="A702" s="66"/>
      <c r="B702" s="31"/>
      <c r="C702" s="31"/>
      <c r="D702" s="31"/>
      <c r="E702" s="31"/>
      <c r="F702" s="31"/>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c r="AW702" s="69"/>
      <c r="AX702" s="69"/>
      <c r="AY702" s="69"/>
      <c r="AZ702" s="69"/>
      <c r="BA702" s="69"/>
      <c r="BB702" s="69"/>
      <c r="BC702" s="69"/>
      <c r="BD702" s="69"/>
      <c r="BE702" s="69"/>
      <c r="BF702" s="69"/>
      <c r="BG702" s="69"/>
      <c r="BH702" s="69"/>
      <c r="BI702" s="69"/>
      <c r="BJ702" s="69"/>
      <c r="BK702" s="69"/>
      <c r="BL702" s="69"/>
      <c r="BM702" s="69"/>
      <c r="BN702" s="69"/>
      <c r="BO702" s="69"/>
      <c r="BP702" s="69"/>
      <c r="BQ702" s="69"/>
      <c r="BR702" s="69"/>
      <c r="BS702" s="69"/>
      <c r="BT702" s="69"/>
      <c r="BU702" s="69"/>
      <c r="BV702" s="69"/>
      <c r="BW702" s="69"/>
      <c r="BX702" s="69"/>
      <c r="BY702" s="69"/>
      <c r="BZ702" s="69"/>
      <c r="CA702" s="69"/>
      <c r="CB702" s="69"/>
      <c r="CC702" s="69"/>
      <c r="CD702" s="69"/>
      <c r="CE702" s="69"/>
      <c r="CF702" s="69"/>
      <c r="CG702" s="69"/>
      <c r="CH702" s="69"/>
      <c r="CI702" s="69"/>
      <c r="CJ702" s="69"/>
      <c r="CK702" s="69"/>
      <c r="CL702" s="69"/>
      <c r="CM702" s="69"/>
      <c r="CN702" s="69"/>
      <c r="CO702" s="69"/>
      <c r="CP702" s="69"/>
      <c r="CQ702" s="69"/>
      <c r="CR702" s="69"/>
      <c r="CS702" s="69"/>
      <c r="CT702" s="69"/>
      <c r="CU702" s="69"/>
      <c r="CV702" s="69"/>
      <c r="CW702" s="69"/>
      <c r="CX702" s="69"/>
      <c r="CY702" s="69"/>
      <c r="CZ702" s="69"/>
      <c r="DA702" s="69"/>
      <c r="DB702" s="69"/>
      <c r="DC702" s="69"/>
      <c r="DD702" s="69"/>
      <c r="DE702" s="69"/>
      <c r="DF702" s="69"/>
      <c r="DG702" s="69"/>
      <c r="DH702" s="69"/>
      <c r="DI702" s="69"/>
      <c r="DJ702" s="69"/>
      <c r="DK702" s="69"/>
      <c r="DL702" s="69"/>
      <c r="DM702" s="69"/>
      <c r="DN702" s="69"/>
      <c r="DO702" s="69"/>
      <c r="DP702" s="69"/>
    </row>
    <row r="703" spans="1:120" x14ac:dyDescent="0.2">
      <c r="A703" s="66"/>
      <c r="B703" s="31"/>
      <c r="C703" s="31"/>
      <c r="D703" s="31"/>
      <c r="E703" s="31"/>
      <c r="F703" s="31"/>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c r="BT703" s="69"/>
      <c r="BU703" s="69"/>
      <c r="BV703" s="69"/>
      <c r="BW703" s="69"/>
      <c r="BX703" s="69"/>
      <c r="BY703" s="69"/>
      <c r="BZ703" s="69"/>
      <c r="CA703" s="69"/>
      <c r="CB703" s="69"/>
      <c r="CC703" s="69"/>
      <c r="CD703" s="69"/>
      <c r="CE703" s="69"/>
      <c r="CF703" s="69"/>
      <c r="CG703" s="69"/>
      <c r="CH703" s="69"/>
      <c r="CI703" s="69"/>
      <c r="CJ703" s="69"/>
      <c r="CK703" s="69"/>
      <c r="CL703" s="69"/>
      <c r="CM703" s="69"/>
      <c r="CN703" s="69"/>
      <c r="CO703" s="69"/>
      <c r="CP703" s="69"/>
      <c r="CQ703" s="69"/>
      <c r="CR703" s="69"/>
      <c r="CS703" s="69"/>
      <c r="CT703" s="69"/>
      <c r="CU703" s="69"/>
      <c r="CV703" s="69"/>
      <c r="CW703" s="69"/>
      <c r="CX703" s="69"/>
      <c r="CY703" s="69"/>
      <c r="CZ703" s="69"/>
      <c r="DA703" s="69"/>
      <c r="DB703" s="69"/>
      <c r="DC703" s="69"/>
      <c r="DD703" s="69"/>
      <c r="DE703" s="69"/>
      <c r="DF703" s="69"/>
      <c r="DG703" s="69"/>
      <c r="DH703" s="69"/>
      <c r="DI703" s="69"/>
      <c r="DJ703" s="69"/>
      <c r="DK703" s="69"/>
      <c r="DL703" s="69"/>
      <c r="DM703" s="69"/>
      <c r="DN703" s="69"/>
      <c r="DO703" s="69"/>
      <c r="DP703" s="69"/>
    </row>
    <row r="704" spans="1:120" x14ac:dyDescent="0.2">
      <c r="A704" s="66"/>
      <c r="B704" s="31"/>
      <c r="C704" s="31"/>
      <c r="D704" s="31"/>
      <c r="E704" s="31"/>
      <c r="F704" s="31"/>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c r="BT704" s="69"/>
      <c r="BU704" s="69"/>
      <c r="BV704" s="69"/>
      <c r="BW704" s="69"/>
      <c r="BX704" s="69"/>
      <c r="BY704" s="69"/>
      <c r="BZ704" s="69"/>
      <c r="CA704" s="69"/>
      <c r="CB704" s="69"/>
      <c r="CC704" s="69"/>
      <c r="CD704" s="69"/>
      <c r="CE704" s="69"/>
      <c r="CF704" s="69"/>
      <c r="CG704" s="69"/>
      <c r="CH704" s="69"/>
      <c r="CI704" s="69"/>
      <c r="CJ704" s="69"/>
      <c r="CK704" s="69"/>
      <c r="CL704" s="69"/>
      <c r="CM704" s="69"/>
      <c r="CN704" s="69"/>
      <c r="CO704" s="69"/>
      <c r="CP704" s="69"/>
      <c r="CQ704" s="69"/>
      <c r="CR704" s="69"/>
      <c r="CS704" s="69"/>
      <c r="CT704" s="69"/>
      <c r="CU704" s="69"/>
      <c r="CV704" s="69"/>
      <c r="CW704" s="69"/>
      <c r="CX704" s="69"/>
      <c r="CY704" s="69"/>
      <c r="CZ704" s="69"/>
      <c r="DA704" s="69"/>
      <c r="DB704" s="69"/>
      <c r="DC704" s="69"/>
      <c r="DD704" s="69"/>
      <c r="DE704" s="69"/>
      <c r="DF704" s="69"/>
      <c r="DG704" s="69"/>
      <c r="DH704" s="69"/>
      <c r="DI704" s="69"/>
      <c r="DJ704" s="69"/>
      <c r="DK704" s="69"/>
      <c r="DL704" s="69"/>
      <c r="DM704" s="69"/>
      <c r="DN704" s="69"/>
      <c r="DO704" s="69"/>
      <c r="DP704" s="69"/>
    </row>
    <row r="705" spans="1:120" x14ac:dyDescent="0.2">
      <c r="A705" s="66"/>
      <c r="B705" s="31"/>
      <c r="C705" s="31"/>
      <c r="D705" s="31"/>
      <c r="E705" s="31"/>
      <c r="F705" s="31"/>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c r="BT705" s="69"/>
      <c r="BU705" s="69"/>
      <c r="BV705" s="69"/>
      <c r="BW705" s="69"/>
      <c r="BX705" s="69"/>
      <c r="BY705" s="69"/>
      <c r="BZ705" s="69"/>
      <c r="CA705" s="69"/>
      <c r="CB705" s="69"/>
      <c r="CC705" s="69"/>
      <c r="CD705" s="69"/>
      <c r="CE705" s="69"/>
      <c r="CF705" s="69"/>
      <c r="CG705" s="69"/>
      <c r="CH705" s="69"/>
      <c r="CI705" s="69"/>
      <c r="CJ705" s="69"/>
      <c r="CK705" s="69"/>
      <c r="CL705" s="69"/>
      <c r="CM705" s="69"/>
      <c r="CN705" s="69"/>
      <c r="CO705" s="69"/>
      <c r="CP705" s="69"/>
      <c r="CQ705" s="69"/>
      <c r="CR705" s="69"/>
      <c r="CS705" s="69"/>
      <c r="CT705" s="69"/>
      <c r="CU705" s="69"/>
      <c r="CV705" s="69"/>
      <c r="CW705" s="69"/>
      <c r="CX705" s="69"/>
      <c r="CY705" s="69"/>
      <c r="CZ705" s="69"/>
      <c r="DA705" s="69"/>
      <c r="DB705" s="69"/>
      <c r="DC705" s="69"/>
      <c r="DD705" s="69"/>
      <c r="DE705" s="69"/>
      <c r="DF705" s="69"/>
      <c r="DG705" s="69"/>
      <c r="DH705" s="69"/>
      <c r="DI705" s="69"/>
      <c r="DJ705" s="69"/>
      <c r="DK705" s="69"/>
      <c r="DL705" s="69"/>
      <c r="DM705" s="69"/>
      <c r="DN705" s="69"/>
      <c r="DO705" s="69"/>
      <c r="DP705" s="69"/>
    </row>
    <row r="706" spans="1:120" x14ac:dyDescent="0.2">
      <c r="A706" s="66"/>
      <c r="B706" s="31"/>
      <c r="C706" s="31"/>
      <c r="D706" s="31"/>
      <c r="E706" s="31"/>
      <c r="F706" s="31"/>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c r="BT706" s="69"/>
      <c r="BU706" s="69"/>
      <c r="BV706" s="69"/>
      <c r="BW706" s="69"/>
      <c r="BX706" s="69"/>
      <c r="BY706" s="69"/>
      <c r="BZ706" s="69"/>
      <c r="CA706" s="69"/>
      <c r="CB706" s="69"/>
      <c r="CC706" s="69"/>
      <c r="CD706" s="69"/>
      <c r="CE706" s="69"/>
      <c r="CF706" s="69"/>
      <c r="CG706" s="69"/>
      <c r="CH706" s="69"/>
      <c r="CI706" s="69"/>
      <c r="CJ706" s="69"/>
      <c r="CK706" s="69"/>
      <c r="CL706" s="69"/>
      <c r="CM706" s="69"/>
      <c r="CN706" s="69"/>
      <c r="CO706" s="69"/>
      <c r="CP706" s="69"/>
      <c r="CQ706" s="69"/>
      <c r="CR706" s="69"/>
      <c r="CS706" s="69"/>
      <c r="CT706" s="69"/>
      <c r="CU706" s="69"/>
      <c r="CV706" s="69"/>
      <c r="CW706" s="69"/>
      <c r="CX706" s="69"/>
      <c r="CY706" s="69"/>
      <c r="CZ706" s="69"/>
      <c r="DA706" s="69"/>
      <c r="DB706" s="69"/>
      <c r="DC706" s="69"/>
      <c r="DD706" s="69"/>
      <c r="DE706" s="69"/>
      <c r="DF706" s="69"/>
      <c r="DG706" s="69"/>
      <c r="DH706" s="69"/>
      <c r="DI706" s="69"/>
      <c r="DJ706" s="69"/>
      <c r="DK706" s="69"/>
      <c r="DL706" s="69"/>
      <c r="DM706" s="69"/>
      <c r="DN706" s="69"/>
      <c r="DO706" s="69"/>
      <c r="DP706" s="69"/>
    </row>
    <row r="707" spans="1:120" x14ac:dyDescent="0.2">
      <c r="A707" s="66"/>
      <c r="B707" s="31"/>
      <c r="C707" s="31"/>
      <c r="D707" s="31"/>
      <c r="E707" s="31"/>
      <c r="F707" s="31"/>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c r="BT707" s="69"/>
      <c r="BU707" s="69"/>
      <c r="BV707" s="69"/>
      <c r="BW707" s="69"/>
      <c r="BX707" s="69"/>
      <c r="BY707" s="69"/>
      <c r="BZ707" s="69"/>
      <c r="CA707" s="69"/>
      <c r="CB707" s="69"/>
      <c r="CC707" s="69"/>
      <c r="CD707" s="69"/>
      <c r="CE707" s="69"/>
      <c r="CF707" s="69"/>
      <c r="CG707" s="69"/>
      <c r="CH707" s="69"/>
      <c r="CI707" s="69"/>
      <c r="CJ707" s="69"/>
      <c r="CK707" s="69"/>
      <c r="CL707" s="69"/>
      <c r="CM707" s="69"/>
      <c r="CN707" s="69"/>
      <c r="CO707" s="69"/>
      <c r="CP707" s="69"/>
      <c r="CQ707" s="69"/>
      <c r="CR707" s="69"/>
      <c r="CS707" s="69"/>
      <c r="CT707" s="69"/>
      <c r="CU707" s="69"/>
      <c r="CV707" s="69"/>
      <c r="CW707" s="69"/>
      <c r="CX707" s="69"/>
      <c r="CY707" s="69"/>
      <c r="CZ707" s="69"/>
      <c r="DA707" s="69"/>
      <c r="DB707" s="69"/>
      <c r="DC707" s="69"/>
      <c r="DD707" s="69"/>
      <c r="DE707" s="69"/>
      <c r="DF707" s="69"/>
      <c r="DG707" s="69"/>
      <c r="DH707" s="69"/>
      <c r="DI707" s="69"/>
      <c r="DJ707" s="69"/>
      <c r="DK707" s="69"/>
      <c r="DL707" s="69"/>
      <c r="DM707" s="69"/>
      <c r="DN707" s="69"/>
      <c r="DO707" s="69"/>
      <c r="DP707" s="69"/>
    </row>
    <row r="708" spans="1:120" x14ac:dyDescent="0.2">
      <c r="A708" s="66"/>
      <c r="B708" s="31"/>
      <c r="C708" s="31"/>
      <c r="D708" s="31"/>
      <c r="E708" s="31"/>
      <c r="F708" s="31"/>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c r="BT708" s="69"/>
      <c r="BU708" s="69"/>
      <c r="BV708" s="69"/>
      <c r="BW708" s="69"/>
      <c r="BX708" s="69"/>
      <c r="BY708" s="69"/>
      <c r="BZ708" s="69"/>
      <c r="CA708" s="69"/>
      <c r="CB708" s="69"/>
      <c r="CC708" s="69"/>
      <c r="CD708" s="69"/>
      <c r="CE708" s="69"/>
      <c r="CF708" s="69"/>
      <c r="CG708" s="69"/>
      <c r="CH708" s="69"/>
      <c r="CI708" s="69"/>
      <c r="CJ708" s="69"/>
      <c r="CK708" s="69"/>
      <c r="CL708" s="69"/>
      <c r="CM708" s="69"/>
      <c r="CN708" s="69"/>
      <c r="CO708" s="69"/>
      <c r="CP708" s="69"/>
      <c r="CQ708" s="69"/>
      <c r="CR708" s="69"/>
      <c r="CS708" s="69"/>
      <c r="CT708" s="69"/>
      <c r="CU708" s="69"/>
      <c r="CV708" s="69"/>
      <c r="CW708" s="69"/>
      <c r="CX708" s="69"/>
      <c r="CY708" s="69"/>
      <c r="CZ708" s="69"/>
      <c r="DA708" s="69"/>
      <c r="DB708" s="69"/>
      <c r="DC708" s="69"/>
      <c r="DD708" s="69"/>
      <c r="DE708" s="69"/>
      <c r="DF708" s="69"/>
      <c r="DG708" s="69"/>
      <c r="DH708" s="69"/>
      <c r="DI708" s="69"/>
      <c r="DJ708" s="69"/>
      <c r="DK708" s="69"/>
      <c r="DL708" s="69"/>
      <c r="DM708" s="69"/>
      <c r="DN708" s="69"/>
      <c r="DO708" s="69"/>
      <c r="DP708" s="69"/>
    </row>
    <row r="709" spans="1:120" x14ac:dyDescent="0.2">
      <c r="A709" s="66"/>
      <c r="B709" s="31"/>
      <c r="C709" s="31"/>
      <c r="D709" s="31"/>
      <c r="E709" s="31"/>
      <c r="F709" s="31"/>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c r="BT709" s="69"/>
      <c r="BU709" s="69"/>
      <c r="BV709" s="69"/>
      <c r="BW709" s="69"/>
      <c r="BX709" s="69"/>
      <c r="BY709" s="69"/>
      <c r="BZ709" s="69"/>
      <c r="CA709" s="69"/>
      <c r="CB709" s="69"/>
      <c r="CC709" s="69"/>
      <c r="CD709" s="69"/>
      <c r="CE709" s="69"/>
      <c r="CF709" s="69"/>
      <c r="CG709" s="69"/>
      <c r="CH709" s="69"/>
      <c r="CI709" s="69"/>
      <c r="CJ709" s="69"/>
      <c r="CK709" s="69"/>
      <c r="CL709" s="69"/>
      <c r="CM709" s="69"/>
      <c r="CN709" s="69"/>
      <c r="CO709" s="69"/>
      <c r="CP709" s="69"/>
      <c r="CQ709" s="69"/>
      <c r="CR709" s="69"/>
      <c r="CS709" s="69"/>
      <c r="CT709" s="69"/>
      <c r="CU709" s="69"/>
      <c r="CV709" s="69"/>
      <c r="CW709" s="69"/>
      <c r="CX709" s="69"/>
      <c r="CY709" s="69"/>
      <c r="CZ709" s="69"/>
      <c r="DA709" s="69"/>
      <c r="DB709" s="69"/>
      <c r="DC709" s="69"/>
      <c r="DD709" s="69"/>
      <c r="DE709" s="69"/>
      <c r="DF709" s="69"/>
      <c r="DG709" s="69"/>
      <c r="DH709" s="69"/>
      <c r="DI709" s="69"/>
      <c r="DJ709" s="69"/>
      <c r="DK709" s="69"/>
      <c r="DL709" s="69"/>
      <c r="DM709" s="69"/>
      <c r="DN709" s="69"/>
      <c r="DO709" s="69"/>
      <c r="DP709" s="69"/>
    </row>
    <row r="710" spans="1:120" x14ac:dyDescent="0.2">
      <c r="A710" s="66"/>
      <c r="B710" s="31"/>
      <c r="C710" s="31"/>
      <c r="D710" s="31"/>
      <c r="E710" s="31"/>
      <c r="F710" s="31"/>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c r="BT710" s="69"/>
      <c r="BU710" s="69"/>
      <c r="BV710" s="69"/>
      <c r="BW710" s="69"/>
      <c r="BX710" s="69"/>
      <c r="BY710" s="69"/>
      <c r="BZ710" s="69"/>
      <c r="CA710" s="69"/>
      <c r="CB710" s="69"/>
      <c r="CC710" s="69"/>
      <c r="CD710" s="69"/>
      <c r="CE710" s="69"/>
      <c r="CF710" s="69"/>
      <c r="CG710" s="69"/>
      <c r="CH710" s="69"/>
      <c r="CI710" s="69"/>
      <c r="CJ710" s="69"/>
      <c r="CK710" s="69"/>
      <c r="CL710" s="69"/>
      <c r="CM710" s="69"/>
      <c r="CN710" s="69"/>
      <c r="CO710" s="69"/>
      <c r="CP710" s="69"/>
      <c r="CQ710" s="69"/>
      <c r="CR710" s="69"/>
      <c r="CS710" s="69"/>
      <c r="CT710" s="69"/>
      <c r="CU710" s="69"/>
      <c r="CV710" s="69"/>
      <c r="CW710" s="69"/>
      <c r="CX710" s="69"/>
      <c r="CY710" s="69"/>
      <c r="CZ710" s="69"/>
      <c r="DA710" s="69"/>
      <c r="DB710" s="69"/>
      <c r="DC710" s="69"/>
      <c r="DD710" s="69"/>
      <c r="DE710" s="69"/>
      <c r="DF710" s="69"/>
      <c r="DG710" s="69"/>
      <c r="DH710" s="69"/>
      <c r="DI710" s="69"/>
      <c r="DJ710" s="69"/>
      <c r="DK710" s="69"/>
      <c r="DL710" s="69"/>
      <c r="DM710" s="69"/>
      <c r="DN710" s="69"/>
      <c r="DO710" s="69"/>
      <c r="DP710" s="69"/>
    </row>
    <row r="711" spans="1:120" x14ac:dyDescent="0.2">
      <c r="A711" s="66"/>
      <c r="B711" s="31"/>
      <c r="C711" s="31"/>
      <c r="D711" s="31"/>
      <c r="E711" s="31"/>
      <c r="F711" s="31"/>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c r="BT711" s="69"/>
      <c r="BU711" s="69"/>
      <c r="BV711" s="69"/>
      <c r="BW711" s="69"/>
      <c r="BX711" s="69"/>
      <c r="BY711" s="69"/>
      <c r="BZ711" s="69"/>
      <c r="CA711" s="69"/>
      <c r="CB711" s="69"/>
      <c r="CC711" s="69"/>
      <c r="CD711" s="69"/>
      <c r="CE711" s="69"/>
      <c r="CF711" s="69"/>
      <c r="CG711" s="69"/>
      <c r="CH711" s="69"/>
      <c r="CI711" s="69"/>
      <c r="CJ711" s="69"/>
      <c r="CK711" s="69"/>
      <c r="CL711" s="69"/>
      <c r="CM711" s="69"/>
      <c r="CN711" s="69"/>
      <c r="CO711" s="69"/>
      <c r="CP711" s="69"/>
      <c r="CQ711" s="69"/>
      <c r="CR711" s="69"/>
      <c r="CS711" s="69"/>
      <c r="CT711" s="69"/>
      <c r="CU711" s="69"/>
      <c r="CV711" s="69"/>
      <c r="CW711" s="69"/>
      <c r="CX711" s="69"/>
      <c r="CY711" s="69"/>
      <c r="CZ711" s="69"/>
      <c r="DA711" s="69"/>
      <c r="DB711" s="69"/>
      <c r="DC711" s="69"/>
      <c r="DD711" s="69"/>
      <c r="DE711" s="69"/>
      <c r="DF711" s="69"/>
      <c r="DG711" s="69"/>
      <c r="DH711" s="69"/>
      <c r="DI711" s="69"/>
      <c r="DJ711" s="69"/>
      <c r="DK711" s="69"/>
      <c r="DL711" s="69"/>
      <c r="DM711" s="69"/>
      <c r="DN711" s="69"/>
      <c r="DO711" s="69"/>
      <c r="DP711" s="69"/>
    </row>
    <row r="712" spans="1:120" x14ac:dyDescent="0.2">
      <c r="A712" s="66"/>
      <c r="B712" s="31"/>
      <c r="C712" s="31"/>
      <c r="D712" s="31"/>
      <c r="E712" s="31"/>
      <c r="F712" s="31"/>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c r="BT712" s="69"/>
      <c r="BU712" s="69"/>
      <c r="BV712" s="69"/>
      <c r="BW712" s="69"/>
      <c r="BX712" s="69"/>
      <c r="BY712" s="69"/>
      <c r="BZ712" s="69"/>
      <c r="CA712" s="69"/>
      <c r="CB712" s="69"/>
      <c r="CC712" s="69"/>
      <c r="CD712" s="69"/>
      <c r="CE712" s="69"/>
      <c r="CF712" s="69"/>
      <c r="CG712" s="69"/>
      <c r="CH712" s="69"/>
      <c r="CI712" s="69"/>
      <c r="CJ712" s="69"/>
      <c r="CK712" s="69"/>
      <c r="CL712" s="69"/>
      <c r="CM712" s="69"/>
      <c r="CN712" s="69"/>
      <c r="CO712" s="69"/>
      <c r="CP712" s="69"/>
      <c r="CQ712" s="69"/>
      <c r="CR712" s="69"/>
      <c r="CS712" s="69"/>
      <c r="CT712" s="69"/>
      <c r="CU712" s="69"/>
      <c r="CV712" s="69"/>
      <c r="CW712" s="69"/>
      <c r="CX712" s="69"/>
      <c r="CY712" s="69"/>
      <c r="CZ712" s="69"/>
      <c r="DA712" s="69"/>
      <c r="DB712" s="69"/>
      <c r="DC712" s="69"/>
      <c r="DD712" s="69"/>
      <c r="DE712" s="69"/>
      <c r="DF712" s="69"/>
      <c r="DG712" s="69"/>
      <c r="DH712" s="69"/>
      <c r="DI712" s="69"/>
      <c r="DJ712" s="69"/>
      <c r="DK712" s="69"/>
      <c r="DL712" s="69"/>
      <c r="DM712" s="69"/>
      <c r="DN712" s="69"/>
      <c r="DO712" s="69"/>
      <c r="DP712" s="69"/>
    </row>
    <row r="713" spans="1:120" x14ac:dyDescent="0.2">
      <c r="A713" s="66"/>
      <c r="B713" s="31"/>
      <c r="C713" s="31"/>
      <c r="D713" s="31"/>
      <c r="E713" s="31"/>
      <c r="F713" s="31"/>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c r="AW713" s="69"/>
      <c r="AX713" s="69"/>
      <c r="AY713" s="69"/>
      <c r="AZ713" s="69"/>
      <c r="BA713" s="69"/>
      <c r="BB713" s="69"/>
      <c r="BC713" s="69"/>
      <c r="BD713" s="69"/>
      <c r="BE713" s="69"/>
      <c r="BF713" s="69"/>
      <c r="BG713" s="69"/>
      <c r="BH713" s="69"/>
      <c r="BI713" s="69"/>
      <c r="BJ713" s="69"/>
      <c r="BK713" s="69"/>
      <c r="BL713" s="69"/>
      <c r="BM713" s="69"/>
      <c r="BN713" s="69"/>
      <c r="BO713" s="69"/>
      <c r="BP713" s="69"/>
      <c r="BQ713" s="69"/>
      <c r="BR713" s="69"/>
      <c r="BS713" s="69"/>
      <c r="BT713" s="69"/>
      <c r="BU713" s="69"/>
      <c r="BV713" s="69"/>
      <c r="BW713" s="69"/>
      <c r="BX713" s="69"/>
      <c r="BY713" s="69"/>
      <c r="BZ713" s="69"/>
      <c r="CA713" s="69"/>
      <c r="CB713" s="69"/>
      <c r="CC713" s="69"/>
      <c r="CD713" s="69"/>
      <c r="CE713" s="69"/>
      <c r="CF713" s="69"/>
      <c r="CG713" s="69"/>
      <c r="CH713" s="69"/>
      <c r="CI713" s="69"/>
      <c r="CJ713" s="69"/>
      <c r="CK713" s="69"/>
      <c r="CL713" s="69"/>
      <c r="CM713" s="69"/>
      <c r="CN713" s="69"/>
      <c r="CO713" s="69"/>
      <c r="CP713" s="69"/>
      <c r="CQ713" s="69"/>
      <c r="CR713" s="69"/>
      <c r="CS713" s="69"/>
      <c r="CT713" s="69"/>
      <c r="CU713" s="69"/>
      <c r="CV713" s="69"/>
      <c r="CW713" s="69"/>
      <c r="CX713" s="69"/>
      <c r="CY713" s="69"/>
      <c r="CZ713" s="69"/>
      <c r="DA713" s="69"/>
      <c r="DB713" s="69"/>
      <c r="DC713" s="69"/>
      <c r="DD713" s="69"/>
      <c r="DE713" s="69"/>
      <c r="DF713" s="69"/>
      <c r="DG713" s="69"/>
      <c r="DH713" s="69"/>
      <c r="DI713" s="69"/>
      <c r="DJ713" s="69"/>
      <c r="DK713" s="69"/>
      <c r="DL713" s="69"/>
      <c r="DM713" s="69"/>
      <c r="DN713" s="69"/>
      <c r="DO713" s="69"/>
      <c r="DP713" s="69"/>
    </row>
    <row r="714" spans="1:120" x14ac:dyDescent="0.2">
      <c r="A714" s="66"/>
      <c r="B714" s="31"/>
      <c r="C714" s="31"/>
      <c r="D714" s="31"/>
      <c r="E714" s="31"/>
      <c r="F714" s="31"/>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c r="BT714" s="69"/>
      <c r="BU714" s="69"/>
      <c r="BV714" s="69"/>
      <c r="BW714" s="69"/>
      <c r="BX714" s="69"/>
      <c r="BY714" s="69"/>
      <c r="BZ714" s="69"/>
      <c r="CA714" s="69"/>
      <c r="CB714" s="69"/>
      <c r="CC714" s="69"/>
      <c r="CD714" s="69"/>
      <c r="CE714" s="69"/>
      <c r="CF714" s="69"/>
      <c r="CG714" s="69"/>
      <c r="CH714" s="69"/>
      <c r="CI714" s="69"/>
      <c r="CJ714" s="69"/>
      <c r="CK714" s="69"/>
      <c r="CL714" s="69"/>
      <c r="CM714" s="69"/>
      <c r="CN714" s="69"/>
      <c r="CO714" s="69"/>
      <c r="CP714" s="69"/>
      <c r="CQ714" s="69"/>
      <c r="CR714" s="69"/>
      <c r="CS714" s="69"/>
      <c r="CT714" s="69"/>
      <c r="CU714" s="69"/>
      <c r="CV714" s="69"/>
      <c r="CW714" s="69"/>
      <c r="CX714" s="69"/>
      <c r="CY714" s="69"/>
      <c r="CZ714" s="69"/>
      <c r="DA714" s="69"/>
      <c r="DB714" s="69"/>
      <c r="DC714" s="69"/>
      <c r="DD714" s="69"/>
      <c r="DE714" s="69"/>
      <c r="DF714" s="69"/>
      <c r="DG714" s="69"/>
      <c r="DH714" s="69"/>
      <c r="DI714" s="69"/>
      <c r="DJ714" s="69"/>
      <c r="DK714" s="69"/>
      <c r="DL714" s="69"/>
      <c r="DM714" s="69"/>
      <c r="DN714" s="69"/>
      <c r="DO714" s="69"/>
      <c r="DP714" s="69"/>
    </row>
    <row r="715" spans="1:120" x14ac:dyDescent="0.2">
      <c r="A715" s="66"/>
      <c r="B715" s="31"/>
      <c r="C715" s="31"/>
      <c r="D715" s="31"/>
      <c r="E715" s="31"/>
      <c r="F715" s="31"/>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c r="BT715" s="69"/>
      <c r="BU715" s="69"/>
      <c r="BV715" s="69"/>
      <c r="BW715" s="69"/>
      <c r="BX715" s="69"/>
      <c r="BY715" s="69"/>
      <c r="BZ715" s="69"/>
      <c r="CA715" s="69"/>
      <c r="CB715" s="69"/>
      <c r="CC715" s="69"/>
      <c r="CD715" s="69"/>
      <c r="CE715" s="69"/>
      <c r="CF715" s="69"/>
      <c r="CG715" s="69"/>
      <c r="CH715" s="69"/>
      <c r="CI715" s="69"/>
      <c r="CJ715" s="69"/>
      <c r="CK715" s="69"/>
      <c r="CL715" s="69"/>
      <c r="CM715" s="69"/>
      <c r="CN715" s="69"/>
      <c r="CO715" s="69"/>
      <c r="CP715" s="69"/>
      <c r="CQ715" s="69"/>
      <c r="CR715" s="69"/>
      <c r="CS715" s="69"/>
      <c r="CT715" s="69"/>
      <c r="CU715" s="69"/>
      <c r="CV715" s="69"/>
      <c r="CW715" s="69"/>
      <c r="CX715" s="69"/>
      <c r="CY715" s="69"/>
      <c r="CZ715" s="69"/>
      <c r="DA715" s="69"/>
      <c r="DB715" s="69"/>
      <c r="DC715" s="69"/>
      <c r="DD715" s="69"/>
      <c r="DE715" s="69"/>
      <c r="DF715" s="69"/>
      <c r="DG715" s="69"/>
      <c r="DH715" s="69"/>
      <c r="DI715" s="69"/>
      <c r="DJ715" s="69"/>
      <c r="DK715" s="69"/>
      <c r="DL715" s="69"/>
      <c r="DM715" s="69"/>
      <c r="DN715" s="69"/>
      <c r="DO715" s="69"/>
      <c r="DP715" s="69"/>
    </row>
    <row r="716" spans="1:120" x14ac:dyDescent="0.2">
      <c r="A716" s="66"/>
      <c r="B716" s="31"/>
      <c r="C716" s="31"/>
      <c r="D716" s="31"/>
      <c r="E716" s="31"/>
      <c r="F716" s="31"/>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c r="BT716" s="69"/>
      <c r="BU716" s="69"/>
      <c r="BV716" s="69"/>
      <c r="BW716" s="69"/>
      <c r="BX716" s="69"/>
      <c r="BY716" s="69"/>
      <c r="BZ716" s="69"/>
      <c r="CA716" s="69"/>
      <c r="CB716" s="69"/>
      <c r="CC716" s="69"/>
      <c r="CD716" s="69"/>
      <c r="CE716" s="69"/>
      <c r="CF716" s="69"/>
      <c r="CG716" s="69"/>
      <c r="CH716" s="69"/>
      <c r="CI716" s="69"/>
      <c r="CJ716" s="69"/>
      <c r="CK716" s="69"/>
      <c r="CL716" s="69"/>
      <c r="CM716" s="69"/>
      <c r="CN716" s="69"/>
      <c r="CO716" s="69"/>
      <c r="CP716" s="69"/>
      <c r="CQ716" s="69"/>
      <c r="CR716" s="69"/>
      <c r="CS716" s="69"/>
      <c r="CT716" s="69"/>
      <c r="CU716" s="69"/>
      <c r="CV716" s="69"/>
      <c r="CW716" s="69"/>
      <c r="CX716" s="69"/>
      <c r="CY716" s="69"/>
      <c r="CZ716" s="69"/>
      <c r="DA716" s="69"/>
      <c r="DB716" s="69"/>
      <c r="DC716" s="69"/>
      <c r="DD716" s="69"/>
      <c r="DE716" s="69"/>
      <c r="DF716" s="69"/>
      <c r="DG716" s="69"/>
      <c r="DH716" s="69"/>
      <c r="DI716" s="69"/>
      <c r="DJ716" s="69"/>
      <c r="DK716" s="69"/>
      <c r="DL716" s="69"/>
      <c r="DM716" s="69"/>
      <c r="DN716" s="69"/>
      <c r="DO716" s="69"/>
      <c r="DP716" s="69"/>
    </row>
    <row r="717" spans="1:120" x14ac:dyDescent="0.2">
      <c r="A717" s="66"/>
      <c r="B717" s="31"/>
      <c r="C717" s="31"/>
      <c r="D717" s="31"/>
      <c r="E717" s="31"/>
      <c r="F717" s="31"/>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c r="BT717" s="69"/>
      <c r="BU717" s="69"/>
      <c r="BV717" s="69"/>
      <c r="BW717" s="69"/>
      <c r="BX717" s="69"/>
      <c r="BY717" s="69"/>
      <c r="BZ717" s="69"/>
      <c r="CA717" s="69"/>
      <c r="CB717" s="69"/>
      <c r="CC717" s="69"/>
      <c r="CD717" s="69"/>
      <c r="CE717" s="69"/>
      <c r="CF717" s="69"/>
      <c r="CG717" s="69"/>
      <c r="CH717" s="69"/>
      <c r="CI717" s="69"/>
      <c r="CJ717" s="69"/>
      <c r="CK717" s="69"/>
      <c r="CL717" s="69"/>
      <c r="CM717" s="69"/>
      <c r="CN717" s="69"/>
      <c r="CO717" s="69"/>
      <c r="CP717" s="69"/>
      <c r="CQ717" s="69"/>
      <c r="CR717" s="69"/>
      <c r="CS717" s="69"/>
      <c r="CT717" s="69"/>
      <c r="CU717" s="69"/>
      <c r="CV717" s="69"/>
      <c r="CW717" s="69"/>
      <c r="CX717" s="69"/>
      <c r="CY717" s="69"/>
      <c r="CZ717" s="69"/>
      <c r="DA717" s="69"/>
      <c r="DB717" s="69"/>
      <c r="DC717" s="69"/>
      <c r="DD717" s="69"/>
      <c r="DE717" s="69"/>
      <c r="DF717" s="69"/>
      <c r="DG717" s="69"/>
      <c r="DH717" s="69"/>
      <c r="DI717" s="69"/>
      <c r="DJ717" s="69"/>
      <c r="DK717" s="69"/>
      <c r="DL717" s="69"/>
      <c r="DM717" s="69"/>
      <c r="DN717" s="69"/>
      <c r="DO717" s="69"/>
      <c r="DP717" s="69"/>
    </row>
    <row r="718" spans="1:120" x14ac:dyDescent="0.2">
      <c r="A718" s="66"/>
      <c r="B718" s="31"/>
      <c r="C718" s="31"/>
      <c r="D718" s="31"/>
      <c r="E718" s="31"/>
      <c r="F718" s="31"/>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c r="BT718" s="69"/>
      <c r="BU718" s="69"/>
      <c r="BV718" s="69"/>
      <c r="BW718" s="69"/>
      <c r="BX718" s="69"/>
      <c r="BY718" s="69"/>
      <c r="BZ718" s="69"/>
      <c r="CA718" s="69"/>
      <c r="CB718" s="69"/>
      <c r="CC718" s="69"/>
      <c r="CD718" s="69"/>
      <c r="CE718" s="69"/>
      <c r="CF718" s="69"/>
      <c r="CG718" s="69"/>
      <c r="CH718" s="69"/>
      <c r="CI718" s="69"/>
      <c r="CJ718" s="69"/>
      <c r="CK718" s="69"/>
      <c r="CL718" s="69"/>
      <c r="CM718" s="69"/>
      <c r="CN718" s="69"/>
      <c r="CO718" s="69"/>
      <c r="CP718" s="69"/>
      <c r="CQ718" s="69"/>
      <c r="CR718" s="69"/>
      <c r="CS718" s="69"/>
      <c r="CT718" s="69"/>
      <c r="CU718" s="69"/>
      <c r="CV718" s="69"/>
      <c r="CW718" s="69"/>
      <c r="CX718" s="69"/>
      <c r="CY718" s="69"/>
      <c r="CZ718" s="69"/>
      <c r="DA718" s="69"/>
      <c r="DB718" s="69"/>
      <c r="DC718" s="69"/>
      <c r="DD718" s="69"/>
      <c r="DE718" s="69"/>
      <c r="DF718" s="69"/>
      <c r="DG718" s="69"/>
      <c r="DH718" s="69"/>
      <c r="DI718" s="69"/>
      <c r="DJ718" s="69"/>
      <c r="DK718" s="69"/>
      <c r="DL718" s="69"/>
      <c r="DM718" s="69"/>
      <c r="DN718" s="69"/>
      <c r="DO718" s="69"/>
      <c r="DP718" s="69"/>
    </row>
    <row r="719" spans="1:120" x14ac:dyDescent="0.2">
      <c r="A719" s="66"/>
      <c r="B719" s="31"/>
      <c r="C719" s="31"/>
      <c r="D719" s="31"/>
      <c r="E719" s="31"/>
      <c r="F719" s="31"/>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c r="BT719" s="69"/>
      <c r="BU719" s="69"/>
      <c r="BV719" s="69"/>
      <c r="BW719" s="69"/>
      <c r="BX719" s="69"/>
      <c r="BY719" s="69"/>
      <c r="BZ719" s="69"/>
      <c r="CA719" s="69"/>
      <c r="CB719" s="69"/>
      <c r="CC719" s="69"/>
      <c r="CD719" s="69"/>
      <c r="CE719" s="69"/>
      <c r="CF719" s="69"/>
      <c r="CG719" s="69"/>
      <c r="CH719" s="69"/>
      <c r="CI719" s="69"/>
      <c r="CJ719" s="69"/>
      <c r="CK719" s="69"/>
      <c r="CL719" s="69"/>
      <c r="CM719" s="69"/>
      <c r="CN719" s="69"/>
      <c r="CO719" s="69"/>
      <c r="CP719" s="69"/>
      <c r="CQ719" s="69"/>
      <c r="CR719" s="69"/>
      <c r="CS719" s="69"/>
      <c r="CT719" s="69"/>
      <c r="CU719" s="69"/>
      <c r="CV719" s="69"/>
      <c r="CW719" s="69"/>
      <c r="CX719" s="69"/>
      <c r="CY719" s="69"/>
      <c r="CZ719" s="69"/>
      <c r="DA719" s="69"/>
      <c r="DB719" s="69"/>
      <c r="DC719" s="69"/>
      <c r="DD719" s="69"/>
      <c r="DE719" s="69"/>
      <c r="DF719" s="69"/>
      <c r="DG719" s="69"/>
      <c r="DH719" s="69"/>
      <c r="DI719" s="69"/>
      <c r="DJ719" s="69"/>
      <c r="DK719" s="69"/>
      <c r="DL719" s="69"/>
      <c r="DM719" s="69"/>
      <c r="DN719" s="69"/>
      <c r="DO719" s="69"/>
      <c r="DP719" s="69"/>
    </row>
    <row r="720" spans="1:120" x14ac:dyDescent="0.2">
      <c r="A720" s="66"/>
      <c r="B720" s="31"/>
      <c r="C720" s="31"/>
      <c r="D720" s="31"/>
      <c r="E720" s="31"/>
      <c r="F720" s="31"/>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c r="BT720" s="69"/>
      <c r="BU720" s="69"/>
      <c r="BV720" s="69"/>
      <c r="BW720" s="69"/>
      <c r="BX720" s="69"/>
      <c r="BY720" s="69"/>
      <c r="BZ720" s="69"/>
      <c r="CA720" s="69"/>
      <c r="CB720" s="69"/>
      <c r="CC720" s="69"/>
      <c r="CD720" s="69"/>
      <c r="CE720" s="69"/>
      <c r="CF720" s="69"/>
      <c r="CG720" s="69"/>
      <c r="CH720" s="69"/>
      <c r="CI720" s="69"/>
      <c r="CJ720" s="69"/>
      <c r="CK720" s="69"/>
      <c r="CL720" s="69"/>
      <c r="CM720" s="69"/>
      <c r="CN720" s="69"/>
      <c r="CO720" s="69"/>
      <c r="CP720" s="69"/>
      <c r="CQ720" s="69"/>
      <c r="CR720" s="69"/>
      <c r="CS720" s="69"/>
      <c r="CT720" s="69"/>
      <c r="CU720" s="69"/>
      <c r="CV720" s="69"/>
      <c r="CW720" s="69"/>
      <c r="CX720" s="69"/>
      <c r="CY720" s="69"/>
      <c r="CZ720" s="69"/>
      <c r="DA720" s="69"/>
      <c r="DB720" s="69"/>
      <c r="DC720" s="69"/>
      <c r="DD720" s="69"/>
      <c r="DE720" s="69"/>
      <c r="DF720" s="69"/>
      <c r="DG720" s="69"/>
      <c r="DH720" s="69"/>
      <c r="DI720" s="69"/>
      <c r="DJ720" s="69"/>
      <c r="DK720" s="69"/>
      <c r="DL720" s="69"/>
      <c r="DM720" s="69"/>
      <c r="DN720" s="69"/>
      <c r="DO720" s="69"/>
      <c r="DP720" s="69"/>
    </row>
    <row r="721" spans="1:120" x14ac:dyDescent="0.2">
      <c r="A721" s="66"/>
      <c r="B721" s="31"/>
      <c r="C721" s="31"/>
      <c r="D721" s="31"/>
      <c r="E721" s="31"/>
      <c r="F721" s="31"/>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c r="AX721" s="69"/>
      <c r="AY721" s="69"/>
      <c r="AZ721" s="69"/>
      <c r="BA721" s="69"/>
      <c r="BB721" s="69"/>
      <c r="BC721" s="69"/>
      <c r="BD721" s="69"/>
      <c r="BE721" s="69"/>
      <c r="BF721" s="69"/>
      <c r="BG721" s="69"/>
      <c r="BH721" s="69"/>
      <c r="BI721" s="69"/>
      <c r="BJ721" s="69"/>
      <c r="BK721" s="69"/>
      <c r="BL721" s="69"/>
      <c r="BM721" s="69"/>
      <c r="BN721" s="69"/>
      <c r="BO721" s="69"/>
      <c r="BP721" s="69"/>
      <c r="BQ721" s="69"/>
      <c r="BR721" s="69"/>
      <c r="BS721" s="69"/>
      <c r="BT721" s="69"/>
      <c r="BU721" s="69"/>
      <c r="BV721" s="69"/>
      <c r="BW721" s="69"/>
      <c r="BX721" s="69"/>
      <c r="BY721" s="69"/>
      <c r="BZ721" s="69"/>
      <c r="CA721" s="69"/>
      <c r="CB721" s="69"/>
      <c r="CC721" s="69"/>
      <c r="CD721" s="69"/>
      <c r="CE721" s="69"/>
      <c r="CF721" s="69"/>
      <c r="CG721" s="69"/>
      <c r="CH721" s="69"/>
      <c r="CI721" s="69"/>
      <c r="CJ721" s="69"/>
      <c r="CK721" s="69"/>
      <c r="CL721" s="69"/>
      <c r="CM721" s="69"/>
      <c r="CN721" s="69"/>
      <c r="CO721" s="69"/>
      <c r="CP721" s="69"/>
      <c r="CQ721" s="69"/>
      <c r="CR721" s="69"/>
      <c r="CS721" s="69"/>
      <c r="CT721" s="69"/>
      <c r="CU721" s="69"/>
      <c r="CV721" s="69"/>
      <c r="CW721" s="69"/>
      <c r="CX721" s="69"/>
      <c r="CY721" s="69"/>
      <c r="CZ721" s="69"/>
      <c r="DA721" s="69"/>
      <c r="DB721" s="69"/>
      <c r="DC721" s="69"/>
      <c r="DD721" s="69"/>
      <c r="DE721" s="69"/>
      <c r="DF721" s="69"/>
      <c r="DG721" s="69"/>
      <c r="DH721" s="69"/>
      <c r="DI721" s="69"/>
      <c r="DJ721" s="69"/>
      <c r="DK721" s="69"/>
      <c r="DL721" s="69"/>
      <c r="DM721" s="69"/>
      <c r="DN721" s="69"/>
      <c r="DO721" s="69"/>
      <c r="DP721" s="69"/>
    </row>
    <row r="722" spans="1:120" x14ac:dyDescent="0.2">
      <c r="A722" s="66"/>
      <c r="B722" s="31"/>
      <c r="C722" s="31"/>
      <c r="D722" s="31"/>
      <c r="E722" s="31"/>
      <c r="F722" s="31"/>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c r="AX722" s="69"/>
      <c r="AY722" s="69"/>
      <c r="AZ722" s="69"/>
      <c r="BA722" s="69"/>
      <c r="BB722" s="69"/>
      <c r="BC722" s="69"/>
      <c r="BD722" s="69"/>
      <c r="BE722" s="69"/>
      <c r="BF722" s="69"/>
      <c r="BG722" s="69"/>
      <c r="BH722" s="69"/>
      <c r="BI722" s="69"/>
      <c r="BJ722" s="69"/>
      <c r="BK722" s="69"/>
      <c r="BL722" s="69"/>
      <c r="BM722" s="69"/>
      <c r="BN722" s="69"/>
      <c r="BO722" s="69"/>
      <c r="BP722" s="69"/>
      <c r="BQ722" s="69"/>
      <c r="BR722" s="69"/>
      <c r="BS722" s="69"/>
      <c r="BT722" s="69"/>
      <c r="BU722" s="69"/>
      <c r="BV722" s="69"/>
      <c r="BW722" s="69"/>
      <c r="BX722" s="69"/>
      <c r="BY722" s="69"/>
      <c r="BZ722" s="69"/>
      <c r="CA722" s="69"/>
      <c r="CB722" s="69"/>
      <c r="CC722" s="69"/>
      <c r="CD722" s="69"/>
      <c r="CE722" s="69"/>
      <c r="CF722" s="69"/>
      <c r="CG722" s="69"/>
      <c r="CH722" s="69"/>
      <c r="CI722" s="69"/>
      <c r="CJ722" s="69"/>
      <c r="CK722" s="69"/>
      <c r="CL722" s="69"/>
      <c r="CM722" s="69"/>
      <c r="CN722" s="69"/>
      <c r="CO722" s="69"/>
      <c r="CP722" s="69"/>
      <c r="CQ722" s="69"/>
      <c r="CR722" s="69"/>
      <c r="CS722" s="69"/>
      <c r="CT722" s="69"/>
      <c r="CU722" s="69"/>
      <c r="CV722" s="69"/>
      <c r="CW722" s="69"/>
      <c r="CX722" s="69"/>
      <c r="CY722" s="69"/>
      <c r="CZ722" s="69"/>
      <c r="DA722" s="69"/>
      <c r="DB722" s="69"/>
      <c r="DC722" s="69"/>
      <c r="DD722" s="69"/>
      <c r="DE722" s="69"/>
      <c r="DF722" s="69"/>
      <c r="DG722" s="69"/>
      <c r="DH722" s="69"/>
      <c r="DI722" s="69"/>
      <c r="DJ722" s="69"/>
      <c r="DK722" s="69"/>
      <c r="DL722" s="69"/>
      <c r="DM722" s="69"/>
      <c r="DN722" s="69"/>
      <c r="DO722" s="69"/>
      <c r="DP722" s="69"/>
    </row>
    <row r="723" spans="1:120" x14ac:dyDescent="0.2">
      <c r="A723" s="66"/>
      <c r="B723" s="31"/>
      <c r="C723" s="31"/>
      <c r="D723" s="31"/>
      <c r="E723" s="31"/>
      <c r="F723" s="31"/>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c r="BT723" s="69"/>
      <c r="BU723" s="69"/>
      <c r="BV723" s="69"/>
      <c r="BW723" s="69"/>
      <c r="BX723" s="69"/>
      <c r="BY723" s="69"/>
      <c r="BZ723" s="69"/>
      <c r="CA723" s="69"/>
      <c r="CB723" s="69"/>
      <c r="CC723" s="69"/>
      <c r="CD723" s="69"/>
      <c r="CE723" s="69"/>
      <c r="CF723" s="69"/>
      <c r="CG723" s="69"/>
      <c r="CH723" s="69"/>
      <c r="CI723" s="69"/>
      <c r="CJ723" s="69"/>
      <c r="CK723" s="69"/>
      <c r="CL723" s="69"/>
      <c r="CM723" s="69"/>
      <c r="CN723" s="69"/>
      <c r="CO723" s="69"/>
      <c r="CP723" s="69"/>
      <c r="CQ723" s="69"/>
      <c r="CR723" s="69"/>
      <c r="CS723" s="69"/>
      <c r="CT723" s="69"/>
      <c r="CU723" s="69"/>
      <c r="CV723" s="69"/>
      <c r="CW723" s="69"/>
      <c r="CX723" s="69"/>
      <c r="CY723" s="69"/>
      <c r="CZ723" s="69"/>
      <c r="DA723" s="69"/>
      <c r="DB723" s="69"/>
      <c r="DC723" s="69"/>
      <c r="DD723" s="69"/>
      <c r="DE723" s="69"/>
      <c r="DF723" s="69"/>
      <c r="DG723" s="69"/>
      <c r="DH723" s="69"/>
      <c r="DI723" s="69"/>
      <c r="DJ723" s="69"/>
      <c r="DK723" s="69"/>
      <c r="DL723" s="69"/>
      <c r="DM723" s="69"/>
      <c r="DN723" s="69"/>
      <c r="DO723" s="69"/>
      <c r="DP723" s="69"/>
    </row>
    <row r="724" spans="1:120" x14ac:dyDescent="0.2">
      <c r="A724" s="66"/>
      <c r="B724" s="31"/>
      <c r="C724" s="31"/>
      <c r="D724" s="31"/>
      <c r="E724" s="31"/>
      <c r="F724" s="31"/>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c r="BT724" s="69"/>
      <c r="BU724" s="69"/>
      <c r="BV724" s="69"/>
      <c r="BW724" s="69"/>
      <c r="BX724" s="69"/>
      <c r="BY724" s="69"/>
      <c r="BZ724" s="69"/>
      <c r="CA724" s="69"/>
      <c r="CB724" s="69"/>
      <c r="CC724" s="69"/>
      <c r="CD724" s="69"/>
      <c r="CE724" s="69"/>
      <c r="CF724" s="69"/>
      <c r="CG724" s="69"/>
      <c r="CH724" s="69"/>
      <c r="CI724" s="69"/>
      <c r="CJ724" s="69"/>
      <c r="CK724" s="69"/>
      <c r="CL724" s="69"/>
      <c r="CM724" s="69"/>
      <c r="CN724" s="69"/>
      <c r="CO724" s="69"/>
      <c r="CP724" s="69"/>
      <c r="CQ724" s="69"/>
      <c r="CR724" s="69"/>
      <c r="CS724" s="69"/>
      <c r="CT724" s="69"/>
      <c r="CU724" s="69"/>
      <c r="CV724" s="69"/>
      <c r="CW724" s="69"/>
      <c r="CX724" s="69"/>
      <c r="CY724" s="69"/>
      <c r="CZ724" s="69"/>
      <c r="DA724" s="69"/>
      <c r="DB724" s="69"/>
      <c r="DC724" s="69"/>
      <c r="DD724" s="69"/>
      <c r="DE724" s="69"/>
      <c r="DF724" s="69"/>
      <c r="DG724" s="69"/>
      <c r="DH724" s="69"/>
      <c r="DI724" s="69"/>
      <c r="DJ724" s="69"/>
      <c r="DK724" s="69"/>
      <c r="DL724" s="69"/>
      <c r="DM724" s="69"/>
      <c r="DN724" s="69"/>
      <c r="DO724" s="69"/>
      <c r="DP724" s="69"/>
    </row>
    <row r="725" spans="1:120" x14ac:dyDescent="0.2">
      <c r="A725" s="66"/>
      <c r="B725" s="31"/>
      <c r="C725" s="31"/>
      <c r="D725" s="31"/>
      <c r="E725" s="31"/>
      <c r="F725" s="31"/>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c r="BT725" s="69"/>
      <c r="BU725" s="69"/>
      <c r="BV725" s="69"/>
      <c r="BW725" s="69"/>
      <c r="BX725" s="69"/>
      <c r="BY725" s="69"/>
      <c r="BZ725" s="69"/>
      <c r="CA725" s="69"/>
      <c r="CB725" s="69"/>
      <c r="CC725" s="69"/>
      <c r="CD725" s="69"/>
      <c r="CE725" s="69"/>
      <c r="CF725" s="69"/>
      <c r="CG725" s="69"/>
      <c r="CH725" s="69"/>
      <c r="CI725" s="69"/>
      <c r="CJ725" s="69"/>
      <c r="CK725" s="69"/>
      <c r="CL725" s="69"/>
      <c r="CM725" s="69"/>
      <c r="CN725" s="69"/>
      <c r="CO725" s="69"/>
      <c r="CP725" s="69"/>
      <c r="CQ725" s="69"/>
      <c r="CR725" s="69"/>
      <c r="CS725" s="69"/>
      <c r="CT725" s="69"/>
      <c r="CU725" s="69"/>
      <c r="CV725" s="69"/>
      <c r="CW725" s="69"/>
      <c r="CX725" s="69"/>
      <c r="CY725" s="69"/>
      <c r="CZ725" s="69"/>
      <c r="DA725" s="69"/>
      <c r="DB725" s="69"/>
      <c r="DC725" s="69"/>
      <c r="DD725" s="69"/>
      <c r="DE725" s="69"/>
      <c r="DF725" s="69"/>
      <c r="DG725" s="69"/>
      <c r="DH725" s="69"/>
      <c r="DI725" s="69"/>
      <c r="DJ725" s="69"/>
      <c r="DK725" s="69"/>
      <c r="DL725" s="69"/>
      <c r="DM725" s="69"/>
      <c r="DN725" s="69"/>
      <c r="DO725" s="69"/>
      <c r="DP725" s="69"/>
    </row>
    <row r="726" spans="1:120" x14ac:dyDescent="0.2">
      <c r="A726" s="66"/>
      <c r="B726" s="31"/>
      <c r="C726" s="31"/>
      <c r="D726" s="31"/>
      <c r="E726" s="31"/>
      <c r="F726" s="31"/>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c r="BT726" s="69"/>
      <c r="BU726" s="69"/>
      <c r="BV726" s="69"/>
      <c r="BW726" s="69"/>
      <c r="BX726" s="69"/>
      <c r="BY726" s="69"/>
      <c r="BZ726" s="69"/>
      <c r="CA726" s="69"/>
      <c r="CB726" s="69"/>
      <c r="CC726" s="69"/>
      <c r="CD726" s="69"/>
      <c r="CE726" s="69"/>
      <c r="CF726" s="69"/>
      <c r="CG726" s="69"/>
      <c r="CH726" s="69"/>
      <c r="CI726" s="69"/>
      <c r="CJ726" s="69"/>
      <c r="CK726" s="69"/>
      <c r="CL726" s="69"/>
      <c r="CM726" s="69"/>
      <c r="CN726" s="69"/>
      <c r="CO726" s="69"/>
      <c r="CP726" s="69"/>
      <c r="CQ726" s="69"/>
      <c r="CR726" s="69"/>
      <c r="CS726" s="69"/>
      <c r="CT726" s="69"/>
      <c r="CU726" s="69"/>
      <c r="CV726" s="69"/>
      <c r="CW726" s="69"/>
      <c r="CX726" s="69"/>
      <c r="CY726" s="69"/>
      <c r="CZ726" s="69"/>
      <c r="DA726" s="69"/>
      <c r="DB726" s="69"/>
      <c r="DC726" s="69"/>
      <c r="DD726" s="69"/>
      <c r="DE726" s="69"/>
      <c r="DF726" s="69"/>
      <c r="DG726" s="69"/>
      <c r="DH726" s="69"/>
      <c r="DI726" s="69"/>
      <c r="DJ726" s="69"/>
      <c r="DK726" s="69"/>
      <c r="DL726" s="69"/>
      <c r="DM726" s="69"/>
      <c r="DN726" s="69"/>
      <c r="DO726" s="69"/>
      <c r="DP726" s="69"/>
    </row>
    <row r="727" spans="1:120" x14ac:dyDescent="0.2">
      <c r="A727" s="66"/>
      <c r="B727" s="31"/>
      <c r="C727" s="31"/>
      <c r="D727" s="31"/>
      <c r="E727" s="31"/>
      <c r="F727" s="31"/>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c r="BT727" s="69"/>
      <c r="BU727" s="69"/>
      <c r="BV727" s="69"/>
      <c r="BW727" s="69"/>
      <c r="BX727" s="69"/>
      <c r="BY727" s="69"/>
      <c r="BZ727" s="69"/>
      <c r="CA727" s="69"/>
      <c r="CB727" s="69"/>
      <c r="CC727" s="69"/>
      <c r="CD727" s="69"/>
      <c r="CE727" s="69"/>
      <c r="CF727" s="69"/>
      <c r="CG727" s="69"/>
      <c r="CH727" s="69"/>
      <c r="CI727" s="69"/>
      <c r="CJ727" s="69"/>
      <c r="CK727" s="69"/>
      <c r="CL727" s="69"/>
      <c r="CM727" s="69"/>
      <c r="CN727" s="69"/>
      <c r="CO727" s="69"/>
      <c r="CP727" s="69"/>
      <c r="CQ727" s="69"/>
      <c r="CR727" s="69"/>
      <c r="CS727" s="69"/>
      <c r="CT727" s="69"/>
      <c r="CU727" s="69"/>
      <c r="CV727" s="69"/>
      <c r="CW727" s="69"/>
      <c r="CX727" s="69"/>
      <c r="CY727" s="69"/>
      <c r="CZ727" s="69"/>
      <c r="DA727" s="69"/>
      <c r="DB727" s="69"/>
      <c r="DC727" s="69"/>
      <c r="DD727" s="69"/>
      <c r="DE727" s="69"/>
      <c r="DF727" s="69"/>
      <c r="DG727" s="69"/>
      <c r="DH727" s="69"/>
      <c r="DI727" s="69"/>
      <c r="DJ727" s="69"/>
      <c r="DK727" s="69"/>
      <c r="DL727" s="69"/>
      <c r="DM727" s="69"/>
      <c r="DN727" s="69"/>
      <c r="DO727" s="69"/>
      <c r="DP727" s="69"/>
    </row>
    <row r="728" spans="1:120" x14ac:dyDescent="0.2">
      <c r="A728" s="66"/>
      <c r="B728" s="31"/>
      <c r="C728" s="31"/>
      <c r="D728" s="31"/>
      <c r="E728" s="31"/>
      <c r="F728" s="31"/>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c r="BT728" s="69"/>
      <c r="BU728" s="69"/>
      <c r="BV728" s="69"/>
      <c r="BW728" s="69"/>
      <c r="BX728" s="69"/>
      <c r="BY728" s="69"/>
      <c r="BZ728" s="69"/>
      <c r="CA728" s="69"/>
      <c r="CB728" s="69"/>
      <c r="CC728" s="69"/>
      <c r="CD728" s="69"/>
      <c r="CE728" s="69"/>
      <c r="CF728" s="69"/>
      <c r="CG728" s="69"/>
      <c r="CH728" s="69"/>
      <c r="CI728" s="69"/>
      <c r="CJ728" s="69"/>
      <c r="CK728" s="69"/>
      <c r="CL728" s="69"/>
      <c r="CM728" s="69"/>
      <c r="CN728" s="69"/>
      <c r="CO728" s="69"/>
      <c r="CP728" s="69"/>
      <c r="CQ728" s="69"/>
      <c r="CR728" s="69"/>
      <c r="CS728" s="69"/>
      <c r="CT728" s="69"/>
      <c r="CU728" s="69"/>
      <c r="CV728" s="69"/>
      <c r="CW728" s="69"/>
      <c r="CX728" s="69"/>
      <c r="CY728" s="69"/>
      <c r="CZ728" s="69"/>
      <c r="DA728" s="69"/>
      <c r="DB728" s="69"/>
      <c r="DC728" s="69"/>
      <c r="DD728" s="69"/>
      <c r="DE728" s="69"/>
      <c r="DF728" s="69"/>
      <c r="DG728" s="69"/>
      <c r="DH728" s="69"/>
      <c r="DI728" s="69"/>
      <c r="DJ728" s="69"/>
      <c r="DK728" s="69"/>
      <c r="DL728" s="69"/>
      <c r="DM728" s="69"/>
      <c r="DN728" s="69"/>
      <c r="DO728" s="69"/>
      <c r="DP728" s="69"/>
    </row>
    <row r="729" spans="1:120" x14ac:dyDescent="0.2">
      <c r="A729" s="66"/>
      <c r="B729" s="31"/>
      <c r="C729" s="31"/>
      <c r="D729" s="31"/>
      <c r="E729" s="31"/>
      <c r="F729" s="31"/>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c r="BT729" s="69"/>
      <c r="BU729" s="69"/>
      <c r="BV729" s="69"/>
      <c r="BW729" s="69"/>
      <c r="BX729" s="69"/>
      <c r="BY729" s="69"/>
      <c r="BZ729" s="69"/>
      <c r="CA729" s="69"/>
      <c r="CB729" s="69"/>
      <c r="CC729" s="69"/>
      <c r="CD729" s="69"/>
      <c r="CE729" s="69"/>
      <c r="CF729" s="69"/>
      <c r="CG729" s="69"/>
      <c r="CH729" s="69"/>
      <c r="CI729" s="69"/>
      <c r="CJ729" s="69"/>
      <c r="CK729" s="69"/>
      <c r="CL729" s="69"/>
      <c r="CM729" s="69"/>
      <c r="CN729" s="69"/>
      <c r="CO729" s="69"/>
      <c r="CP729" s="69"/>
      <c r="CQ729" s="69"/>
      <c r="CR729" s="69"/>
      <c r="CS729" s="69"/>
      <c r="CT729" s="69"/>
      <c r="CU729" s="69"/>
      <c r="CV729" s="69"/>
      <c r="CW729" s="69"/>
      <c r="CX729" s="69"/>
      <c r="CY729" s="69"/>
      <c r="CZ729" s="69"/>
      <c r="DA729" s="69"/>
      <c r="DB729" s="69"/>
      <c r="DC729" s="69"/>
      <c r="DD729" s="69"/>
      <c r="DE729" s="69"/>
      <c r="DF729" s="69"/>
      <c r="DG729" s="69"/>
      <c r="DH729" s="69"/>
      <c r="DI729" s="69"/>
      <c r="DJ729" s="69"/>
      <c r="DK729" s="69"/>
      <c r="DL729" s="69"/>
      <c r="DM729" s="69"/>
      <c r="DN729" s="69"/>
      <c r="DO729" s="69"/>
      <c r="DP729" s="69"/>
    </row>
    <row r="730" spans="1:120" x14ac:dyDescent="0.2">
      <c r="A730" s="66"/>
      <c r="B730" s="31"/>
      <c r="C730" s="31"/>
      <c r="D730" s="31"/>
      <c r="E730" s="31"/>
      <c r="F730" s="31"/>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c r="BT730" s="69"/>
      <c r="BU730" s="69"/>
      <c r="BV730" s="69"/>
      <c r="BW730" s="69"/>
      <c r="BX730" s="69"/>
      <c r="BY730" s="69"/>
      <c r="BZ730" s="69"/>
      <c r="CA730" s="69"/>
      <c r="CB730" s="69"/>
      <c r="CC730" s="69"/>
      <c r="CD730" s="69"/>
      <c r="CE730" s="69"/>
      <c r="CF730" s="69"/>
      <c r="CG730" s="69"/>
      <c r="CH730" s="69"/>
      <c r="CI730" s="69"/>
      <c r="CJ730" s="69"/>
      <c r="CK730" s="69"/>
      <c r="CL730" s="69"/>
      <c r="CM730" s="69"/>
      <c r="CN730" s="69"/>
      <c r="CO730" s="69"/>
      <c r="CP730" s="69"/>
      <c r="CQ730" s="69"/>
      <c r="CR730" s="69"/>
      <c r="CS730" s="69"/>
      <c r="CT730" s="69"/>
      <c r="CU730" s="69"/>
      <c r="CV730" s="69"/>
      <c r="CW730" s="69"/>
      <c r="CX730" s="69"/>
      <c r="CY730" s="69"/>
      <c r="CZ730" s="69"/>
      <c r="DA730" s="69"/>
      <c r="DB730" s="69"/>
      <c r="DC730" s="69"/>
      <c r="DD730" s="69"/>
      <c r="DE730" s="69"/>
      <c r="DF730" s="69"/>
      <c r="DG730" s="69"/>
      <c r="DH730" s="69"/>
      <c r="DI730" s="69"/>
      <c r="DJ730" s="69"/>
      <c r="DK730" s="69"/>
      <c r="DL730" s="69"/>
      <c r="DM730" s="69"/>
      <c r="DN730" s="69"/>
      <c r="DO730" s="69"/>
      <c r="DP730" s="69"/>
    </row>
    <row r="731" spans="1:120" x14ac:dyDescent="0.2">
      <c r="A731" s="66"/>
      <c r="B731" s="31"/>
      <c r="C731" s="31"/>
      <c r="D731" s="31"/>
      <c r="E731" s="31"/>
      <c r="F731" s="31"/>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c r="BT731" s="69"/>
      <c r="BU731" s="69"/>
      <c r="BV731" s="69"/>
      <c r="BW731" s="69"/>
      <c r="BX731" s="69"/>
      <c r="BY731" s="69"/>
      <c r="BZ731" s="69"/>
      <c r="CA731" s="69"/>
      <c r="CB731" s="69"/>
      <c r="CC731" s="69"/>
      <c r="CD731" s="69"/>
      <c r="CE731" s="69"/>
      <c r="CF731" s="69"/>
      <c r="CG731" s="69"/>
      <c r="CH731" s="69"/>
      <c r="CI731" s="69"/>
      <c r="CJ731" s="69"/>
      <c r="CK731" s="69"/>
      <c r="CL731" s="69"/>
      <c r="CM731" s="69"/>
      <c r="CN731" s="69"/>
      <c r="CO731" s="69"/>
      <c r="CP731" s="69"/>
      <c r="CQ731" s="69"/>
      <c r="CR731" s="69"/>
      <c r="CS731" s="69"/>
      <c r="CT731" s="69"/>
      <c r="CU731" s="69"/>
      <c r="CV731" s="69"/>
      <c r="CW731" s="69"/>
      <c r="CX731" s="69"/>
      <c r="CY731" s="69"/>
      <c r="CZ731" s="69"/>
      <c r="DA731" s="69"/>
      <c r="DB731" s="69"/>
      <c r="DC731" s="69"/>
      <c r="DD731" s="69"/>
      <c r="DE731" s="69"/>
      <c r="DF731" s="69"/>
      <c r="DG731" s="69"/>
      <c r="DH731" s="69"/>
      <c r="DI731" s="69"/>
      <c r="DJ731" s="69"/>
      <c r="DK731" s="69"/>
      <c r="DL731" s="69"/>
      <c r="DM731" s="69"/>
      <c r="DN731" s="69"/>
      <c r="DO731" s="69"/>
      <c r="DP731" s="69"/>
    </row>
    <row r="732" spans="1:120" x14ac:dyDescent="0.2">
      <c r="A732" s="66"/>
      <c r="B732" s="31"/>
      <c r="C732" s="31"/>
      <c r="D732" s="31"/>
      <c r="E732" s="31"/>
      <c r="F732" s="31"/>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c r="BT732" s="69"/>
      <c r="BU732" s="69"/>
      <c r="BV732" s="69"/>
      <c r="BW732" s="69"/>
      <c r="BX732" s="69"/>
      <c r="BY732" s="69"/>
      <c r="BZ732" s="69"/>
      <c r="CA732" s="69"/>
      <c r="CB732" s="69"/>
      <c r="CC732" s="69"/>
      <c r="CD732" s="69"/>
      <c r="CE732" s="69"/>
      <c r="CF732" s="69"/>
      <c r="CG732" s="69"/>
      <c r="CH732" s="69"/>
      <c r="CI732" s="69"/>
      <c r="CJ732" s="69"/>
      <c r="CK732" s="69"/>
      <c r="CL732" s="69"/>
      <c r="CM732" s="69"/>
      <c r="CN732" s="69"/>
      <c r="CO732" s="69"/>
      <c r="CP732" s="69"/>
      <c r="CQ732" s="69"/>
      <c r="CR732" s="69"/>
      <c r="CS732" s="69"/>
      <c r="CT732" s="69"/>
      <c r="CU732" s="69"/>
      <c r="CV732" s="69"/>
      <c r="CW732" s="69"/>
      <c r="CX732" s="69"/>
      <c r="CY732" s="69"/>
      <c r="CZ732" s="69"/>
      <c r="DA732" s="69"/>
      <c r="DB732" s="69"/>
      <c r="DC732" s="69"/>
      <c r="DD732" s="69"/>
      <c r="DE732" s="69"/>
      <c r="DF732" s="69"/>
      <c r="DG732" s="69"/>
      <c r="DH732" s="69"/>
      <c r="DI732" s="69"/>
      <c r="DJ732" s="69"/>
      <c r="DK732" s="69"/>
      <c r="DL732" s="69"/>
      <c r="DM732" s="69"/>
      <c r="DN732" s="69"/>
      <c r="DO732" s="69"/>
      <c r="DP732" s="69"/>
    </row>
    <row r="733" spans="1:120" x14ac:dyDescent="0.2">
      <c r="A733" s="66"/>
      <c r="B733" s="31"/>
      <c r="C733" s="31"/>
      <c r="D733" s="31"/>
      <c r="E733" s="31"/>
      <c r="F733" s="31"/>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c r="BT733" s="69"/>
      <c r="BU733" s="69"/>
      <c r="BV733" s="69"/>
      <c r="BW733" s="69"/>
      <c r="BX733" s="69"/>
      <c r="BY733" s="69"/>
      <c r="BZ733" s="69"/>
      <c r="CA733" s="69"/>
      <c r="CB733" s="69"/>
      <c r="CC733" s="69"/>
      <c r="CD733" s="69"/>
      <c r="CE733" s="69"/>
      <c r="CF733" s="69"/>
      <c r="CG733" s="69"/>
      <c r="CH733" s="69"/>
      <c r="CI733" s="69"/>
      <c r="CJ733" s="69"/>
      <c r="CK733" s="69"/>
      <c r="CL733" s="69"/>
      <c r="CM733" s="69"/>
      <c r="CN733" s="69"/>
      <c r="CO733" s="69"/>
      <c r="CP733" s="69"/>
      <c r="CQ733" s="69"/>
      <c r="CR733" s="69"/>
      <c r="CS733" s="69"/>
      <c r="CT733" s="69"/>
      <c r="CU733" s="69"/>
      <c r="CV733" s="69"/>
      <c r="CW733" s="69"/>
      <c r="CX733" s="69"/>
      <c r="CY733" s="69"/>
      <c r="CZ733" s="69"/>
      <c r="DA733" s="69"/>
      <c r="DB733" s="69"/>
      <c r="DC733" s="69"/>
      <c r="DD733" s="69"/>
      <c r="DE733" s="69"/>
      <c r="DF733" s="69"/>
      <c r="DG733" s="69"/>
      <c r="DH733" s="69"/>
      <c r="DI733" s="69"/>
      <c r="DJ733" s="69"/>
      <c r="DK733" s="69"/>
      <c r="DL733" s="69"/>
      <c r="DM733" s="69"/>
      <c r="DN733" s="69"/>
      <c r="DO733" s="69"/>
      <c r="DP733" s="69"/>
    </row>
    <row r="734" spans="1:120" x14ac:dyDescent="0.2">
      <c r="A734" s="66"/>
      <c r="B734" s="31"/>
      <c r="C734" s="31"/>
      <c r="D734" s="31"/>
      <c r="E734" s="31"/>
      <c r="F734" s="31"/>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c r="BT734" s="69"/>
      <c r="BU734" s="69"/>
      <c r="BV734" s="69"/>
      <c r="BW734" s="69"/>
      <c r="BX734" s="69"/>
      <c r="BY734" s="69"/>
      <c r="BZ734" s="69"/>
      <c r="CA734" s="69"/>
      <c r="CB734" s="69"/>
      <c r="CC734" s="69"/>
      <c r="CD734" s="69"/>
      <c r="CE734" s="69"/>
      <c r="CF734" s="69"/>
      <c r="CG734" s="69"/>
      <c r="CH734" s="69"/>
      <c r="CI734" s="69"/>
      <c r="CJ734" s="69"/>
      <c r="CK734" s="69"/>
      <c r="CL734" s="69"/>
      <c r="CM734" s="69"/>
      <c r="CN734" s="69"/>
      <c r="CO734" s="69"/>
      <c r="CP734" s="69"/>
      <c r="CQ734" s="69"/>
      <c r="CR734" s="69"/>
      <c r="CS734" s="69"/>
      <c r="CT734" s="69"/>
      <c r="CU734" s="69"/>
      <c r="CV734" s="69"/>
      <c r="CW734" s="69"/>
      <c r="CX734" s="69"/>
      <c r="CY734" s="69"/>
      <c r="CZ734" s="69"/>
      <c r="DA734" s="69"/>
      <c r="DB734" s="69"/>
      <c r="DC734" s="69"/>
      <c r="DD734" s="69"/>
      <c r="DE734" s="69"/>
      <c r="DF734" s="69"/>
      <c r="DG734" s="69"/>
      <c r="DH734" s="69"/>
      <c r="DI734" s="69"/>
      <c r="DJ734" s="69"/>
      <c r="DK734" s="69"/>
      <c r="DL734" s="69"/>
      <c r="DM734" s="69"/>
      <c r="DN734" s="69"/>
      <c r="DO734" s="69"/>
      <c r="DP734" s="69"/>
    </row>
    <row r="735" spans="1:120" x14ac:dyDescent="0.2">
      <c r="A735" s="66"/>
      <c r="B735" s="31"/>
      <c r="C735" s="31"/>
      <c r="D735" s="31"/>
      <c r="E735" s="31"/>
      <c r="F735" s="31"/>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c r="BT735" s="69"/>
      <c r="BU735" s="69"/>
      <c r="BV735" s="69"/>
      <c r="BW735" s="69"/>
      <c r="BX735" s="69"/>
      <c r="BY735" s="69"/>
      <c r="BZ735" s="69"/>
      <c r="CA735" s="69"/>
      <c r="CB735" s="69"/>
      <c r="CC735" s="69"/>
      <c r="CD735" s="69"/>
      <c r="CE735" s="69"/>
      <c r="CF735" s="69"/>
      <c r="CG735" s="69"/>
      <c r="CH735" s="69"/>
      <c r="CI735" s="69"/>
      <c r="CJ735" s="69"/>
      <c r="CK735" s="69"/>
      <c r="CL735" s="69"/>
      <c r="CM735" s="69"/>
      <c r="CN735" s="69"/>
      <c r="CO735" s="69"/>
      <c r="CP735" s="69"/>
      <c r="CQ735" s="69"/>
      <c r="CR735" s="69"/>
      <c r="CS735" s="69"/>
      <c r="CT735" s="69"/>
      <c r="CU735" s="69"/>
      <c r="CV735" s="69"/>
      <c r="CW735" s="69"/>
      <c r="CX735" s="69"/>
      <c r="CY735" s="69"/>
      <c r="CZ735" s="69"/>
      <c r="DA735" s="69"/>
      <c r="DB735" s="69"/>
      <c r="DC735" s="69"/>
      <c r="DD735" s="69"/>
      <c r="DE735" s="69"/>
      <c r="DF735" s="69"/>
      <c r="DG735" s="69"/>
      <c r="DH735" s="69"/>
      <c r="DI735" s="69"/>
      <c r="DJ735" s="69"/>
      <c r="DK735" s="69"/>
      <c r="DL735" s="69"/>
      <c r="DM735" s="69"/>
      <c r="DN735" s="69"/>
      <c r="DO735" s="69"/>
      <c r="DP735" s="69"/>
    </row>
    <row r="736" spans="1:120" x14ac:dyDescent="0.2">
      <c r="A736" s="66"/>
      <c r="B736" s="31"/>
      <c r="C736" s="31"/>
      <c r="D736" s="31"/>
      <c r="E736" s="31"/>
      <c r="F736" s="31"/>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c r="BT736" s="69"/>
      <c r="BU736" s="69"/>
      <c r="BV736" s="69"/>
      <c r="BW736" s="69"/>
      <c r="BX736" s="69"/>
      <c r="BY736" s="69"/>
      <c r="BZ736" s="69"/>
      <c r="CA736" s="69"/>
      <c r="CB736" s="69"/>
      <c r="CC736" s="69"/>
      <c r="CD736" s="69"/>
      <c r="CE736" s="69"/>
      <c r="CF736" s="69"/>
      <c r="CG736" s="69"/>
      <c r="CH736" s="69"/>
      <c r="CI736" s="69"/>
      <c r="CJ736" s="69"/>
      <c r="CK736" s="69"/>
      <c r="CL736" s="69"/>
      <c r="CM736" s="69"/>
      <c r="CN736" s="69"/>
      <c r="CO736" s="69"/>
      <c r="CP736" s="69"/>
      <c r="CQ736" s="69"/>
      <c r="CR736" s="69"/>
      <c r="CS736" s="69"/>
      <c r="CT736" s="69"/>
      <c r="CU736" s="69"/>
      <c r="CV736" s="69"/>
      <c r="CW736" s="69"/>
      <c r="CX736" s="69"/>
      <c r="CY736" s="69"/>
      <c r="CZ736" s="69"/>
      <c r="DA736" s="69"/>
      <c r="DB736" s="69"/>
      <c r="DC736" s="69"/>
      <c r="DD736" s="69"/>
      <c r="DE736" s="69"/>
      <c r="DF736" s="69"/>
      <c r="DG736" s="69"/>
      <c r="DH736" s="69"/>
      <c r="DI736" s="69"/>
      <c r="DJ736" s="69"/>
      <c r="DK736" s="69"/>
      <c r="DL736" s="69"/>
      <c r="DM736" s="69"/>
      <c r="DN736" s="69"/>
      <c r="DO736" s="69"/>
      <c r="DP736" s="69"/>
    </row>
    <row r="737" spans="1:120" x14ac:dyDescent="0.2">
      <c r="A737" s="66"/>
      <c r="B737" s="31"/>
      <c r="C737" s="31"/>
      <c r="D737" s="31"/>
      <c r="E737" s="31"/>
      <c r="F737" s="31"/>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c r="AW737" s="69"/>
      <c r="AX737" s="69"/>
      <c r="AY737" s="69"/>
      <c r="AZ737" s="69"/>
      <c r="BA737" s="69"/>
      <c r="BB737" s="69"/>
      <c r="BC737" s="69"/>
      <c r="BD737" s="69"/>
      <c r="BE737" s="69"/>
      <c r="BF737" s="69"/>
      <c r="BG737" s="69"/>
      <c r="BH737" s="69"/>
      <c r="BI737" s="69"/>
      <c r="BJ737" s="69"/>
      <c r="BK737" s="69"/>
      <c r="BL737" s="69"/>
      <c r="BM737" s="69"/>
      <c r="BN737" s="69"/>
      <c r="BO737" s="69"/>
      <c r="BP737" s="69"/>
      <c r="BQ737" s="69"/>
      <c r="BR737" s="69"/>
      <c r="BS737" s="69"/>
      <c r="BT737" s="69"/>
      <c r="BU737" s="69"/>
      <c r="BV737" s="69"/>
      <c r="BW737" s="69"/>
      <c r="BX737" s="69"/>
      <c r="BY737" s="69"/>
      <c r="BZ737" s="69"/>
      <c r="CA737" s="69"/>
      <c r="CB737" s="69"/>
      <c r="CC737" s="69"/>
      <c r="CD737" s="69"/>
      <c r="CE737" s="69"/>
      <c r="CF737" s="69"/>
      <c r="CG737" s="69"/>
      <c r="CH737" s="69"/>
      <c r="CI737" s="69"/>
      <c r="CJ737" s="69"/>
      <c r="CK737" s="69"/>
      <c r="CL737" s="69"/>
      <c r="CM737" s="69"/>
      <c r="CN737" s="69"/>
      <c r="CO737" s="69"/>
      <c r="CP737" s="69"/>
      <c r="CQ737" s="69"/>
      <c r="CR737" s="69"/>
      <c r="CS737" s="69"/>
      <c r="CT737" s="69"/>
      <c r="CU737" s="69"/>
      <c r="CV737" s="69"/>
      <c r="CW737" s="69"/>
      <c r="CX737" s="69"/>
      <c r="CY737" s="69"/>
      <c r="CZ737" s="69"/>
      <c r="DA737" s="69"/>
      <c r="DB737" s="69"/>
      <c r="DC737" s="69"/>
      <c r="DD737" s="69"/>
      <c r="DE737" s="69"/>
      <c r="DF737" s="69"/>
      <c r="DG737" s="69"/>
      <c r="DH737" s="69"/>
      <c r="DI737" s="69"/>
      <c r="DJ737" s="69"/>
      <c r="DK737" s="69"/>
      <c r="DL737" s="69"/>
      <c r="DM737" s="69"/>
      <c r="DN737" s="69"/>
      <c r="DO737" s="69"/>
      <c r="DP737" s="69"/>
    </row>
    <row r="738" spans="1:120" x14ac:dyDescent="0.2">
      <c r="A738" s="66"/>
      <c r="B738" s="31"/>
      <c r="C738" s="31"/>
      <c r="D738" s="31"/>
      <c r="E738" s="31"/>
      <c r="F738" s="31"/>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c r="AW738" s="69"/>
      <c r="AX738" s="69"/>
      <c r="AY738" s="69"/>
      <c r="AZ738" s="69"/>
      <c r="BA738" s="69"/>
      <c r="BB738" s="69"/>
      <c r="BC738" s="69"/>
      <c r="BD738" s="69"/>
      <c r="BE738" s="69"/>
      <c r="BF738" s="69"/>
      <c r="BG738" s="69"/>
      <c r="BH738" s="69"/>
      <c r="BI738" s="69"/>
      <c r="BJ738" s="69"/>
      <c r="BK738" s="69"/>
      <c r="BL738" s="69"/>
      <c r="BM738" s="69"/>
      <c r="BN738" s="69"/>
      <c r="BO738" s="69"/>
      <c r="BP738" s="69"/>
      <c r="BQ738" s="69"/>
      <c r="BR738" s="69"/>
      <c r="BS738" s="69"/>
      <c r="BT738" s="69"/>
      <c r="BU738" s="69"/>
      <c r="BV738" s="69"/>
      <c r="BW738" s="69"/>
      <c r="BX738" s="69"/>
      <c r="BY738" s="69"/>
      <c r="BZ738" s="69"/>
      <c r="CA738" s="69"/>
      <c r="CB738" s="69"/>
      <c r="CC738" s="69"/>
      <c r="CD738" s="69"/>
      <c r="CE738" s="69"/>
      <c r="CF738" s="69"/>
      <c r="CG738" s="69"/>
      <c r="CH738" s="69"/>
      <c r="CI738" s="69"/>
      <c r="CJ738" s="69"/>
      <c r="CK738" s="69"/>
      <c r="CL738" s="69"/>
      <c r="CM738" s="69"/>
      <c r="CN738" s="69"/>
      <c r="CO738" s="69"/>
      <c r="CP738" s="69"/>
      <c r="CQ738" s="69"/>
      <c r="CR738" s="69"/>
      <c r="CS738" s="69"/>
      <c r="CT738" s="69"/>
      <c r="CU738" s="69"/>
      <c r="CV738" s="69"/>
      <c r="CW738" s="69"/>
      <c r="CX738" s="69"/>
      <c r="CY738" s="69"/>
      <c r="CZ738" s="69"/>
      <c r="DA738" s="69"/>
      <c r="DB738" s="69"/>
      <c r="DC738" s="69"/>
      <c r="DD738" s="69"/>
      <c r="DE738" s="69"/>
      <c r="DF738" s="69"/>
      <c r="DG738" s="69"/>
      <c r="DH738" s="69"/>
      <c r="DI738" s="69"/>
      <c r="DJ738" s="69"/>
      <c r="DK738" s="69"/>
      <c r="DL738" s="69"/>
      <c r="DM738" s="69"/>
      <c r="DN738" s="69"/>
      <c r="DO738" s="69"/>
      <c r="DP738" s="69"/>
    </row>
    <row r="739" spans="1:120" x14ac:dyDescent="0.2">
      <c r="A739" s="66"/>
      <c r="B739" s="31"/>
      <c r="C739" s="31"/>
      <c r="D739" s="31"/>
      <c r="E739" s="31"/>
      <c r="F739" s="31"/>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c r="BT739" s="69"/>
      <c r="BU739" s="69"/>
      <c r="BV739" s="69"/>
      <c r="BW739" s="69"/>
      <c r="BX739" s="69"/>
      <c r="BY739" s="69"/>
      <c r="BZ739" s="69"/>
      <c r="CA739" s="69"/>
      <c r="CB739" s="69"/>
      <c r="CC739" s="69"/>
      <c r="CD739" s="69"/>
      <c r="CE739" s="69"/>
      <c r="CF739" s="69"/>
      <c r="CG739" s="69"/>
      <c r="CH739" s="69"/>
      <c r="CI739" s="69"/>
      <c r="CJ739" s="69"/>
      <c r="CK739" s="69"/>
      <c r="CL739" s="69"/>
      <c r="CM739" s="69"/>
      <c r="CN739" s="69"/>
      <c r="CO739" s="69"/>
      <c r="CP739" s="69"/>
      <c r="CQ739" s="69"/>
      <c r="CR739" s="69"/>
      <c r="CS739" s="69"/>
      <c r="CT739" s="69"/>
      <c r="CU739" s="69"/>
      <c r="CV739" s="69"/>
      <c r="CW739" s="69"/>
      <c r="CX739" s="69"/>
      <c r="CY739" s="69"/>
      <c r="CZ739" s="69"/>
      <c r="DA739" s="69"/>
      <c r="DB739" s="69"/>
      <c r="DC739" s="69"/>
      <c r="DD739" s="69"/>
      <c r="DE739" s="69"/>
      <c r="DF739" s="69"/>
      <c r="DG739" s="69"/>
      <c r="DH739" s="69"/>
      <c r="DI739" s="69"/>
      <c r="DJ739" s="69"/>
      <c r="DK739" s="69"/>
      <c r="DL739" s="69"/>
      <c r="DM739" s="69"/>
      <c r="DN739" s="69"/>
      <c r="DO739" s="69"/>
      <c r="DP739" s="69"/>
    </row>
    <row r="740" spans="1:120" x14ac:dyDescent="0.2">
      <c r="A740" s="66"/>
      <c r="B740" s="31"/>
      <c r="C740" s="31"/>
      <c r="D740" s="31"/>
      <c r="E740" s="31"/>
      <c r="F740" s="31"/>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c r="BT740" s="69"/>
      <c r="BU740" s="69"/>
      <c r="BV740" s="69"/>
      <c r="BW740" s="69"/>
      <c r="BX740" s="69"/>
      <c r="BY740" s="69"/>
      <c r="BZ740" s="69"/>
      <c r="CA740" s="69"/>
      <c r="CB740" s="69"/>
      <c r="CC740" s="69"/>
      <c r="CD740" s="69"/>
      <c r="CE740" s="69"/>
      <c r="CF740" s="69"/>
      <c r="CG740" s="69"/>
      <c r="CH740" s="69"/>
      <c r="CI740" s="69"/>
      <c r="CJ740" s="69"/>
      <c r="CK740" s="69"/>
      <c r="CL740" s="69"/>
      <c r="CM740" s="69"/>
      <c r="CN740" s="69"/>
      <c r="CO740" s="69"/>
      <c r="CP740" s="69"/>
      <c r="CQ740" s="69"/>
      <c r="CR740" s="69"/>
      <c r="CS740" s="69"/>
      <c r="CT740" s="69"/>
      <c r="CU740" s="69"/>
      <c r="CV740" s="69"/>
      <c r="CW740" s="69"/>
      <c r="CX740" s="69"/>
      <c r="CY740" s="69"/>
      <c r="CZ740" s="69"/>
      <c r="DA740" s="69"/>
      <c r="DB740" s="69"/>
      <c r="DC740" s="69"/>
      <c r="DD740" s="69"/>
      <c r="DE740" s="69"/>
      <c r="DF740" s="69"/>
      <c r="DG740" s="69"/>
      <c r="DH740" s="69"/>
      <c r="DI740" s="69"/>
      <c r="DJ740" s="69"/>
      <c r="DK740" s="69"/>
      <c r="DL740" s="69"/>
      <c r="DM740" s="69"/>
      <c r="DN740" s="69"/>
      <c r="DO740" s="69"/>
      <c r="DP740" s="69"/>
    </row>
    <row r="741" spans="1:120" x14ac:dyDescent="0.2">
      <c r="A741" s="66"/>
      <c r="B741" s="31"/>
      <c r="C741" s="31"/>
      <c r="D741" s="31"/>
      <c r="E741" s="31"/>
      <c r="F741" s="31"/>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c r="BT741" s="69"/>
      <c r="BU741" s="69"/>
      <c r="BV741" s="69"/>
      <c r="BW741" s="69"/>
      <c r="BX741" s="69"/>
      <c r="BY741" s="69"/>
      <c r="BZ741" s="69"/>
      <c r="CA741" s="69"/>
      <c r="CB741" s="69"/>
      <c r="CC741" s="69"/>
      <c r="CD741" s="69"/>
      <c r="CE741" s="69"/>
      <c r="CF741" s="69"/>
      <c r="CG741" s="69"/>
      <c r="CH741" s="69"/>
      <c r="CI741" s="69"/>
      <c r="CJ741" s="69"/>
      <c r="CK741" s="69"/>
      <c r="CL741" s="69"/>
      <c r="CM741" s="69"/>
      <c r="CN741" s="69"/>
      <c r="CO741" s="69"/>
      <c r="CP741" s="69"/>
      <c r="CQ741" s="69"/>
      <c r="CR741" s="69"/>
      <c r="CS741" s="69"/>
      <c r="CT741" s="69"/>
      <c r="CU741" s="69"/>
      <c r="CV741" s="69"/>
      <c r="CW741" s="69"/>
      <c r="CX741" s="69"/>
      <c r="CY741" s="69"/>
      <c r="CZ741" s="69"/>
      <c r="DA741" s="69"/>
      <c r="DB741" s="69"/>
      <c r="DC741" s="69"/>
      <c r="DD741" s="69"/>
      <c r="DE741" s="69"/>
      <c r="DF741" s="69"/>
      <c r="DG741" s="69"/>
      <c r="DH741" s="69"/>
      <c r="DI741" s="69"/>
      <c r="DJ741" s="69"/>
      <c r="DK741" s="69"/>
      <c r="DL741" s="69"/>
      <c r="DM741" s="69"/>
      <c r="DN741" s="69"/>
      <c r="DO741" s="69"/>
      <c r="DP741" s="69"/>
    </row>
    <row r="742" spans="1:120" x14ac:dyDescent="0.2">
      <c r="A742" s="66"/>
      <c r="B742" s="31"/>
      <c r="C742" s="31"/>
      <c r="D742" s="31"/>
      <c r="E742" s="31"/>
      <c r="F742" s="31"/>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c r="BT742" s="69"/>
      <c r="BU742" s="69"/>
      <c r="BV742" s="69"/>
      <c r="BW742" s="69"/>
      <c r="BX742" s="69"/>
      <c r="BY742" s="69"/>
      <c r="BZ742" s="69"/>
      <c r="CA742" s="69"/>
      <c r="CB742" s="69"/>
      <c r="CC742" s="69"/>
      <c r="CD742" s="69"/>
      <c r="CE742" s="69"/>
      <c r="CF742" s="69"/>
      <c r="CG742" s="69"/>
      <c r="CH742" s="69"/>
      <c r="CI742" s="69"/>
      <c r="CJ742" s="69"/>
      <c r="CK742" s="69"/>
      <c r="CL742" s="69"/>
      <c r="CM742" s="69"/>
      <c r="CN742" s="69"/>
      <c r="CO742" s="69"/>
      <c r="CP742" s="69"/>
      <c r="CQ742" s="69"/>
      <c r="CR742" s="69"/>
      <c r="CS742" s="69"/>
      <c r="CT742" s="69"/>
      <c r="CU742" s="69"/>
      <c r="CV742" s="69"/>
      <c r="CW742" s="69"/>
      <c r="CX742" s="69"/>
      <c r="CY742" s="69"/>
      <c r="CZ742" s="69"/>
      <c r="DA742" s="69"/>
      <c r="DB742" s="69"/>
      <c r="DC742" s="69"/>
      <c r="DD742" s="69"/>
      <c r="DE742" s="69"/>
      <c r="DF742" s="69"/>
      <c r="DG742" s="69"/>
      <c r="DH742" s="69"/>
      <c r="DI742" s="69"/>
      <c r="DJ742" s="69"/>
      <c r="DK742" s="69"/>
      <c r="DL742" s="69"/>
      <c r="DM742" s="69"/>
      <c r="DN742" s="69"/>
      <c r="DO742" s="69"/>
      <c r="DP742" s="69"/>
    </row>
    <row r="743" spans="1:120" x14ac:dyDescent="0.2">
      <c r="A743" s="66"/>
      <c r="B743" s="31"/>
      <c r="C743" s="31"/>
      <c r="D743" s="31"/>
      <c r="E743" s="31"/>
      <c r="F743" s="31"/>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c r="BT743" s="69"/>
      <c r="BU743" s="69"/>
      <c r="BV743" s="69"/>
      <c r="BW743" s="69"/>
      <c r="BX743" s="69"/>
      <c r="BY743" s="69"/>
      <c r="BZ743" s="69"/>
      <c r="CA743" s="69"/>
      <c r="CB743" s="69"/>
      <c r="CC743" s="69"/>
      <c r="CD743" s="69"/>
      <c r="CE743" s="69"/>
      <c r="CF743" s="69"/>
      <c r="CG743" s="69"/>
      <c r="CH743" s="69"/>
      <c r="CI743" s="69"/>
      <c r="CJ743" s="69"/>
      <c r="CK743" s="69"/>
      <c r="CL743" s="69"/>
      <c r="CM743" s="69"/>
      <c r="CN743" s="69"/>
      <c r="CO743" s="69"/>
      <c r="CP743" s="69"/>
      <c r="CQ743" s="69"/>
      <c r="CR743" s="69"/>
      <c r="CS743" s="69"/>
      <c r="CT743" s="69"/>
      <c r="CU743" s="69"/>
      <c r="CV743" s="69"/>
      <c r="CW743" s="69"/>
      <c r="CX743" s="69"/>
      <c r="CY743" s="69"/>
      <c r="CZ743" s="69"/>
      <c r="DA743" s="69"/>
      <c r="DB743" s="69"/>
      <c r="DC743" s="69"/>
      <c r="DD743" s="69"/>
      <c r="DE743" s="69"/>
      <c r="DF743" s="69"/>
      <c r="DG743" s="69"/>
      <c r="DH743" s="69"/>
      <c r="DI743" s="69"/>
      <c r="DJ743" s="69"/>
      <c r="DK743" s="69"/>
      <c r="DL743" s="69"/>
      <c r="DM743" s="69"/>
      <c r="DN743" s="69"/>
      <c r="DO743" s="69"/>
      <c r="DP743" s="69"/>
    </row>
    <row r="744" spans="1:120" x14ac:dyDescent="0.2">
      <c r="A744" s="66"/>
      <c r="B744" s="31"/>
      <c r="C744" s="31"/>
      <c r="D744" s="31"/>
      <c r="E744" s="31"/>
      <c r="F744" s="31"/>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c r="BT744" s="69"/>
      <c r="BU744" s="69"/>
      <c r="BV744" s="69"/>
      <c r="BW744" s="69"/>
      <c r="BX744" s="69"/>
      <c r="BY744" s="69"/>
      <c r="BZ744" s="69"/>
      <c r="CA744" s="69"/>
      <c r="CB744" s="69"/>
      <c r="CC744" s="69"/>
      <c r="CD744" s="69"/>
      <c r="CE744" s="69"/>
      <c r="CF744" s="69"/>
      <c r="CG744" s="69"/>
      <c r="CH744" s="69"/>
      <c r="CI744" s="69"/>
      <c r="CJ744" s="69"/>
      <c r="CK744" s="69"/>
      <c r="CL744" s="69"/>
      <c r="CM744" s="69"/>
      <c r="CN744" s="69"/>
      <c r="CO744" s="69"/>
      <c r="CP744" s="69"/>
      <c r="CQ744" s="69"/>
      <c r="CR744" s="69"/>
      <c r="CS744" s="69"/>
      <c r="CT744" s="69"/>
      <c r="CU744" s="69"/>
      <c r="CV744" s="69"/>
      <c r="CW744" s="69"/>
      <c r="CX744" s="69"/>
      <c r="CY744" s="69"/>
      <c r="CZ744" s="69"/>
      <c r="DA744" s="69"/>
      <c r="DB744" s="69"/>
      <c r="DC744" s="69"/>
      <c r="DD744" s="69"/>
      <c r="DE744" s="69"/>
      <c r="DF744" s="69"/>
      <c r="DG744" s="69"/>
      <c r="DH744" s="69"/>
      <c r="DI744" s="69"/>
      <c r="DJ744" s="69"/>
      <c r="DK744" s="69"/>
      <c r="DL744" s="69"/>
      <c r="DM744" s="69"/>
      <c r="DN744" s="69"/>
      <c r="DO744" s="69"/>
      <c r="DP744" s="69"/>
    </row>
    <row r="745" spans="1:120" x14ac:dyDescent="0.2">
      <c r="A745" s="66"/>
      <c r="B745" s="31"/>
      <c r="C745" s="31"/>
      <c r="D745" s="31"/>
      <c r="E745" s="31"/>
      <c r="F745" s="31"/>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c r="BT745" s="69"/>
      <c r="BU745" s="69"/>
      <c r="BV745" s="69"/>
      <c r="BW745" s="69"/>
      <c r="BX745" s="69"/>
      <c r="BY745" s="69"/>
      <c r="BZ745" s="69"/>
      <c r="CA745" s="69"/>
      <c r="CB745" s="69"/>
      <c r="CC745" s="69"/>
      <c r="CD745" s="69"/>
      <c r="CE745" s="69"/>
      <c r="CF745" s="69"/>
      <c r="CG745" s="69"/>
      <c r="CH745" s="69"/>
      <c r="CI745" s="69"/>
      <c r="CJ745" s="69"/>
      <c r="CK745" s="69"/>
      <c r="CL745" s="69"/>
      <c r="CM745" s="69"/>
      <c r="CN745" s="69"/>
      <c r="CO745" s="69"/>
      <c r="CP745" s="69"/>
      <c r="CQ745" s="69"/>
      <c r="CR745" s="69"/>
      <c r="CS745" s="69"/>
      <c r="CT745" s="69"/>
      <c r="CU745" s="69"/>
      <c r="CV745" s="69"/>
      <c r="CW745" s="69"/>
      <c r="CX745" s="69"/>
      <c r="CY745" s="69"/>
      <c r="CZ745" s="69"/>
      <c r="DA745" s="69"/>
      <c r="DB745" s="69"/>
      <c r="DC745" s="69"/>
      <c r="DD745" s="69"/>
      <c r="DE745" s="69"/>
      <c r="DF745" s="69"/>
      <c r="DG745" s="69"/>
      <c r="DH745" s="69"/>
      <c r="DI745" s="69"/>
      <c r="DJ745" s="69"/>
      <c r="DK745" s="69"/>
      <c r="DL745" s="69"/>
      <c r="DM745" s="69"/>
      <c r="DN745" s="69"/>
      <c r="DO745" s="69"/>
      <c r="DP745" s="69"/>
    </row>
    <row r="746" spans="1:120" x14ac:dyDescent="0.2">
      <c r="A746" s="66"/>
      <c r="B746" s="31"/>
      <c r="C746" s="31"/>
      <c r="D746" s="31"/>
      <c r="E746" s="31"/>
      <c r="F746" s="31"/>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c r="AW746" s="69"/>
      <c r="AX746" s="69"/>
      <c r="AY746" s="69"/>
      <c r="AZ746" s="69"/>
      <c r="BA746" s="69"/>
      <c r="BB746" s="69"/>
      <c r="BC746" s="69"/>
      <c r="BD746" s="69"/>
      <c r="BE746" s="69"/>
      <c r="BF746" s="69"/>
      <c r="BG746" s="69"/>
      <c r="BH746" s="69"/>
      <c r="BI746" s="69"/>
      <c r="BJ746" s="69"/>
      <c r="BK746" s="69"/>
      <c r="BL746" s="69"/>
      <c r="BM746" s="69"/>
      <c r="BN746" s="69"/>
      <c r="BO746" s="69"/>
      <c r="BP746" s="69"/>
      <c r="BQ746" s="69"/>
      <c r="BR746" s="69"/>
      <c r="BS746" s="69"/>
      <c r="BT746" s="69"/>
      <c r="BU746" s="69"/>
      <c r="BV746" s="69"/>
      <c r="BW746" s="69"/>
      <c r="BX746" s="69"/>
      <c r="BY746" s="69"/>
      <c r="BZ746" s="69"/>
      <c r="CA746" s="69"/>
      <c r="CB746" s="69"/>
      <c r="CC746" s="69"/>
      <c r="CD746" s="69"/>
      <c r="CE746" s="69"/>
      <c r="CF746" s="69"/>
      <c r="CG746" s="69"/>
      <c r="CH746" s="69"/>
      <c r="CI746" s="69"/>
      <c r="CJ746" s="69"/>
      <c r="CK746" s="69"/>
      <c r="CL746" s="69"/>
      <c r="CM746" s="69"/>
      <c r="CN746" s="69"/>
      <c r="CO746" s="69"/>
      <c r="CP746" s="69"/>
      <c r="CQ746" s="69"/>
      <c r="CR746" s="69"/>
      <c r="CS746" s="69"/>
      <c r="CT746" s="69"/>
      <c r="CU746" s="69"/>
      <c r="CV746" s="69"/>
      <c r="CW746" s="69"/>
      <c r="CX746" s="69"/>
      <c r="CY746" s="69"/>
      <c r="CZ746" s="69"/>
      <c r="DA746" s="69"/>
      <c r="DB746" s="69"/>
      <c r="DC746" s="69"/>
      <c r="DD746" s="69"/>
      <c r="DE746" s="69"/>
      <c r="DF746" s="69"/>
      <c r="DG746" s="69"/>
      <c r="DH746" s="69"/>
      <c r="DI746" s="69"/>
      <c r="DJ746" s="69"/>
      <c r="DK746" s="69"/>
      <c r="DL746" s="69"/>
      <c r="DM746" s="69"/>
      <c r="DN746" s="69"/>
      <c r="DO746" s="69"/>
      <c r="DP746" s="69"/>
    </row>
    <row r="747" spans="1:120" x14ac:dyDescent="0.2">
      <c r="A747" s="66"/>
      <c r="B747" s="31"/>
      <c r="C747" s="31"/>
      <c r="D747" s="31"/>
      <c r="E747" s="31"/>
      <c r="F747" s="31"/>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c r="BT747" s="69"/>
      <c r="BU747" s="69"/>
      <c r="BV747" s="69"/>
      <c r="BW747" s="69"/>
      <c r="BX747" s="69"/>
      <c r="BY747" s="69"/>
      <c r="BZ747" s="69"/>
      <c r="CA747" s="69"/>
      <c r="CB747" s="69"/>
      <c r="CC747" s="69"/>
      <c r="CD747" s="69"/>
      <c r="CE747" s="69"/>
      <c r="CF747" s="69"/>
      <c r="CG747" s="69"/>
      <c r="CH747" s="69"/>
      <c r="CI747" s="69"/>
      <c r="CJ747" s="69"/>
      <c r="CK747" s="69"/>
      <c r="CL747" s="69"/>
      <c r="CM747" s="69"/>
      <c r="CN747" s="69"/>
      <c r="CO747" s="69"/>
      <c r="CP747" s="69"/>
      <c r="CQ747" s="69"/>
      <c r="CR747" s="69"/>
      <c r="CS747" s="69"/>
      <c r="CT747" s="69"/>
      <c r="CU747" s="69"/>
      <c r="CV747" s="69"/>
      <c r="CW747" s="69"/>
      <c r="CX747" s="69"/>
      <c r="CY747" s="69"/>
      <c r="CZ747" s="69"/>
      <c r="DA747" s="69"/>
      <c r="DB747" s="69"/>
      <c r="DC747" s="69"/>
      <c r="DD747" s="69"/>
      <c r="DE747" s="69"/>
      <c r="DF747" s="69"/>
      <c r="DG747" s="69"/>
      <c r="DH747" s="69"/>
      <c r="DI747" s="69"/>
      <c r="DJ747" s="69"/>
      <c r="DK747" s="69"/>
      <c r="DL747" s="69"/>
      <c r="DM747" s="69"/>
      <c r="DN747" s="69"/>
      <c r="DO747" s="69"/>
      <c r="DP747" s="69"/>
    </row>
    <row r="748" spans="1:120" x14ac:dyDescent="0.2">
      <c r="A748" s="66"/>
      <c r="B748" s="31"/>
      <c r="C748" s="31"/>
      <c r="D748" s="31"/>
      <c r="E748" s="31"/>
      <c r="F748" s="31"/>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c r="BT748" s="69"/>
      <c r="BU748" s="69"/>
      <c r="BV748" s="69"/>
      <c r="BW748" s="69"/>
      <c r="BX748" s="69"/>
      <c r="BY748" s="69"/>
      <c r="BZ748" s="69"/>
      <c r="CA748" s="69"/>
      <c r="CB748" s="69"/>
      <c r="CC748" s="69"/>
      <c r="CD748" s="69"/>
      <c r="CE748" s="69"/>
      <c r="CF748" s="69"/>
      <c r="CG748" s="69"/>
      <c r="CH748" s="69"/>
      <c r="CI748" s="69"/>
      <c r="CJ748" s="69"/>
      <c r="CK748" s="69"/>
      <c r="CL748" s="69"/>
      <c r="CM748" s="69"/>
      <c r="CN748" s="69"/>
      <c r="CO748" s="69"/>
      <c r="CP748" s="69"/>
      <c r="CQ748" s="69"/>
      <c r="CR748" s="69"/>
      <c r="CS748" s="69"/>
      <c r="CT748" s="69"/>
      <c r="CU748" s="69"/>
      <c r="CV748" s="69"/>
      <c r="CW748" s="69"/>
      <c r="CX748" s="69"/>
      <c r="CY748" s="69"/>
      <c r="CZ748" s="69"/>
      <c r="DA748" s="69"/>
      <c r="DB748" s="69"/>
      <c r="DC748" s="69"/>
      <c r="DD748" s="69"/>
      <c r="DE748" s="69"/>
      <c r="DF748" s="69"/>
      <c r="DG748" s="69"/>
      <c r="DH748" s="69"/>
      <c r="DI748" s="69"/>
      <c r="DJ748" s="69"/>
      <c r="DK748" s="69"/>
      <c r="DL748" s="69"/>
      <c r="DM748" s="69"/>
      <c r="DN748" s="69"/>
      <c r="DO748" s="69"/>
      <c r="DP748" s="69"/>
    </row>
    <row r="749" spans="1:120" x14ac:dyDescent="0.2">
      <c r="A749" s="66"/>
      <c r="B749" s="31"/>
      <c r="C749" s="31"/>
      <c r="D749" s="31"/>
      <c r="E749" s="31"/>
      <c r="F749" s="31"/>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c r="BT749" s="69"/>
      <c r="BU749" s="69"/>
      <c r="BV749" s="69"/>
      <c r="BW749" s="69"/>
      <c r="BX749" s="69"/>
      <c r="BY749" s="69"/>
      <c r="BZ749" s="69"/>
      <c r="CA749" s="69"/>
      <c r="CB749" s="69"/>
      <c r="CC749" s="69"/>
      <c r="CD749" s="69"/>
      <c r="CE749" s="69"/>
      <c r="CF749" s="69"/>
      <c r="CG749" s="69"/>
      <c r="CH749" s="69"/>
      <c r="CI749" s="69"/>
      <c r="CJ749" s="69"/>
      <c r="CK749" s="69"/>
      <c r="CL749" s="69"/>
      <c r="CM749" s="69"/>
      <c r="CN749" s="69"/>
      <c r="CO749" s="69"/>
      <c r="CP749" s="69"/>
      <c r="CQ749" s="69"/>
      <c r="CR749" s="69"/>
      <c r="CS749" s="69"/>
      <c r="CT749" s="69"/>
      <c r="CU749" s="69"/>
      <c r="CV749" s="69"/>
      <c r="CW749" s="69"/>
      <c r="CX749" s="69"/>
      <c r="CY749" s="69"/>
      <c r="CZ749" s="69"/>
      <c r="DA749" s="69"/>
      <c r="DB749" s="69"/>
      <c r="DC749" s="69"/>
      <c r="DD749" s="69"/>
      <c r="DE749" s="69"/>
      <c r="DF749" s="69"/>
      <c r="DG749" s="69"/>
      <c r="DH749" s="69"/>
      <c r="DI749" s="69"/>
      <c r="DJ749" s="69"/>
      <c r="DK749" s="69"/>
      <c r="DL749" s="69"/>
      <c r="DM749" s="69"/>
      <c r="DN749" s="69"/>
      <c r="DO749" s="69"/>
      <c r="DP749" s="69"/>
    </row>
    <row r="750" spans="1:120" x14ac:dyDescent="0.2">
      <c r="A750" s="66"/>
      <c r="B750" s="31"/>
      <c r="C750" s="31"/>
      <c r="D750" s="31"/>
      <c r="E750" s="31"/>
      <c r="F750" s="31"/>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c r="AW750" s="69"/>
      <c r="AX750" s="69"/>
      <c r="AY750" s="69"/>
      <c r="AZ750" s="69"/>
      <c r="BA750" s="69"/>
      <c r="BB750" s="69"/>
      <c r="BC750" s="69"/>
      <c r="BD750" s="69"/>
      <c r="BE750" s="69"/>
      <c r="BF750" s="69"/>
      <c r="BG750" s="69"/>
      <c r="BH750" s="69"/>
      <c r="BI750" s="69"/>
      <c r="BJ750" s="69"/>
      <c r="BK750" s="69"/>
      <c r="BL750" s="69"/>
      <c r="BM750" s="69"/>
      <c r="BN750" s="69"/>
      <c r="BO750" s="69"/>
      <c r="BP750" s="69"/>
      <c r="BQ750" s="69"/>
      <c r="BR750" s="69"/>
      <c r="BS750" s="69"/>
      <c r="BT750" s="69"/>
      <c r="BU750" s="69"/>
      <c r="BV750" s="69"/>
      <c r="BW750" s="69"/>
      <c r="BX750" s="69"/>
      <c r="BY750" s="69"/>
      <c r="BZ750" s="69"/>
      <c r="CA750" s="69"/>
      <c r="CB750" s="69"/>
      <c r="CC750" s="69"/>
      <c r="CD750" s="69"/>
      <c r="CE750" s="69"/>
      <c r="CF750" s="69"/>
      <c r="CG750" s="69"/>
      <c r="CH750" s="69"/>
      <c r="CI750" s="69"/>
      <c r="CJ750" s="69"/>
      <c r="CK750" s="69"/>
      <c r="CL750" s="69"/>
      <c r="CM750" s="69"/>
      <c r="CN750" s="69"/>
      <c r="CO750" s="69"/>
      <c r="CP750" s="69"/>
      <c r="CQ750" s="69"/>
      <c r="CR750" s="69"/>
      <c r="CS750" s="69"/>
      <c r="CT750" s="69"/>
      <c r="CU750" s="69"/>
      <c r="CV750" s="69"/>
      <c r="CW750" s="69"/>
      <c r="CX750" s="69"/>
      <c r="CY750" s="69"/>
      <c r="CZ750" s="69"/>
      <c r="DA750" s="69"/>
      <c r="DB750" s="69"/>
      <c r="DC750" s="69"/>
      <c r="DD750" s="69"/>
      <c r="DE750" s="69"/>
      <c r="DF750" s="69"/>
      <c r="DG750" s="69"/>
      <c r="DH750" s="69"/>
      <c r="DI750" s="69"/>
      <c r="DJ750" s="69"/>
      <c r="DK750" s="69"/>
      <c r="DL750" s="69"/>
      <c r="DM750" s="69"/>
      <c r="DN750" s="69"/>
      <c r="DO750" s="69"/>
      <c r="DP750" s="69"/>
    </row>
    <row r="751" spans="1:120" x14ac:dyDescent="0.2">
      <c r="A751" s="66"/>
      <c r="B751" s="31"/>
      <c r="C751" s="31"/>
      <c r="D751" s="31"/>
      <c r="E751" s="31"/>
      <c r="F751" s="31"/>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c r="BT751" s="69"/>
      <c r="BU751" s="69"/>
      <c r="BV751" s="69"/>
      <c r="BW751" s="69"/>
      <c r="BX751" s="69"/>
      <c r="BY751" s="69"/>
      <c r="BZ751" s="69"/>
      <c r="CA751" s="69"/>
      <c r="CB751" s="69"/>
      <c r="CC751" s="69"/>
      <c r="CD751" s="69"/>
      <c r="CE751" s="69"/>
      <c r="CF751" s="69"/>
      <c r="CG751" s="69"/>
      <c r="CH751" s="69"/>
      <c r="CI751" s="69"/>
      <c r="CJ751" s="69"/>
      <c r="CK751" s="69"/>
      <c r="CL751" s="69"/>
      <c r="CM751" s="69"/>
      <c r="CN751" s="69"/>
      <c r="CO751" s="69"/>
      <c r="CP751" s="69"/>
      <c r="CQ751" s="69"/>
      <c r="CR751" s="69"/>
      <c r="CS751" s="69"/>
      <c r="CT751" s="69"/>
      <c r="CU751" s="69"/>
      <c r="CV751" s="69"/>
      <c r="CW751" s="69"/>
      <c r="CX751" s="69"/>
      <c r="CY751" s="69"/>
      <c r="CZ751" s="69"/>
      <c r="DA751" s="69"/>
      <c r="DB751" s="69"/>
      <c r="DC751" s="69"/>
      <c r="DD751" s="69"/>
      <c r="DE751" s="69"/>
      <c r="DF751" s="69"/>
      <c r="DG751" s="69"/>
      <c r="DH751" s="69"/>
      <c r="DI751" s="69"/>
      <c r="DJ751" s="69"/>
      <c r="DK751" s="69"/>
      <c r="DL751" s="69"/>
      <c r="DM751" s="69"/>
      <c r="DN751" s="69"/>
      <c r="DO751" s="69"/>
      <c r="DP751" s="69"/>
    </row>
    <row r="752" spans="1:120" x14ac:dyDescent="0.2">
      <c r="A752" s="66"/>
      <c r="B752" s="31"/>
      <c r="C752" s="31"/>
      <c r="D752" s="31"/>
      <c r="E752" s="31"/>
      <c r="F752" s="31"/>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c r="BT752" s="69"/>
      <c r="BU752" s="69"/>
      <c r="BV752" s="69"/>
      <c r="BW752" s="69"/>
      <c r="BX752" s="69"/>
      <c r="BY752" s="69"/>
      <c r="BZ752" s="69"/>
      <c r="CA752" s="69"/>
      <c r="CB752" s="69"/>
      <c r="CC752" s="69"/>
      <c r="CD752" s="69"/>
      <c r="CE752" s="69"/>
      <c r="CF752" s="69"/>
      <c r="CG752" s="69"/>
      <c r="CH752" s="69"/>
      <c r="CI752" s="69"/>
      <c r="CJ752" s="69"/>
      <c r="CK752" s="69"/>
      <c r="CL752" s="69"/>
      <c r="CM752" s="69"/>
      <c r="CN752" s="69"/>
      <c r="CO752" s="69"/>
      <c r="CP752" s="69"/>
      <c r="CQ752" s="69"/>
      <c r="CR752" s="69"/>
      <c r="CS752" s="69"/>
      <c r="CT752" s="69"/>
      <c r="CU752" s="69"/>
      <c r="CV752" s="69"/>
      <c r="CW752" s="69"/>
      <c r="CX752" s="69"/>
      <c r="CY752" s="69"/>
      <c r="CZ752" s="69"/>
      <c r="DA752" s="69"/>
      <c r="DB752" s="69"/>
      <c r="DC752" s="69"/>
      <c r="DD752" s="69"/>
      <c r="DE752" s="69"/>
      <c r="DF752" s="69"/>
      <c r="DG752" s="69"/>
      <c r="DH752" s="69"/>
      <c r="DI752" s="69"/>
      <c r="DJ752" s="69"/>
      <c r="DK752" s="69"/>
      <c r="DL752" s="69"/>
      <c r="DM752" s="69"/>
      <c r="DN752" s="69"/>
      <c r="DO752" s="69"/>
      <c r="DP752" s="69"/>
    </row>
    <row r="753" spans="1:120" x14ac:dyDescent="0.2">
      <c r="A753" s="66"/>
      <c r="B753" s="31"/>
      <c r="C753" s="31"/>
      <c r="D753" s="31"/>
      <c r="E753" s="31"/>
      <c r="F753" s="31"/>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c r="AW753" s="69"/>
      <c r="AX753" s="69"/>
      <c r="AY753" s="69"/>
      <c r="AZ753" s="69"/>
      <c r="BA753" s="69"/>
      <c r="BB753" s="69"/>
      <c r="BC753" s="69"/>
      <c r="BD753" s="69"/>
      <c r="BE753" s="69"/>
      <c r="BF753" s="69"/>
      <c r="BG753" s="69"/>
      <c r="BH753" s="69"/>
      <c r="BI753" s="69"/>
      <c r="BJ753" s="69"/>
      <c r="BK753" s="69"/>
      <c r="BL753" s="69"/>
      <c r="BM753" s="69"/>
      <c r="BN753" s="69"/>
      <c r="BO753" s="69"/>
      <c r="BP753" s="69"/>
      <c r="BQ753" s="69"/>
      <c r="BR753" s="69"/>
      <c r="BS753" s="69"/>
      <c r="BT753" s="69"/>
      <c r="BU753" s="69"/>
      <c r="BV753" s="69"/>
      <c r="BW753" s="69"/>
      <c r="BX753" s="69"/>
      <c r="BY753" s="69"/>
      <c r="BZ753" s="69"/>
      <c r="CA753" s="69"/>
      <c r="CB753" s="69"/>
      <c r="CC753" s="69"/>
      <c r="CD753" s="69"/>
      <c r="CE753" s="69"/>
      <c r="CF753" s="69"/>
      <c r="CG753" s="69"/>
      <c r="CH753" s="69"/>
      <c r="CI753" s="69"/>
      <c r="CJ753" s="69"/>
      <c r="CK753" s="69"/>
      <c r="CL753" s="69"/>
      <c r="CM753" s="69"/>
      <c r="CN753" s="69"/>
      <c r="CO753" s="69"/>
      <c r="CP753" s="69"/>
      <c r="CQ753" s="69"/>
      <c r="CR753" s="69"/>
      <c r="CS753" s="69"/>
      <c r="CT753" s="69"/>
      <c r="CU753" s="69"/>
      <c r="CV753" s="69"/>
      <c r="CW753" s="69"/>
      <c r="CX753" s="69"/>
      <c r="CY753" s="69"/>
      <c r="CZ753" s="69"/>
      <c r="DA753" s="69"/>
      <c r="DB753" s="69"/>
      <c r="DC753" s="69"/>
      <c r="DD753" s="69"/>
      <c r="DE753" s="69"/>
      <c r="DF753" s="69"/>
      <c r="DG753" s="69"/>
      <c r="DH753" s="69"/>
      <c r="DI753" s="69"/>
      <c r="DJ753" s="69"/>
      <c r="DK753" s="69"/>
      <c r="DL753" s="69"/>
      <c r="DM753" s="69"/>
      <c r="DN753" s="69"/>
      <c r="DO753" s="69"/>
      <c r="DP753" s="69"/>
    </row>
    <row r="754" spans="1:120" x14ac:dyDescent="0.2">
      <c r="A754" s="66"/>
      <c r="B754" s="31"/>
      <c r="C754" s="31"/>
      <c r="D754" s="31"/>
      <c r="E754" s="31"/>
      <c r="F754" s="31"/>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c r="AW754" s="69"/>
      <c r="AX754" s="69"/>
      <c r="AY754" s="69"/>
      <c r="AZ754" s="69"/>
      <c r="BA754" s="69"/>
      <c r="BB754" s="69"/>
      <c r="BC754" s="69"/>
      <c r="BD754" s="69"/>
      <c r="BE754" s="69"/>
      <c r="BF754" s="69"/>
      <c r="BG754" s="69"/>
      <c r="BH754" s="69"/>
      <c r="BI754" s="69"/>
      <c r="BJ754" s="69"/>
      <c r="BK754" s="69"/>
      <c r="BL754" s="69"/>
      <c r="BM754" s="69"/>
      <c r="BN754" s="69"/>
      <c r="BO754" s="69"/>
      <c r="BP754" s="69"/>
      <c r="BQ754" s="69"/>
      <c r="BR754" s="69"/>
      <c r="BS754" s="69"/>
      <c r="BT754" s="69"/>
      <c r="BU754" s="69"/>
      <c r="BV754" s="69"/>
      <c r="BW754" s="69"/>
      <c r="BX754" s="69"/>
      <c r="BY754" s="69"/>
      <c r="BZ754" s="69"/>
      <c r="CA754" s="69"/>
      <c r="CB754" s="69"/>
      <c r="CC754" s="69"/>
      <c r="CD754" s="69"/>
      <c r="CE754" s="69"/>
      <c r="CF754" s="69"/>
      <c r="CG754" s="69"/>
      <c r="CH754" s="69"/>
      <c r="CI754" s="69"/>
      <c r="CJ754" s="69"/>
      <c r="CK754" s="69"/>
      <c r="CL754" s="69"/>
      <c r="CM754" s="69"/>
      <c r="CN754" s="69"/>
      <c r="CO754" s="69"/>
      <c r="CP754" s="69"/>
      <c r="CQ754" s="69"/>
      <c r="CR754" s="69"/>
      <c r="CS754" s="69"/>
      <c r="CT754" s="69"/>
      <c r="CU754" s="69"/>
      <c r="CV754" s="69"/>
      <c r="CW754" s="69"/>
      <c r="CX754" s="69"/>
      <c r="CY754" s="69"/>
      <c r="CZ754" s="69"/>
      <c r="DA754" s="69"/>
      <c r="DB754" s="69"/>
      <c r="DC754" s="69"/>
      <c r="DD754" s="69"/>
      <c r="DE754" s="69"/>
      <c r="DF754" s="69"/>
      <c r="DG754" s="69"/>
      <c r="DH754" s="69"/>
      <c r="DI754" s="69"/>
      <c r="DJ754" s="69"/>
      <c r="DK754" s="69"/>
      <c r="DL754" s="69"/>
      <c r="DM754" s="69"/>
      <c r="DN754" s="69"/>
      <c r="DO754" s="69"/>
      <c r="DP754" s="69"/>
    </row>
    <row r="755" spans="1:120" x14ac:dyDescent="0.2">
      <c r="A755" s="66"/>
      <c r="B755" s="31"/>
      <c r="C755" s="31"/>
      <c r="D755" s="31"/>
      <c r="E755" s="31"/>
      <c r="F755" s="31"/>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c r="BT755" s="69"/>
      <c r="BU755" s="69"/>
      <c r="BV755" s="69"/>
      <c r="BW755" s="69"/>
      <c r="BX755" s="69"/>
      <c r="BY755" s="69"/>
      <c r="BZ755" s="69"/>
      <c r="CA755" s="69"/>
      <c r="CB755" s="69"/>
      <c r="CC755" s="69"/>
      <c r="CD755" s="69"/>
      <c r="CE755" s="69"/>
      <c r="CF755" s="69"/>
      <c r="CG755" s="69"/>
      <c r="CH755" s="69"/>
      <c r="CI755" s="69"/>
      <c r="CJ755" s="69"/>
      <c r="CK755" s="69"/>
      <c r="CL755" s="69"/>
      <c r="CM755" s="69"/>
      <c r="CN755" s="69"/>
      <c r="CO755" s="69"/>
      <c r="CP755" s="69"/>
      <c r="CQ755" s="69"/>
      <c r="CR755" s="69"/>
      <c r="CS755" s="69"/>
      <c r="CT755" s="69"/>
      <c r="CU755" s="69"/>
      <c r="CV755" s="69"/>
      <c r="CW755" s="69"/>
      <c r="CX755" s="69"/>
      <c r="CY755" s="69"/>
      <c r="CZ755" s="69"/>
      <c r="DA755" s="69"/>
      <c r="DB755" s="69"/>
      <c r="DC755" s="69"/>
      <c r="DD755" s="69"/>
      <c r="DE755" s="69"/>
      <c r="DF755" s="69"/>
      <c r="DG755" s="69"/>
      <c r="DH755" s="69"/>
      <c r="DI755" s="69"/>
      <c r="DJ755" s="69"/>
      <c r="DK755" s="69"/>
      <c r="DL755" s="69"/>
      <c r="DM755" s="69"/>
      <c r="DN755" s="69"/>
      <c r="DO755" s="69"/>
      <c r="DP755" s="69"/>
    </row>
    <row r="756" spans="1:120" x14ac:dyDescent="0.2">
      <c r="A756" s="66"/>
      <c r="B756" s="31"/>
      <c r="C756" s="31"/>
      <c r="D756" s="31"/>
      <c r="E756" s="31"/>
      <c r="F756" s="31"/>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c r="BT756" s="69"/>
      <c r="BU756" s="69"/>
      <c r="BV756" s="69"/>
      <c r="BW756" s="69"/>
      <c r="BX756" s="69"/>
      <c r="BY756" s="69"/>
      <c r="BZ756" s="69"/>
      <c r="CA756" s="69"/>
      <c r="CB756" s="69"/>
      <c r="CC756" s="69"/>
      <c r="CD756" s="69"/>
      <c r="CE756" s="69"/>
      <c r="CF756" s="69"/>
      <c r="CG756" s="69"/>
      <c r="CH756" s="69"/>
      <c r="CI756" s="69"/>
      <c r="CJ756" s="69"/>
      <c r="CK756" s="69"/>
      <c r="CL756" s="69"/>
      <c r="CM756" s="69"/>
      <c r="CN756" s="69"/>
      <c r="CO756" s="69"/>
      <c r="CP756" s="69"/>
      <c r="CQ756" s="69"/>
      <c r="CR756" s="69"/>
      <c r="CS756" s="69"/>
      <c r="CT756" s="69"/>
      <c r="CU756" s="69"/>
      <c r="CV756" s="69"/>
      <c r="CW756" s="69"/>
      <c r="CX756" s="69"/>
      <c r="CY756" s="69"/>
      <c r="CZ756" s="69"/>
      <c r="DA756" s="69"/>
      <c r="DB756" s="69"/>
      <c r="DC756" s="69"/>
      <c r="DD756" s="69"/>
      <c r="DE756" s="69"/>
      <c r="DF756" s="69"/>
      <c r="DG756" s="69"/>
      <c r="DH756" s="69"/>
      <c r="DI756" s="69"/>
      <c r="DJ756" s="69"/>
      <c r="DK756" s="69"/>
      <c r="DL756" s="69"/>
      <c r="DM756" s="69"/>
      <c r="DN756" s="69"/>
      <c r="DO756" s="69"/>
      <c r="DP756" s="69"/>
    </row>
    <row r="757" spans="1:120" x14ac:dyDescent="0.2">
      <c r="A757" s="66"/>
      <c r="B757" s="31"/>
      <c r="C757" s="31"/>
      <c r="D757" s="31"/>
      <c r="E757" s="31"/>
      <c r="F757" s="31"/>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c r="AW757" s="69"/>
      <c r="AX757" s="69"/>
      <c r="AY757" s="69"/>
      <c r="AZ757" s="69"/>
      <c r="BA757" s="69"/>
      <c r="BB757" s="69"/>
      <c r="BC757" s="69"/>
      <c r="BD757" s="69"/>
      <c r="BE757" s="69"/>
      <c r="BF757" s="69"/>
      <c r="BG757" s="69"/>
      <c r="BH757" s="69"/>
      <c r="BI757" s="69"/>
      <c r="BJ757" s="69"/>
      <c r="BK757" s="69"/>
      <c r="BL757" s="69"/>
      <c r="BM757" s="69"/>
      <c r="BN757" s="69"/>
      <c r="BO757" s="69"/>
      <c r="BP757" s="69"/>
      <c r="BQ757" s="69"/>
      <c r="BR757" s="69"/>
      <c r="BS757" s="69"/>
      <c r="BT757" s="69"/>
      <c r="BU757" s="69"/>
      <c r="BV757" s="69"/>
      <c r="BW757" s="69"/>
      <c r="BX757" s="69"/>
      <c r="BY757" s="69"/>
      <c r="BZ757" s="69"/>
      <c r="CA757" s="69"/>
      <c r="CB757" s="69"/>
      <c r="CC757" s="69"/>
      <c r="CD757" s="69"/>
      <c r="CE757" s="69"/>
      <c r="CF757" s="69"/>
      <c r="CG757" s="69"/>
      <c r="CH757" s="69"/>
      <c r="CI757" s="69"/>
      <c r="CJ757" s="69"/>
      <c r="CK757" s="69"/>
      <c r="CL757" s="69"/>
      <c r="CM757" s="69"/>
      <c r="CN757" s="69"/>
      <c r="CO757" s="69"/>
      <c r="CP757" s="69"/>
      <c r="CQ757" s="69"/>
      <c r="CR757" s="69"/>
      <c r="CS757" s="69"/>
      <c r="CT757" s="69"/>
      <c r="CU757" s="69"/>
      <c r="CV757" s="69"/>
      <c r="CW757" s="69"/>
      <c r="CX757" s="69"/>
      <c r="CY757" s="69"/>
      <c r="CZ757" s="69"/>
      <c r="DA757" s="69"/>
      <c r="DB757" s="69"/>
      <c r="DC757" s="69"/>
      <c r="DD757" s="69"/>
      <c r="DE757" s="69"/>
      <c r="DF757" s="69"/>
      <c r="DG757" s="69"/>
      <c r="DH757" s="69"/>
      <c r="DI757" s="69"/>
      <c r="DJ757" s="69"/>
      <c r="DK757" s="69"/>
      <c r="DL757" s="69"/>
      <c r="DM757" s="69"/>
      <c r="DN757" s="69"/>
      <c r="DO757" s="69"/>
      <c r="DP757" s="69"/>
    </row>
    <row r="758" spans="1:120" x14ac:dyDescent="0.2">
      <c r="A758" s="66"/>
      <c r="B758" s="31"/>
      <c r="C758" s="31"/>
      <c r="D758" s="31"/>
      <c r="E758" s="31"/>
      <c r="F758" s="31"/>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c r="AW758" s="69"/>
      <c r="AX758" s="69"/>
      <c r="AY758" s="69"/>
      <c r="AZ758" s="69"/>
      <c r="BA758" s="69"/>
      <c r="BB758" s="69"/>
      <c r="BC758" s="69"/>
      <c r="BD758" s="69"/>
      <c r="BE758" s="69"/>
      <c r="BF758" s="69"/>
      <c r="BG758" s="69"/>
      <c r="BH758" s="69"/>
      <c r="BI758" s="69"/>
      <c r="BJ758" s="69"/>
      <c r="BK758" s="69"/>
      <c r="BL758" s="69"/>
      <c r="BM758" s="69"/>
      <c r="BN758" s="69"/>
      <c r="BO758" s="69"/>
      <c r="BP758" s="69"/>
      <c r="BQ758" s="69"/>
      <c r="BR758" s="69"/>
      <c r="BS758" s="69"/>
      <c r="BT758" s="69"/>
      <c r="BU758" s="69"/>
      <c r="BV758" s="69"/>
      <c r="BW758" s="69"/>
      <c r="BX758" s="69"/>
      <c r="BY758" s="69"/>
      <c r="BZ758" s="69"/>
      <c r="CA758" s="69"/>
      <c r="CB758" s="69"/>
      <c r="CC758" s="69"/>
      <c r="CD758" s="69"/>
      <c r="CE758" s="69"/>
      <c r="CF758" s="69"/>
      <c r="CG758" s="69"/>
      <c r="CH758" s="69"/>
      <c r="CI758" s="69"/>
      <c r="CJ758" s="69"/>
      <c r="CK758" s="69"/>
      <c r="CL758" s="69"/>
      <c r="CM758" s="69"/>
      <c r="CN758" s="69"/>
      <c r="CO758" s="69"/>
      <c r="CP758" s="69"/>
      <c r="CQ758" s="69"/>
      <c r="CR758" s="69"/>
      <c r="CS758" s="69"/>
      <c r="CT758" s="69"/>
      <c r="CU758" s="69"/>
      <c r="CV758" s="69"/>
      <c r="CW758" s="69"/>
      <c r="CX758" s="69"/>
      <c r="CY758" s="69"/>
      <c r="CZ758" s="69"/>
      <c r="DA758" s="69"/>
      <c r="DB758" s="69"/>
      <c r="DC758" s="69"/>
      <c r="DD758" s="69"/>
      <c r="DE758" s="69"/>
      <c r="DF758" s="69"/>
      <c r="DG758" s="69"/>
      <c r="DH758" s="69"/>
      <c r="DI758" s="69"/>
      <c r="DJ758" s="69"/>
      <c r="DK758" s="69"/>
      <c r="DL758" s="69"/>
      <c r="DM758" s="69"/>
      <c r="DN758" s="69"/>
      <c r="DO758" s="69"/>
      <c r="DP758" s="69"/>
    </row>
    <row r="759" spans="1:120" x14ac:dyDescent="0.2">
      <c r="A759" s="66"/>
      <c r="B759" s="31"/>
      <c r="C759" s="31"/>
      <c r="D759" s="31"/>
      <c r="E759" s="31"/>
      <c r="F759" s="31"/>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c r="BT759" s="69"/>
      <c r="BU759" s="69"/>
      <c r="BV759" s="69"/>
      <c r="BW759" s="69"/>
      <c r="BX759" s="69"/>
      <c r="BY759" s="69"/>
      <c r="BZ759" s="69"/>
      <c r="CA759" s="69"/>
      <c r="CB759" s="69"/>
      <c r="CC759" s="69"/>
      <c r="CD759" s="69"/>
      <c r="CE759" s="69"/>
      <c r="CF759" s="69"/>
      <c r="CG759" s="69"/>
      <c r="CH759" s="69"/>
      <c r="CI759" s="69"/>
      <c r="CJ759" s="69"/>
      <c r="CK759" s="69"/>
      <c r="CL759" s="69"/>
      <c r="CM759" s="69"/>
      <c r="CN759" s="69"/>
      <c r="CO759" s="69"/>
      <c r="CP759" s="69"/>
      <c r="CQ759" s="69"/>
      <c r="CR759" s="69"/>
      <c r="CS759" s="69"/>
      <c r="CT759" s="69"/>
      <c r="CU759" s="69"/>
      <c r="CV759" s="69"/>
      <c r="CW759" s="69"/>
      <c r="CX759" s="69"/>
      <c r="CY759" s="69"/>
      <c r="CZ759" s="69"/>
      <c r="DA759" s="69"/>
      <c r="DB759" s="69"/>
      <c r="DC759" s="69"/>
      <c r="DD759" s="69"/>
      <c r="DE759" s="69"/>
      <c r="DF759" s="69"/>
      <c r="DG759" s="69"/>
      <c r="DH759" s="69"/>
      <c r="DI759" s="69"/>
      <c r="DJ759" s="69"/>
      <c r="DK759" s="69"/>
      <c r="DL759" s="69"/>
      <c r="DM759" s="69"/>
      <c r="DN759" s="69"/>
      <c r="DO759" s="69"/>
      <c r="DP759" s="69"/>
    </row>
    <row r="760" spans="1:120" x14ac:dyDescent="0.2">
      <c r="A760" s="66"/>
      <c r="B760" s="31"/>
      <c r="C760" s="31"/>
      <c r="D760" s="31"/>
      <c r="E760" s="31"/>
      <c r="F760" s="31"/>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c r="BT760" s="69"/>
      <c r="BU760" s="69"/>
      <c r="BV760" s="69"/>
      <c r="BW760" s="69"/>
      <c r="BX760" s="69"/>
      <c r="BY760" s="69"/>
      <c r="BZ760" s="69"/>
      <c r="CA760" s="69"/>
      <c r="CB760" s="69"/>
      <c r="CC760" s="69"/>
      <c r="CD760" s="69"/>
      <c r="CE760" s="69"/>
      <c r="CF760" s="69"/>
      <c r="CG760" s="69"/>
      <c r="CH760" s="69"/>
      <c r="CI760" s="69"/>
      <c r="CJ760" s="69"/>
      <c r="CK760" s="69"/>
      <c r="CL760" s="69"/>
      <c r="CM760" s="69"/>
      <c r="CN760" s="69"/>
      <c r="CO760" s="69"/>
      <c r="CP760" s="69"/>
      <c r="CQ760" s="69"/>
      <c r="CR760" s="69"/>
      <c r="CS760" s="69"/>
      <c r="CT760" s="69"/>
      <c r="CU760" s="69"/>
      <c r="CV760" s="69"/>
      <c r="CW760" s="69"/>
      <c r="CX760" s="69"/>
      <c r="CY760" s="69"/>
      <c r="CZ760" s="69"/>
      <c r="DA760" s="69"/>
      <c r="DB760" s="69"/>
      <c r="DC760" s="69"/>
      <c r="DD760" s="69"/>
      <c r="DE760" s="69"/>
      <c r="DF760" s="69"/>
      <c r="DG760" s="69"/>
      <c r="DH760" s="69"/>
      <c r="DI760" s="69"/>
      <c r="DJ760" s="69"/>
      <c r="DK760" s="69"/>
      <c r="DL760" s="69"/>
      <c r="DM760" s="69"/>
      <c r="DN760" s="69"/>
      <c r="DO760" s="69"/>
      <c r="DP760" s="69"/>
    </row>
    <row r="761" spans="1:120" x14ac:dyDescent="0.2">
      <c r="A761" s="66"/>
      <c r="B761" s="31"/>
      <c r="C761" s="31"/>
      <c r="D761" s="31"/>
      <c r="E761" s="31"/>
      <c r="F761" s="31"/>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c r="AW761" s="69"/>
      <c r="AX761" s="69"/>
      <c r="AY761" s="69"/>
      <c r="AZ761" s="69"/>
      <c r="BA761" s="69"/>
      <c r="BB761" s="69"/>
      <c r="BC761" s="69"/>
      <c r="BD761" s="69"/>
      <c r="BE761" s="69"/>
      <c r="BF761" s="69"/>
      <c r="BG761" s="69"/>
      <c r="BH761" s="69"/>
      <c r="BI761" s="69"/>
      <c r="BJ761" s="69"/>
      <c r="BK761" s="69"/>
      <c r="BL761" s="69"/>
      <c r="BM761" s="69"/>
      <c r="BN761" s="69"/>
      <c r="BO761" s="69"/>
      <c r="BP761" s="69"/>
      <c r="BQ761" s="69"/>
      <c r="BR761" s="69"/>
      <c r="BS761" s="69"/>
      <c r="BT761" s="69"/>
      <c r="BU761" s="69"/>
      <c r="BV761" s="69"/>
      <c r="BW761" s="69"/>
      <c r="BX761" s="69"/>
      <c r="BY761" s="69"/>
      <c r="BZ761" s="69"/>
      <c r="CA761" s="69"/>
      <c r="CB761" s="69"/>
      <c r="CC761" s="69"/>
      <c r="CD761" s="69"/>
      <c r="CE761" s="69"/>
      <c r="CF761" s="69"/>
      <c r="CG761" s="69"/>
      <c r="CH761" s="69"/>
      <c r="CI761" s="69"/>
      <c r="CJ761" s="69"/>
      <c r="CK761" s="69"/>
      <c r="CL761" s="69"/>
      <c r="CM761" s="69"/>
      <c r="CN761" s="69"/>
      <c r="CO761" s="69"/>
      <c r="CP761" s="69"/>
      <c r="CQ761" s="69"/>
      <c r="CR761" s="69"/>
      <c r="CS761" s="69"/>
      <c r="CT761" s="69"/>
      <c r="CU761" s="69"/>
      <c r="CV761" s="69"/>
      <c r="CW761" s="69"/>
      <c r="CX761" s="69"/>
      <c r="CY761" s="69"/>
      <c r="CZ761" s="69"/>
      <c r="DA761" s="69"/>
      <c r="DB761" s="69"/>
      <c r="DC761" s="69"/>
      <c r="DD761" s="69"/>
      <c r="DE761" s="69"/>
      <c r="DF761" s="69"/>
      <c r="DG761" s="69"/>
      <c r="DH761" s="69"/>
      <c r="DI761" s="69"/>
      <c r="DJ761" s="69"/>
      <c r="DK761" s="69"/>
      <c r="DL761" s="69"/>
      <c r="DM761" s="69"/>
      <c r="DN761" s="69"/>
      <c r="DO761" s="69"/>
      <c r="DP761" s="69"/>
    </row>
    <row r="762" spans="1:120" x14ac:dyDescent="0.2">
      <c r="A762" s="66"/>
      <c r="B762" s="31"/>
      <c r="C762" s="31"/>
      <c r="D762" s="31"/>
      <c r="E762" s="31"/>
      <c r="F762" s="31"/>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c r="AW762" s="69"/>
      <c r="AX762" s="69"/>
      <c r="AY762" s="69"/>
      <c r="AZ762" s="69"/>
      <c r="BA762" s="69"/>
      <c r="BB762" s="69"/>
      <c r="BC762" s="69"/>
      <c r="BD762" s="69"/>
      <c r="BE762" s="69"/>
      <c r="BF762" s="69"/>
      <c r="BG762" s="69"/>
      <c r="BH762" s="69"/>
      <c r="BI762" s="69"/>
      <c r="BJ762" s="69"/>
      <c r="BK762" s="69"/>
      <c r="BL762" s="69"/>
      <c r="BM762" s="69"/>
      <c r="BN762" s="69"/>
      <c r="BO762" s="69"/>
      <c r="BP762" s="69"/>
      <c r="BQ762" s="69"/>
      <c r="BR762" s="69"/>
      <c r="BS762" s="69"/>
      <c r="BT762" s="69"/>
      <c r="BU762" s="69"/>
      <c r="BV762" s="69"/>
      <c r="BW762" s="69"/>
      <c r="BX762" s="69"/>
      <c r="BY762" s="69"/>
      <c r="BZ762" s="69"/>
      <c r="CA762" s="69"/>
      <c r="CB762" s="69"/>
      <c r="CC762" s="69"/>
      <c r="CD762" s="69"/>
      <c r="CE762" s="69"/>
      <c r="CF762" s="69"/>
      <c r="CG762" s="69"/>
      <c r="CH762" s="69"/>
      <c r="CI762" s="69"/>
      <c r="CJ762" s="69"/>
      <c r="CK762" s="69"/>
      <c r="CL762" s="69"/>
      <c r="CM762" s="69"/>
      <c r="CN762" s="69"/>
      <c r="CO762" s="69"/>
      <c r="CP762" s="69"/>
      <c r="CQ762" s="69"/>
      <c r="CR762" s="69"/>
      <c r="CS762" s="69"/>
      <c r="CT762" s="69"/>
      <c r="CU762" s="69"/>
      <c r="CV762" s="69"/>
      <c r="CW762" s="69"/>
      <c r="CX762" s="69"/>
      <c r="CY762" s="69"/>
      <c r="CZ762" s="69"/>
      <c r="DA762" s="69"/>
      <c r="DB762" s="69"/>
      <c r="DC762" s="69"/>
      <c r="DD762" s="69"/>
      <c r="DE762" s="69"/>
      <c r="DF762" s="69"/>
      <c r="DG762" s="69"/>
      <c r="DH762" s="69"/>
      <c r="DI762" s="69"/>
      <c r="DJ762" s="69"/>
      <c r="DK762" s="69"/>
      <c r="DL762" s="69"/>
      <c r="DM762" s="69"/>
      <c r="DN762" s="69"/>
      <c r="DO762" s="69"/>
      <c r="DP762" s="69"/>
    </row>
    <row r="763" spans="1:120" x14ac:dyDescent="0.2">
      <c r="A763" s="66"/>
      <c r="B763" s="31"/>
      <c r="C763" s="31"/>
      <c r="D763" s="31"/>
      <c r="E763" s="31"/>
      <c r="F763" s="31"/>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c r="BT763" s="69"/>
      <c r="BU763" s="69"/>
      <c r="BV763" s="69"/>
      <c r="BW763" s="69"/>
      <c r="BX763" s="69"/>
      <c r="BY763" s="69"/>
      <c r="BZ763" s="69"/>
      <c r="CA763" s="69"/>
      <c r="CB763" s="69"/>
      <c r="CC763" s="69"/>
      <c r="CD763" s="69"/>
      <c r="CE763" s="69"/>
      <c r="CF763" s="69"/>
      <c r="CG763" s="69"/>
      <c r="CH763" s="69"/>
      <c r="CI763" s="69"/>
      <c r="CJ763" s="69"/>
      <c r="CK763" s="69"/>
      <c r="CL763" s="69"/>
      <c r="CM763" s="69"/>
      <c r="CN763" s="69"/>
      <c r="CO763" s="69"/>
      <c r="CP763" s="69"/>
      <c r="CQ763" s="69"/>
      <c r="CR763" s="69"/>
      <c r="CS763" s="69"/>
      <c r="CT763" s="69"/>
      <c r="CU763" s="69"/>
      <c r="CV763" s="69"/>
      <c r="CW763" s="69"/>
      <c r="CX763" s="69"/>
      <c r="CY763" s="69"/>
      <c r="CZ763" s="69"/>
      <c r="DA763" s="69"/>
      <c r="DB763" s="69"/>
      <c r="DC763" s="69"/>
      <c r="DD763" s="69"/>
      <c r="DE763" s="69"/>
      <c r="DF763" s="69"/>
      <c r="DG763" s="69"/>
      <c r="DH763" s="69"/>
      <c r="DI763" s="69"/>
      <c r="DJ763" s="69"/>
      <c r="DK763" s="69"/>
      <c r="DL763" s="69"/>
      <c r="DM763" s="69"/>
      <c r="DN763" s="69"/>
      <c r="DO763" s="69"/>
      <c r="DP763" s="69"/>
    </row>
    <row r="764" spans="1:120" x14ac:dyDescent="0.2">
      <c r="A764" s="66"/>
      <c r="B764" s="31"/>
      <c r="C764" s="31"/>
      <c r="D764" s="31"/>
      <c r="E764" s="31"/>
      <c r="F764" s="31"/>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c r="BT764" s="69"/>
      <c r="BU764" s="69"/>
      <c r="BV764" s="69"/>
      <c r="BW764" s="69"/>
      <c r="BX764" s="69"/>
      <c r="BY764" s="69"/>
      <c r="BZ764" s="69"/>
      <c r="CA764" s="69"/>
      <c r="CB764" s="69"/>
      <c r="CC764" s="69"/>
      <c r="CD764" s="69"/>
      <c r="CE764" s="69"/>
      <c r="CF764" s="69"/>
      <c r="CG764" s="69"/>
      <c r="CH764" s="69"/>
      <c r="CI764" s="69"/>
      <c r="CJ764" s="69"/>
      <c r="CK764" s="69"/>
      <c r="CL764" s="69"/>
      <c r="CM764" s="69"/>
      <c r="CN764" s="69"/>
      <c r="CO764" s="69"/>
      <c r="CP764" s="69"/>
      <c r="CQ764" s="69"/>
      <c r="CR764" s="69"/>
      <c r="CS764" s="69"/>
      <c r="CT764" s="69"/>
      <c r="CU764" s="69"/>
      <c r="CV764" s="69"/>
      <c r="CW764" s="69"/>
      <c r="CX764" s="69"/>
      <c r="CY764" s="69"/>
      <c r="CZ764" s="69"/>
      <c r="DA764" s="69"/>
      <c r="DB764" s="69"/>
      <c r="DC764" s="69"/>
      <c r="DD764" s="69"/>
      <c r="DE764" s="69"/>
      <c r="DF764" s="69"/>
      <c r="DG764" s="69"/>
      <c r="DH764" s="69"/>
      <c r="DI764" s="69"/>
      <c r="DJ764" s="69"/>
      <c r="DK764" s="69"/>
      <c r="DL764" s="69"/>
      <c r="DM764" s="69"/>
      <c r="DN764" s="69"/>
      <c r="DO764" s="69"/>
      <c r="DP764" s="69"/>
    </row>
    <row r="765" spans="1:120" x14ac:dyDescent="0.2">
      <c r="A765" s="66"/>
      <c r="B765" s="31"/>
      <c r="C765" s="31"/>
      <c r="D765" s="31"/>
      <c r="E765" s="31"/>
      <c r="F765" s="31"/>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c r="AW765" s="69"/>
      <c r="AX765" s="69"/>
      <c r="AY765" s="69"/>
      <c r="AZ765" s="69"/>
      <c r="BA765" s="69"/>
      <c r="BB765" s="69"/>
      <c r="BC765" s="69"/>
      <c r="BD765" s="69"/>
      <c r="BE765" s="69"/>
      <c r="BF765" s="69"/>
      <c r="BG765" s="69"/>
      <c r="BH765" s="69"/>
      <c r="BI765" s="69"/>
      <c r="BJ765" s="69"/>
      <c r="BK765" s="69"/>
      <c r="BL765" s="69"/>
      <c r="BM765" s="69"/>
      <c r="BN765" s="69"/>
      <c r="BO765" s="69"/>
      <c r="BP765" s="69"/>
      <c r="BQ765" s="69"/>
      <c r="BR765" s="69"/>
      <c r="BS765" s="69"/>
      <c r="BT765" s="69"/>
      <c r="BU765" s="69"/>
      <c r="BV765" s="69"/>
      <c r="BW765" s="69"/>
      <c r="BX765" s="69"/>
      <c r="BY765" s="69"/>
      <c r="BZ765" s="69"/>
      <c r="CA765" s="69"/>
      <c r="CB765" s="69"/>
      <c r="CC765" s="69"/>
      <c r="CD765" s="69"/>
      <c r="CE765" s="69"/>
      <c r="CF765" s="69"/>
      <c r="CG765" s="69"/>
      <c r="CH765" s="69"/>
      <c r="CI765" s="69"/>
      <c r="CJ765" s="69"/>
      <c r="CK765" s="69"/>
      <c r="CL765" s="69"/>
      <c r="CM765" s="69"/>
      <c r="CN765" s="69"/>
      <c r="CO765" s="69"/>
      <c r="CP765" s="69"/>
      <c r="CQ765" s="69"/>
      <c r="CR765" s="69"/>
      <c r="CS765" s="69"/>
      <c r="CT765" s="69"/>
      <c r="CU765" s="69"/>
      <c r="CV765" s="69"/>
      <c r="CW765" s="69"/>
      <c r="CX765" s="69"/>
      <c r="CY765" s="69"/>
      <c r="CZ765" s="69"/>
      <c r="DA765" s="69"/>
      <c r="DB765" s="69"/>
      <c r="DC765" s="69"/>
      <c r="DD765" s="69"/>
      <c r="DE765" s="69"/>
      <c r="DF765" s="69"/>
      <c r="DG765" s="69"/>
      <c r="DH765" s="69"/>
      <c r="DI765" s="69"/>
      <c r="DJ765" s="69"/>
      <c r="DK765" s="69"/>
      <c r="DL765" s="69"/>
      <c r="DM765" s="69"/>
      <c r="DN765" s="69"/>
      <c r="DO765" s="69"/>
      <c r="DP765" s="69"/>
    </row>
    <row r="766" spans="1:120" x14ac:dyDescent="0.2">
      <c r="A766" s="66"/>
      <c r="B766" s="31"/>
      <c r="C766" s="31"/>
      <c r="D766" s="31"/>
      <c r="E766" s="31"/>
      <c r="F766" s="31"/>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c r="AW766" s="69"/>
      <c r="AX766" s="69"/>
      <c r="AY766" s="69"/>
      <c r="AZ766" s="69"/>
      <c r="BA766" s="69"/>
      <c r="BB766" s="69"/>
      <c r="BC766" s="69"/>
      <c r="BD766" s="69"/>
      <c r="BE766" s="69"/>
      <c r="BF766" s="69"/>
      <c r="BG766" s="69"/>
      <c r="BH766" s="69"/>
      <c r="BI766" s="69"/>
      <c r="BJ766" s="69"/>
      <c r="BK766" s="69"/>
      <c r="BL766" s="69"/>
      <c r="BM766" s="69"/>
      <c r="BN766" s="69"/>
      <c r="BO766" s="69"/>
      <c r="BP766" s="69"/>
      <c r="BQ766" s="69"/>
      <c r="BR766" s="69"/>
      <c r="BS766" s="69"/>
      <c r="BT766" s="69"/>
      <c r="BU766" s="69"/>
      <c r="BV766" s="69"/>
      <c r="BW766" s="69"/>
      <c r="BX766" s="69"/>
      <c r="BY766" s="69"/>
      <c r="BZ766" s="69"/>
      <c r="CA766" s="69"/>
      <c r="CB766" s="69"/>
      <c r="CC766" s="69"/>
      <c r="CD766" s="69"/>
      <c r="CE766" s="69"/>
      <c r="CF766" s="69"/>
      <c r="CG766" s="69"/>
      <c r="CH766" s="69"/>
      <c r="CI766" s="69"/>
      <c r="CJ766" s="69"/>
      <c r="CK766" s="69"/>
      <c r="CL766" s="69"/>
      <c r="CM766" s="69"/>
      <c r="CN766" s="69"/>
      <c r="CO766" s="69"/>
      <c r="CP766" s="69"/>
      <c r="CQ766" s="69"/>
      <c r="CR766" s="69"/>
      <c r="CS766" s="69"/>
      <c r="CT766" s="69"/>
      <c r="CU766" s="69"/>
      <c r="CV766" s="69"/>
      <c r="CW766" s="69"/>
      <c r="CX766" s="69"/>
      <c r="CY766" s="69"/>
      <c r="CZ766" s="69"/>
      <c r="DA766" s="69"/>
      <c r="DB766" s="69"/>
      <c r="DC766" s="69"/>
      <c r="DD766" s="69"/>
      <c r="DE766" s="69"/>
      <c r="DF766" s="69"/>
      <c r="DG766" s="69"/>
      <c r="DH766" s="69"/>
      <c r="DI766" s="69"/>
      <c r="DJ766" s="69"/>
      <c r="DK766" s="69"/>
      <c r="DL766" s="69"/>
      <c r="DM766" s="69"/>
      <c r="DN766" s="69"/>
      <c r="DO766" s="69"/>
      <c r="DP766" s="69"/>
    </row>
    <row r="767" spans="1:120" x14ac:dyDescent="0.2">
      <c r="A767" s="66"/>
      <c r="B767" s="31"/>
      <c r="C767" s="31"/>
      <c r="D767" s="31"/>
      <c r="E767" s="31"/>
      <c r="F767" s="31"/>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c r="BT767" s="69"/>
      <c r="BU767" s="69"/>
      <c r="BV767" s="69"/>
      <c r="BW767" s="69"/>
      <c r="BX767" s="69"/>
      <c r="BY767" s="69"/>
      <c r="BZ767" s="69"/>
      <c r="CA767" s="69"/>
      <c r="CB767" s="69"/>
      <c r="CC767" s="69"/>
      <c r="CD767" s="69"/>
      <c r="CE767" s="69"/>
      <c r="CF767" s="69"/>
      <c r="CG767" s="69"/>
      <c r="CH767" s="69"/>
      <c r="CI767" s="69"/>
      <c r="CJ767" s="69"/>
      <c r="CK767" s="69"/>
      <c r="CL767" s="69"/>
      <c r="CM767" s="69"/>
      <c r="CN767" s="69"/>
      <c r="CO767" s="69"/>
      <c r="CP767" s="69"/>
      <c r="CQ767" s="69"/>
      <c r="CR767" s="69"/>
      <c r="CS767" s="69"/>
      <c r="CT767" s="69"/>
      <c r="CU767" s="69"/>
      <c r="CV767" s="69"/>
      <c r="CW767" s="69"/>
      <c r="CX767" s="69"/>
      <c r="CY767" s="69"/>
      <c r="CZ767" s="69"/>
      <c r="DA767" s="69"/>
      <c r="DB767" s="69"/>
      <c r="DC767" s="69"/>
      <c r="DD767" s="69"/>
      <c r="DE767" s="69"/>
      <c r="DF767" s="69"/>
      <c r="DG767" s="69"/>
      <c r="DH767" s="69"/>
      <c r="DI767" s="69"/>
      <c r="DJ767" s="69"/>
      <c r="DK767" s="69"/>
      <c r="DL767" s="69"/>
      <c r="DM767" s="69"/>
      <c r="DN767" s="69"/>
      <c r="DO767" s="69"/>
      <c r="DP767" s="69"/>
    </row>
    <row r="768" spans="1:120" x14ac:dyDescent="0.2">
      <c r="A768" s="66"/>
      <c r="B768" s="31"/>
      <c r="C768" s="31"/>
      <c r="D768" s="31"/>
      <c r="E768" s="31"/>
      <c r="F768" s="31"/>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c r="BT768" s="69"/>
      <c r="BU768" s="69"/>
      <c r="BV768" s="69"/>
      <c r="BW768" s="69"/>
      <c r="BX768" s="69"/>
      <c r="BY768" s="69"/>
      <c r="BZ768" s="69"/>
      <c r="CA768" s="69"/>
      <c r="CB768" s="69"/>
      <c r="CC768" s="69"/>
      <c r="CD768" s="69"/>
      <c r="CE768" s="69"/>
      <c r="CF768" s="69"/>
      <c r="CG768" s="69"/>
      <c r="CH768" s="69"/>
      <c r="CI768" s="69"/>
      <c r="CJ768" s="69"/>
      <c r="CK768" s="69"/>
      <c r="CL768" s="69"/>
      <c r="CM768" s="69"/>
      <c r="CN768" s="69"/>
      <c r="CO768" s="69"/>
      <c r="CP768" s="69"/>
      <c r="CQ768" s="69"/>
      <c r="CR768" s="69"/>
      <c r="CS768" s="69"/>
      <c r="CT768" s="69"/>
      <c r="CU768" s="69"/>
      <c r="CV768" s="69"/>
      <c r="CW768" s="69"/>
      <c r="CX768" s="69"/>
      <c r="CY768" s="69"/>
      <c r="CZ768" s="69"/>
      <c r="DA768" s="69"/>
      <c r="DB768" s="69"/>
      <c r="DC768" s="69"/>
      <c r="DD768" s="69"/>
      <c r="DE768" s="69"/>
      <c r="DF768" s="69"/>
      <c r="DG768" s="69"/>
      <c r="DH768" s="69"/>
      <c r="DI768" s="69"/>
      <c r="DJ768" s="69"/>
      <c r="DK768" s="69"/>
      <c r="DL768" s="69"/>
      <c r="DM768" s="69"/>
      <c r="DN768" s="69"/>
      <c r="DO768" s="69"/>
      <c r="DP768" s="69"/>
    </row>
    <row r="769" spans="1:120" x14ac:dyDescent="0.2">
      <c r="A769" s="66"/>
      <c r="B769" s="31"/>
      <c r="C769" s="31"/>
      <c r="D769" s="31"/>
      <c r="E769" s="31"/>
      <c r="F769" s="31"/>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c r="AW769" s="69"/>
      <c r="AX769" s="69"/>
      <c r="AY769" s="69"/>
      <c r="AZ769" s="69"/>
      <c r="BA769" s="69"/>
      <c r="BB769" s="69"/>
      <c r="BC769" s="69"/>
      <c r="BD769" s="69"/>
      <c r="BE769" s="69"/>
      <c r="BF769" s="69"/>
      <c r="BG769" s="69"/>
      <c r="BH769" s="69"/>
      <c r="BI769" s="69"/>
      <c r="BJ769" s="69"/>
      <c r="BK769" s="69"/>
      <c r="BL769" s="69"/>
      <c r="BM769" s="69"/>
      <c r="BN769" s="69"/>
      <c r="BO769" s="69"/>
      <c r="BP769" s="69"/>
      <c r="BQ769" s="69"/>
      <c r="BR769" s="69"/>
      <c r="BS769" s="69"/>
      <c r="BT769" s="69"/>
      <c r="BU769" s="69"/>
      <c r="BV769" s="69"/>
      <c r="BW769" s="69"/>
      <c r="BX769" s="69"/>
      <c r="BY769" s="69"/>
      <c r="BZ769" s="69"/>
      <c r="CA769" s="69"/>
      <c r="CB769" s="69"/>
      <c r="CC769" s="69"/>
      <c r="CD769" s="69"/>
      <c r="CE769" s="69"/>
      <c r="CF769" s="69"/>
      <c r="CG769" s="69"/>
      <c r="CH769" s="69"/>
      <c r="CI769" s="69"/>
      <c r="CJ769" s="69"/>
      <c r="CK769" s="69"/>
      <c r="CL769" s="69"/>
      <c r="CM769" s="69"/>
      <c r="CN769" s="69"/>
      <c r="CO769" s="69"/>
      <c r="CP769" s="69"/>
      <c r="CQ769" s="69"/>
      <c r="CR769" s="69"/>
      <c r="CS769" s="69"/>
      <c r="CT769" s="69"/>
      <c r="CU769" s="69"/>
      <c r="CV769" s="69"/>
      <c r="CW769" s="69"/>
      <c r="CX769" s="69"/>
      <c r="CY769" s="69"/>
      <c r="CZ769" s="69"/>
      <c r="DA769" s="69"/>
      <c r="DB769" s="69"/>
      <c r="DC769" s="69"/>
      <c r="DD769" s="69"/>
      <c r="DE769" s="69"/>
      <c r="DF769" s="69"/>
      <c r="DG769" s="69"/>
      <c r="DH769" s="69"/>
      <c r="DI769" s="69"/>
      <c r="DJ769" s="69"/>
      <c r="DK769" s="69"/>
      <c r="DL769" s="69"/>
      <c r="DM769" s="69"/>
      <c r="DN769" s="69"/>
      <c r="DO769" s="69"/>
      <c r="DP769" s="69"/>
    </row>
    <row r="770" spans="1:120" x14ac:dyDescent="0.2">
      <c r="A770" s="66"/>
      <c r="B770" s="31"/>
      <c r="C770" s="31"/>
      <c r="D770" s="31"/>
      <c r="E770" s="31"/>
      <c r="F770" s="31"/>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c r="AW770" s="69"/>
      <c r="AX770" s="69"/>
      <c r="AY770" s="69"/>
      <c r="AZ770" s="69"/>
      <c r="BA770" s="69"/>
      <c r="BB770" s="69"/>
      <c r="BC770" s="69"/>
      <c r="BD770" s="69"/>
      <c r="BE770" s="69"/>
      <c r="BF770" s="69"/>
      <c r="BG770" s="69"/>
      <c r="BH770" s="69"/>
      <c r="BI770" s="69"/>
      <c r="BJ770" s="69"/>
      <c r="BK770" s="69"/>
      <c r="BL770" s="69"/>
      <c r="BM770" s="69"/>
      <c r="BN770" s="69"/>
      <c r="BO770" s="69"/>
      <c r="BP770" s="69"/>
      <c r="BQ770" s="69"/>
      <c r="BR770" s="69"/>
      <c r="BS770" s="69"/>
      <c r="BT770" s="69"/>
      <c r="BU770" s="69"/>
      <c r="BV770" s="69"/>
      <c r="BW770" s="69"/>
      <c r="BX770" s="69"/>
      <c r="BY770" s="69"/>
      <c r="BZ770" s="69"/>
      <c r="CA770" s="69"/>
      <c r="CB770" s="69"/>
      <c r="CC770" s="69"/>
      <c r="CD770" s="69"/>
      <c r="CE770" s="69"/>
      <c r="CF770" s="69"/>
      <c r="CG770" s="69"/>
      <c r="CH770" s="69"/>
      <c r="CI770" s="69"/>
      <c r="CJ770" s="69"/>
      <c r="CK770" s="69"/>
      <c r="CL770" s="69"/>
      <c r="CM770" s="69"/>
      <c r="CN770" s="69"/>
      <c r="CO770" s="69"/>
      <c r="CP770" s="69"/>
      <c r="CQ770" s="69"/>
      <c r="CR770" s="69"/>
      <c r="CS770" s="69"/>
      <c r="CT770" s="69"/>
      <c r="CU770" s="69"/>
      <c r="CV770" s="69"/>
      <c r="CW770" s="69"/>
      <c r="CX770" s="69"/>
      <c r="CY770" s="69"/>
      <c r="CZ770" s="69"/>
      <c r="DA770" s="69"/>
      <c r="DB770" s="69"/>
      <c r="DC770" s="69"/>
      <c r="DD770" s="69"/>
      <c r="DE770" s="69"/>
      <c r="DF770" s="69"/>
      <c r="DG770" s="69"/>
      <c r="DH770" s="69"/>
      <c r="DI770" s="69"/>
      <c r="DJ770" s="69"/>
      <c r="DK770" s="69"/>
      <c r="DL770" s="69"/>
      <c r="DM770" s="69"/>
      <c r="DN770" s="69"/>
      <c r="DO770" s="69"/>
      <c r="DP770" s="69"/>
    </row>
    <row r="771" spans="1:120" x14ac:dyDescent="0.2">
      <c r="A771" s="66"/>
      <c r="B771" s="31"/>
      <c r="C771" s="31"/>
      <c r="D771" s="31"/>
      <c r="E771" s="31"/>
      <c r="F771" s="31"/>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c r="BT771" s="69"/>
      <c r="BU771" s="69"/>
      <c r="BV771" s="69"/>
      <c r="BW771" s="69"/>
      <c r="BX771" s="69"/>
      <c r="BY771" s="69"/>
      <c r="BZ771" s="69"/>
      <c r="CA771" s="69"/>
      <c r="CB771" s="69"/>
      <c r="CC771" s="69"/>
      <c r="CD771" s="69"/>
      <c r="CE771" s="69"/>
      <c r="CF771" s="69"/>
      <c r="CG771" s="69"/>
      <c r="CH771" s="69"/>
      <c r="CI771" s="69"/>
      <c r="CJ771" s="69"/>
      <c r="CK771" s="69"/>
      <c r="CL771" s="69"/>
      <c r="CM771" s="69"/>
      <c r="CN771" s="69"/>
      <c r="CO771" s="69"/>
      <c r="CP771" s="69"/>
      <c r="CQ771" s="69"/>
      <c r="CR771" s="69"/>
      <c r="CS771" s="69"/>
      <c r="CT771" s="69"/>
      <c r="CU771" s="69"/>
      <c r="CV771" s="69"/>
      <c r="CW771" s="69"/>
      <c r="CX771" s="69"/>
      <c r="CY771" s="69"/>
      <c r="CZ771" s="69"/>
      <c r="DA771" s="69"/>
      <c r="DB771" s="69"/>
      <c r="DC771" s="69"/>
      <c r="DD771" s="69"/>
      <c r="DE771" s="69"/>
      <c r="DF771" s="69"/>
      <c r="DG771" s="69"/>
      <c r="DH771" s="69"/>
      <c r="DI771" s="69"/>
      <c r="DJ771" s="69"/>
      <c r="DK771" s="69"/>
      <c r="DL771" s="69"/>
      <c r="DM771" s="69"/>
      <c r="DN771" s="69"/>
      <c r="DO771" s="69"/>
      <c r="DP771" s="69"/>
    </row>
    <row r="772" spans="1:120" x14ac:dyDescent="0.2">
      <c r="A772" s="66"/>
      <c r="B772" s="31"/>
      <c r="C772" s="31"/>
      <c r="D772" s="31"/>
      <c r="E772" s="31"/>
      <c r="F772" s="31"/>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c r="BT772" s="69"/>
      <c r="BU772" s="69"/>
      <c r="BV772" s="69"/>
      <c r="BW772" s="69"/>
      <c r="BX772" s="69"/>
      <c r="BY772" s="69"/>
      <c r="BZ772" s="69"/>
      <c r="CA772" s="69"/>
      <c r="CB772" s="69"/>
      <c r="CC772" s="69"/>
      <c r="CD772" s="69"/>
      <c r="CE772" s="69"/>
      <c r="CF772" s="69"/>
      <c r="CG772" s="69"/>
      <c r="CH772" s="69"/>
      <c r="CI772" s="69"/>
      <c r="CJ772" s="69"/>
      <c r="CK772" s="69"/>
      <c r="CL772" s="69"/>
      <c r="CM772" s="69"/>
      <c r="CN772" s="69"/>
      <c r="CO772" s="69"/>
      <c r="CP772" s="69"/>
      <c r="CQ772" s="69"/>
      <c r="CR772" s="69"/>
      <c r="CS772" s="69"/>
      <c r="CT772" s="69"/>
      <c r="CU772" s="69"/>
      <c r="CV772" s="69"/>
      <c r="CW772" s="69"/>
      <c r="CX772" s="69"/>
      <c r="CY772" s="69"/>
      <c r="CZ772" s="69"/>
      <c r="DA772" s="69"/>
      <c r="DB772" s="69"/>
      <c r="DC772" s="69"/>
      <c r="DD772" s="69"/>
      <c r="DE772" s="69"/>
      <c r="DF772" s="69"/>
      <c r="DG772" s="69"/>
      <c r="DH772" s="69"/>
      <c r="DI772" s="69"/>
      <c r="DJ772" s="69"/>
      <c r="DK772" s="69"/>
      <c r="DL772" s="69"/>
      <c r="DM772" s="69"/>
      <c r="DN772" s="69"/>
      <c r="DO772" s="69"/>
      <c r="DP772" s="69"/>
    </row>
    <row r="773" spans="1:120" x14ac:dyDescent="0.2">
      <c r="A773" s="66"/>
      <c r="B773" s="31"/>
      <c r="C773" s="31"/>
      <c r="D773" s="31"/>
      <c r="E773" s="31"/>
      <c r="F773" s="31"/>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c r="AW773" s="69"/>
      <c r="AX773" s="69"/>
      <c r="AY773" s="69"/>
      <c r="AZ773" s="69"/>
      <c r="BA773" s="69"/>
      <c r="BB773" s="69"/>
      <c r="BC773" s="69"/>
      <c r="BD773" s="69"/>
      <c r="BE773" s="69"/>
      <c r="BF773" s="69"/>
      <c r="BG773" s="69"/>
      <c r="BH773" s="69"/>
      <c r="BI773" s="69"/>
      <c r="BJ773" s="69"/>
      <c r="BK773" s="69"/>
      <c r="BL773" s="69"/>
      <c r="BM773" s="69"/>
      <c r="BN773" s="69"/>
      <c r="BO773" s="69"/>
      <c r="BP773" s="69"/>
      <c r="BQ773" s="69"/>
      <c r="BR773" s="69"/>
      <c r="BS773" s="69"/>
      <c r="BT773" s="69"/>
      <c r="BU773" s="69"/>
      <c r="BV773" s="69"/>
      <c r="BW773" s="69"/>
      <c r="BX773" s="69"/>
      <c r="BY773" s="69"/>
      <c r="BZ773" s="69"/>
      <c r="CA773" s="69"/>
      <c r="CB773" s="69"/>
      <c r="CC773" s="69"/>
      <c r="CD773" s="69"/>
      <c r="CE773" s="69"/>
      <c r="CF773" s="69"/>
      <c r="CG773" s="69"/>
      <c r="CH773" s="69"/>
      <c r="CI773" s="69"/>
      <c r="CJ773" s="69"/>
      <c r="CK773" s="69"/>
      <c r="CL773" s="69"/>
      <c r="CM773" s="69"/>
      <c r="CN773" s="69"/>
      <c r="CO773" s="69"/>
      <c r="CP773" s="69"/>
      <c r="CQ773" s="69"/>
      <c r="CR773" s="69"/>
      <c r="CS773" s="69"/>
      <c r="CT773" s="69"/>
      <c r="CU773" s="69"/>
      <c r="CV773" s="69"/>
      <c r="CW773" s="69"/>
      <c r="CX773" s="69"/>
      <c r="CY773" s="69"/>
      <c r="CZ773" s="69"/>
      <c r="DA773" s="69"/>
      <c r="DB773" s="69"/>
      <c r="DC773" s="69"/>
      <c r="DD773" s="69"/>
      <c r="DE773" s="69"/>
      <c r="DF773" s="69"/>
      <c r="DG773" s="69"/>
      <c r="DH773" s="69"/>
      <c r="DI773" s="69"/>
      <c r="DJ773" s="69"/>
      <c r="DK773" s="69"/>
      <c r="DL773" s="69"/>
      <c r="DM773" s="69"/>
      <c r="DN773" s="69"/>
      <c r="DO773" s="69"/>
      <c r="DP773" s="69"/>
    </row>
    <row r="774" spans="1:120" x14ac:dyDescent="0.2">
      <c r="A774" s="66"/>
      <c r="B774" s="31"/>
      <c r="C774" s="31"/>
      <c r="D774" s="31"/>
      <c r="E774" s="31"/>
      <c r="F774" s="31"/>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c r="AW774" s="69"/>
      <c r="AX774" s="69"/>
      <c r="AY774" s="69"/>
      <c r="AZ774" s="69"/>
      <c r="BA774" s="69"/>
      <c r="BB774" s="69"/>
      <c r="BC774" s="69"/>
      <c r="BD774" s="69"/>
      <c r="BE774" s="69"/>
      <c r="BF774" s="69"/>
      <c r="BG774" s="69"/>
      <c r="BH774" s="69"/>
      <c r="BI774" s="69"/>
      <c r="BJ774" s="69"/>
      <c r="BK774" s="69"/>
      <c r="BL774" s="69"/>
      <c r="BM774" s="69"/>
      <c r="BN774" s="69"/>
      <c r="BO774" s="69"/>
      <c r="BP774" s="69"/>
      <c r="BQ774" s="69"/>
      <c r="BR774" s="69"/>
      <c r="BS774" s="69"/>
      <c r="BT774" s="69"/>
      <c r="BU774" s="69"/>
      <c r="BV774" s="69"/>
      <c r="BW774" s="69"/>
      <c r="BX774" s="69"/>
      <c r="BY774" s="69"/>
      <c r="BZ774" s="69"/>
      <c r="CA774" s="69"/>
      <c r="CB774" s="69"/>
      <c r="CC774" s="69"/>
      <c r="CD774" s="69"/>
      <c r="CE774" s="69"/>
      <c r="CF774" s="69"/>
      <c r="CG774" s="69"/>
      <c r="CH774" s="69"/>
      <c r="CI774" s="69"/>
      <c r="CJ774" s="69"/>
      <c r="CK774" s="69"/>
      <c r="CL774" s="69"/>
      <c r="CM774" s="69"/>
      <c r="CN774" s="69"/>
      <c r="CO774" s="69"/>
      <c r="CP774" s="69"/>
      <c r="CQ774" s="69"/>
      <c r="CR774" s="69"/>
      <c r="CS774" s="69"/>
      <c r="CT774" s="69"/>
      <c r="CU774" s="69"/>
      <c r="CV774" s="69"/>
      <c r="CW774" s="69"/>
      <c r="CX774" s="69"/>
      <c r="CY774" s="69"/>
      <c r="CZ774" s="69"/>
      <c r="DA774" s="69"/>
      <c r="DB774" s="69"/>
      <c r="DC774" s="69"/>
      <c r="DD774" s="69"/>
      <c r="DE774" s="69"/>
      <c r="DF774" s="69"/>
      <c r="DG774" s="69"/>
      <c r="DH774" s="69"/>
      <c r="DI774" s="69"/>
      <c r="DJ774" s="69"/>
      <c r="DK774" s="69"/>
      <c r="DL774" s="69"/>
      <c r="DM774" s="69"/>
      <c r="DN774" s="69"/>
      <c r="DO774" s="69"/>
      <c r="DP774" s="69"/>
    </row>
    <row r="775" spans="1:120" x14ac:dyDescent="0.2">
      <c r="A775" s="66"/>
      <c r="B775" s="31"/>
      <c r="C775" s="31"/>
      <c r="D775" s="31"/>
      <c r="E775" s="31"/>
      <c r="F775" s="31"/>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c r="BT775" s="69"/>
      <c r="BU775" s="69"/>
      <c r="BV775" s="69"/>
      <c r="BW775" s="69"/>
      <c r="BX775" s="69"/>
      <c r="BY775" s="69"/>
      <c r="BZ775" s="69"/>
      <c r="CA775" s="69"/>
      <c r="CB775" s="69"/>
      <c r="CC775" s="69"/>
      <c r="CD775" s="69"/>
      <c r="CE775" s="69"/>
      <c r="CF775" s="69"/>
      <c r="CG775" s="69"/>
      <c r="CH775" s="69"/>
      <c r="CI775" s="69"/>
      <c r="CJ775" s="69"/>
      <c r="CK775" s="69"/>
      <c r="CL775" s="69"/>
      <c r="CM775" s="69"/>
      <c r="CN775" s="69"/>
      <c r="CO775" s="69"/>
      <c r="CP775" s="69"/>
      <c r="CQ775" s="69"/>
      <c r="CR775" s="69"/>
      <c r="CS775" s="69"/>
      <c r="CT775" s="69"/>
      <c r="CU775" s="69"/>
      <c r="CV775" s="69"/>
      <c r="CW775" s="69"/>
      <c r="CX775" s="69"/>
      <c r="CY775" s="69"/>
      <c r="CZ775" s="69"/>
      <c r="DA775" s="69"/>
      <c r="DB775" s="69"/>
      <c r="DC775" s="69"/>
      <c r="DD775" s="69"/>
      <c r="DE775" s="69"/>
      <c r="DF775" s="69"/>
      <c r="DG775" s="69"/>
      <c r="DH775" s="69"/>
      <c r="DI775" s="69"/>
      <c r="DJ775" s="69"/>
      <c r="DK775" s="69"/>
      <c r="DL775" s="69"/>
      <c r="DM775" s="69"/>
      <c r="DN775" s="69"/>
      <c r="DO775" s="69"/>
      <c r="DP775" s="69"/>
    </row>
    <row r="776" spans="1:120" x14ac:dyDescent="0.2">
      <c r="A776" s="66"/>
      <c r="B776" s="31"/>
      <c r="C776" s="31"/>
      <c r="D776" s="31"/>
      <c r="E776" s="31"/>
      <c r="F776" s="31"/>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c r="BT776" s="69"/>
      <c r="BU776" s="69"/>
      <c r="BV776" s="69"/>
      <c r="BW776" s="69"/>
      <c r="BX776" s="69"/>
      <c r="BY776" s="69"/>
      <c r="BZ776" s="69"/>
      <c r="CA776" s="69"/>
      <c r="CB776" s="69"/>
      <c r="CC776" s="69"/>
      <c r="CD776" s="69"/>
      <c r="CE776" s="69"/>
      <c r="CF776" s="69"/>
      <c r="CG776" s="69"/>
      <c r="CH776" s="69"/>
      <c r="CI776" s="69"/>
      <c r="CJ776" s="69"/>
      <c r="CK776" s="69"/>
      <c r="CL776" s="69"/>
      <c r="CM776" s="69"/>
      <c r="CN776" s="69"/>
      <c r="CO776" s="69"/>
      <c r="CP776" s="69"/>
      <c r="CQ776" s="69"/>
      <c r="CR776" s="69"/>
      <c r="CS776" s="69"/>
      <c r="CT776" s="69"/>
      <c r="CU776" s="69"/>
      <c r="CV776" s="69"/>
      <c r="CW776" s="69"/>
      <c r="CX776" s="69"/>
      <c r="CY776" s="69"/>
      <c r="CZ776" s="69"/>
      <c r="DA776" s="69"/>
      <c r="DB776" s="69"/>
      <c r="DC776" s="69"/>
      <c r="DD776" s="69"/>
      <c r="DE776" s="69"/>
      <c r="DF776" s="69"/>
      <c r="DG776" s="69"/>
      <c r="DH776" s="69"/>
      <c r="DI776" s="69"/>
      <c r="DJ776" s="69"/>
      <c r="DK776" s="69"/>
      <c r="DL776" s="69"/>
      <c r="DM776" s="69"/>
      <c r="DN776" s="69"/>
      <c r="DO776" s="69"/>
      <c r="DP776" s="69"/>
    </row>
    <row r="777" spans="1:120" x14ac:dyDescent="0.2">
      <c r="A777" s="66"/>
      <c r="B777" s="31"/>
      <c r="C777" s="31"/>
      <c r="D777" s="31"/>
      <c r="E777" s="31"/>
      <c r="F777" s="31"/>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c r="AW777" s="69"/>
      <c r="AX777" s="69"/>
      <c r="AY777" s="69"/>
      <c r="AZ777" s="69"/>
      <c r="BA777" s="69"/>
      <c r="BB777" s="69"/>
      <c r="BC777" s="69"/>
      <c r="BD777" s="69"/>
      <c r="BE777" s="69"/>
      <c r="BF777" s="69"/>
      <c r="BG777" s="69"/>
      <c r="BH777" s="69"/>
      <c r="BI777" s="69"/>
      <c r="BJ777" s="69"/>
      <c r="BK777" s="69"/>
      <c r="BL777" s="69"/>
      <c r="BM777" s="69"/>
      <c r="BN777" s="69"/>
      <c r="BO777" s="69"/>
      <c r="BP777" s="69"/>
      <c r="BQ777" s="69"/>
      <c r="BR777" s="69"/>
      <c r="BS777" s="69"/>
      <c r="BT777" s="69"/>
      <c r="BU777" s="69"/>
      <c r="BV777" s="69"/>
      <c r="BW777" s="69"/>
      <c r="BX777" s="69"/>
      <c r="BY777" s="69"/>
      <c r="BZ777" s="69"/>
      <c r="CA777" s="69"/>
      <c r="CB777" s="69"/>
      <c r="CC777" s="69"/>
      <c r="CD777" s="69"/>
      <c r="CE777" s="69"/>
      <c r="CF777" s="69"/>
      <c r="CG777" s="69"/>
      <c r="CH777" s="69"/>
      <c r="CI777" s="69"/>
      <c r="CJ777" s="69"/>
      <c r="CK777" s="69"/>
      <c r="CL777" s="69"/>
      <c r="CM777" s="69"/>
      <c r="CN777" s="69"/>
      <c r="CO777" s="69"/>
      <c r="CP777" s="69"/>
      <c r="CQ777" s="69"/>
      <c r="CR777" s="69"/>
      <c r="CS777" s="69"/>
      <c r="CT777" s="69"/>
      <c r="CU777" s="69"/>
      <c r="CV777" s="69"/>
      <c r="CW777" s="69"/>
      <c r="CX777" s="69"/>
      <c r="CY777" s="69"/>
      <c r="CZ777" s="69"/>
      <c r="DA777" s="69"/>
      <c r="DB777" s="69"/>
      <c r="DC777" s="69"/>
      <c r="DD777" s="69"/>
      <c r="DE777" s="69"/>
      <c r="DF777" s="69"/>
      <c r="DG777" s="69"/>
      <c r="DH777" s="69"/>
      <c r="DI777" s="69"/>
      <c r="DJ777" s="69"/>
      <c r="DK777" s="69"/>
      <c r="DL777" s="69"/>
      <c r="DM777" s="69"/>
      <c r="DN777" s="69"/>
      <c r="DO777" s="69"/>
      <c r="DP777" s="69"/>
    </row>
    <row r="778" spans="1:120" x14ac:dyDescent="0.2">
      <c r="A778" s="66"/>
      <c r="B778" s="31"/>
      <c r="C778" s="31"/>
      <c r="D778" s="31"/>
      <c r="E778" s="31"/>
      <c r="F778" s="31"/>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c r="AW778" s="69"/>
      <c r="AX778" s="69"/>
      <c r="AY778" s="69"/>
      <c r="AZ778" s="69"/>
      <c r="BA778" s="69"/>
      <c r="BB778" s="69"/>
      <c r="BC778" s="69"/>
      <c r="BD778" s="69"/>
      <c r="BE778" s="69"/>
      <c r="BF778" s="69"/>
      <c r="BG778" s="69"/>
      <c r="BH778" s="69"/>
      <c r="BI778" s="69"/>
      <c r="BJ778" s="69"/>
      <c r="BK778" s="69"/>
      <c r="BL778" s="69"/>
      <c r="BM778" s="69"/>
      <c r="BN778" s="69"/>
      <c r="BO778" s="69"/>
      <c r="BP778" s="69"/>
      <c r="BQ778" s="69"/>
      <c r="BR778" s="69"/>
      <c r="BS778" s="69"/>
      <c r="BT778" s="69"/>
      <c r="BU778" s="69"/>
      <c r="BV778" s="69"/>
      <c r="BW778" s="69"/>
      <c r="BX778" s="69"/>
      <c r="BY778" s="69"/>
      <c r="BZ778" s="69"/>
      <c r="CA778" s="69"/>
      <c r="CB778" s="69"/>
      <c r="CC778" s="69"/>
      <c r="CD778" s="69"/>
      <c r="CE778" s="69"/>
      <c r="CF778" s="69"/>
      <c r="CG778" s="69"/>
      <c r="CH778" s="69"/>
      <c r="CI778" s="69"/>
      <c r="CJ778" s="69"/>
      <c r="CK778" s="69"/>
      <c r="CL778" s="69"/>
      <c r="CM778" s="69"/>
      <c r="CN778" s="69"/>
      <c r="CO778" s="69"/>
      <c r="CP778" s="69"/>
      <c r="CQ778" s="69"/>
      <c r="CR778" s="69"/>
      <c r="CS778" s="69"/>
      <c r="CT778" s="69"/>
      <c r="CU778" s="69"/>
      <c r="CV778" s="69"/>
      <c r="CW778" s="69"/>
      <c r="CX778" s="69"/>
      <c r="CY778" s="69"/>
      <c r="CZ778" s="69"/>
      <c r="DA778" s="69"/>
      <c r="DB778" s="69"/>
      <c r="DC778" s="69"/>
      <c r="DD778" s="69"/>
      <c r="DE778" s="69"/>
      <c r="DF778" s="69"/>
      <c r="DG778" s="69"/>
      <c r="DH778" s="69"/>
      <c r="DI778" s="69"/>
      <c r="DJ778" s="69"/>
      <c r="DK778" s="69"/>
      <c r="DL778" s="69"/>
      <c r="DM778" s="69"/>
      <c r="DN778" s="69"/>
      <c r="DO778" s="69"/>
      <c r="DP778" s="69"/>
    </row>
    <row r="779" spans="1:120" x14ac:dyDescent="0.2">
      <c r="A779" s="66"/>
      <c r="B779" s="31"/>
      <c r="C779" s="31"/>
      <c r="D779" s="31"/>
      <c r="E779" s="31"/>
      <c r="F779" s="31"/>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c r="BT779" s="69"/>
      <c r="BU779" s="69"/>
      <c r="BV779" s="69"/>
      <c r="BW779" s="69"/>
      <c r="BX779" s="69"/>
      <c r="BY779" s="69"/>
      <c r="BZ779" s="69"/>
      <c r="CA779" s="69"/>
      <c r="CB779" s="69"/>
      <c r="CC779" s="69"/>
      <c r="CD779" s="69"/>
      <c r="CE779" s="69"/>
      <c r="CF779" s="69"/>
      <c r="CG779" s="69"/>
      <c r="CH779" s="69"/>
      <c r="CI779" s="69"/>
      <c r="CJ779" s="69"/>
      <c r="CK779" s="69"/>
      <c r="CL779" s="69"/>
      <c r="CM779" s="69"/>
      <c r="CN779" s="69"/>
      <c r="CO779" s="69"/>
      <c r="CP779" s="69"/>
      <c r="CQ779" s="69"/>
      <c r="CR779" s="69"/>
      <c r="CS779" s="69"/>
      <c r="CT779" s="69"/>
      <c r="CU779" s="69"/>
      <c r="CV779" s="69"/>
      <c r="CW779" s="69"/>
      <c r="CX779" s="69"/>
      <c r="CY779" s="69"/>
      <c r="CZ779" s="69"/>
      <c r="DA779" s="69"/>
      <c r="DB779" s="69"/>
      <c r="DC779" s="69"/>
      <c r="DD779" s="69"/>
      <c r="DE779" s="69"/>
      <c r="DF779" s="69"/>
      <c r="DG779" s="69"/>
      <c r="DH779" s="69"/>
      <c r="DI779" s="69"/>
      <c r="DJ779" s="69"/>
      <c r="DK779" s="69"/>
      <c r="DL779" s="69"/>
      <c r="DM779" s="69"/>
      <c r="DN779" s="69"/>
      <c r="DO779" s="69"/>
      <c r="DP779" s="69"/>
    </row>
    <row r="780" spans="1:120" x14ac:dyDescent="0.2">
      <c r="A780" s="66"/>
      <c r="B780" s="31"/>
      <c r="C780" s="31"/>
      <c r="D780" s="31"/>
      <c r="E780" s="31"/>
      <c r="F780" s="31"/>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c r="BT780" s="69"/>
      <c r="BU780" s="69"/>
      <c r="BV780" s="69"/>
      <c r="BW780" s="69"/>
      <c r="BX780" s="69"/>
      <c r="BY780" s="69"/>
      <c r="BZ780" s="69"/>
      <c r="CA780" s="69"/>
      <c r="CB780" s="69"/>
      <c r="CC780" s="69"/>
      <c r="CD780" s="69"/>
      <c r="CE780" s="69"/>
      <c r="CF780" s="69"/>
      <c r="CG780" s="69"/>
      <c r="CH780" s="69"/>
      <c r="CI780" s="69"/>
      <c r="CJ780" s="69"/>
      <c r="CK780" s="69"/>
      <c r="CL780" s="69"/>
      <c r="CM780" s="69"/>
      <c r="CN780" s="69"/>
      <c r="CO780" s="69"/>
      <c r="CP780" s="69"/>
      <c r="CQ780" s="69"/>
      <c r="CR780" s="69"/>
      <c r="CS780" s="69"/>
      <c r="CT780" s="69"/>
      <c r="CU780" s="69"/>
      <c r="CV780" s="69"/>
      <c r="CW780" s="69"/>
      <c r="CX780" s="69"/>
      <c r="CY780" s="69"/>
      <c r="CZ780" s="69"/>
      <c r="DA780" s="69"/>
      <c r="DB780" s="69"/>
      <c r="DC780" s="69"/>
      <c r="DD780" s="69"/>
      <c r="DE780" s="69"/>
      <c r="DF780" s="69"/>
      <c r="DG780" s="69"/>
      <c r="DH780" s="69"/>
      <c r="DI780" s="69"/>
      <c r="DJ780" s="69"/>
      <c r="DK780" s="69"/>
      <c r="DL780" s="69"/>
      <c r="DM780" s="69"/>
      <c r="DN780" s="69"/>
      <c r="DO780" s="69"/>
      <c r="DP780" s="69"/>
    </row>
    <row r="781" spans="1:120" x14ac:dyDescent="0.2">
      <c r="A781" s="66"/>
      <c r="B781" s="31"/>
      <c r="C781" s="31"/>
      <c r="D781" s="31"/>
      <c r="E781" s="31"/>
      <c r="F781" s="31"/>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c r="AW781" s="69"/>
      <c r="AX781" s="69"/>
      <c r="AY781" s="69"/>
      <c r="AZ781" s="69"/>
      <c r="BA781" s="69"/>
      <c r="BB781" s="69"/>
      <c r="BC781" s="69"/>
      <c r="BD781" s="69"/>
      <c r="BE781" s="69"/>
      <c r="BF781" s="69"/>
      <c r="BG781" s="69"/>
      <c r="BH781" s="69"/>
      <c r="BI781" s="69"/>
      <c r="BJ781" s="69"/>
      <c r="BK781" s="69"/>
      <c r="BL781" s="69"/>
      <c r="BM781" s="69"/>
      <c r="BN781" s="69"/>
      <c r="BO781" s="69"/>
      <c r="BP781" s="69"/>
      <c r="BQ781" s="69"/>
      <c r="BR781" s="69"/>
      <c r="BS781" s="69"/>
      <c r="BT781" s="69"/>
      <c r="BU781" s="69"/>
      <c r="BV781" s="69"/>
      <c r="BW781" s="69"/>
      <c r="BX781" s="69"/>
      <c r="BY781" s="69"/>
      <c r="BZ781" s="69"/>
      <c r="CA781" s="69"/>
      <c r="CB781" s="69"/>
      <c r="CC781" s="69"/>
      <c r="CD781" s="69"/>
      <c r="CE781" s="69"/>
      <c r="CF781" s="69"/>
      <c r="CG781" s="69"/>
      <c r="CH781" s="69"/>
      <c r="CI781" s="69"/>
      <c r="CJ781" s="69"/>
      <c r="CK781" s="69"/>
      <c r="CL781" s="69"/>
      <c r="CM781" s="69"/>
      <c r="CN781" s="69"/>
      <c r="CO781" s="69"/>
      <c r="CP781" s="69"/>
      <c r="CQ781" s="69"/>
      <c r="CR781" s="69"/>
      <c r="CS781" s="69"/>
      <c r="CT781" s="69"/>
      <c r="CU781" s="69"/>
      <c r="CV781" s="69"/>
      <c r="CW781" s="69"/>
      <c r="CX781" s="69"/>
      <c r="CY781" s="69"/>
      <c r="CZ781" s="69"/>
      <c r="DA781" s="69"/>
      <c r="DB781" s="69"/>
      <c r="DC781" s="69"/>
      <c r="DD781" s="69"/>
      <c r="DE781" s="69"/>
      <c r="DF781" s="69"/>
      <c r="DG781" s="69"/>
      <c r="DH781" s="69"/>
      <c r="DI781" s="69"/>
      <c r="DJ781" s="69"/>
      <c r="DK781" s="69"/>
      <c r="DL781" s="69"/>
      <c r="DM781" s="69"/>
      <c r="DN781" s="69"/>
      <c r="DO781" s="69"/>
      <c r="DP781" s="69"/>
    </row>
    <row r="782" spans="1:120" x14ac:dyDescent="0.2">
      <c r="A782" s="66"/>
      <c r="B782" s="31"/>
      <c r="C782" s="31"/>
      <c r="D782" s="31"/>
      <c r="E782" s="31"/>
      <c r="F782" s="31"/>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c r="AW782" s="69"/>
      <c r="AX782" s="69"/>
      <c r="AY782" s="69"/>
      <c r="AZ782" s="69"/>
      <c r="BA782" s="69"/>
      <c r="BB782" s="69"/>
      <c r="BC782" s="69"/>
      <c r="BD782" s="69"/>
      <c r="BE782" s="69"/>
      <c r="BF782" s="69"/>
      <c r="BG782" s="69"/>
      <c r="BH782" s="69"/>
      <c r="BI782" s="69"/>
      <c r="BJ782" s="69"/>
      <c r="BK782" s="69"/>
      <c r="BL782" s="69"/>
      <c r="BM782" s="69"/>
      <c r="BN782" s="69"/>
      <c r="BO782" s="69"/>
      <c r="BP782" s="69"/>
      <c r="BQ782" s="69"/>
      <c r="BR782" s="69"/>
      <c r="BS782" s="69"/>
      <c r="BT782" s="69"/>
      <c r="BU782" s="69"/>
      <c r="BV782" s="69"/>
      <c r="BW782" s="69"/>
      <c r="BX782" s="69"/>
      <c r="BY782" s="69"/>
      <c r="BZ782" s="69"/>
      <c r="CA782" s="69"/>
      <c r="CB782" s="69"/>
      <c r="CC782" s="69"/>
      <c r="CD782" s="69"/>
      <c r="CE782" s="69"/>
      <c r="CF782" s="69"/>
      <c r="CG782" s="69"/>
      <c r="CH782" s="69"/>
      <c r="CI782" s="69"/>
      <c r="CJ782" s="69"/>
      <c r="CK782" s="69"/>
      <c r="CL782" s="69"/>
      <c r="CM782" s="69"/>
      <c r="CN782" s="69"/>
      <c r="CO782" s="69"/>
      <c r="CP782" s="69"/>
      <c r="CQ782" s="69"/>
      <c r="CR782" s="69"/>
      <c r="CS782" s="69"/>
      <c r="CT782" s="69"/>
      <c r="CU782" s="69"/>
      <c r="CV782" s="69"/>
      <c r="CW782" s="69"/>
      <c r="CX782" s="69"/>
      <c r="CY782" s="69"/>
      <c r="CZ782" s="69"/>
      <c r="DA782" s="69"/>
      <c r="DB782" s="69"/>
      <c r="DC782" s="69"/>
      <c r="DD782" s="69"/>
      <c r="DE782" s="69"/>
      <c r="DF782" s="69"/>
      <c r="DG782" s="69"/>
      <c r="DH782" s="69"/>
      <c r="DI782" s="69"/>
      <c r="DJ782" s="69"/>
      <c r="DK782" s="69"/>
      <c r="DL782" s="69"/>
      <c r="DM782" s="69"/>
      <c r="DN782" s="69"/>
      <c r="DO782" s="69"/>
      <c r="DP782" s="69"/>
    </row>
    <row r="783" spans="1:120" x14ac:dyDescent="0.2">
      <c r="A783" s="66"/>
      <c r="B783" s="31"/>
      <c r="C783" s="31"/>
      <c r="D783" s="31"/>
      <c r="E783" s="31"/>
      <c r="F783" s="31"/>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c r="BT783" s="69"/>
      <c r="BU783" s="69"/>
      <c r="BV783" s="69"/>
      <c r="BW783" s="69"/>
      <c r="BX783" s="69"/>
      <c r="BY783" s="69"/>
      <c r="BZ783" s="69"/>
      <c r="CA783" s="69"/>
      <c r="CB783" s="69"/>
      <c r="CC783" s="69"/>
      <c r="CD783" s="69"/>
      <c r="CE783" s="69"/>
      <c r="CF783" s="69"/>
      <c r="CG783" s="69"/>
      <c r="CH783" s="69"/>
      <c r="CI783" s="69"/>
      <c r="CJ783" s="69"/>
      <c r="CK783" s="69"/>
      <c r="CL783" s="69"/>
      <c r="CM783" s="69"/>
      <c r="CN783" s="69"/>
      <c r="CO783" s="69"/>
      <c r="CP783" s="69"/>
      <c r="CQ783" s="69"/>
      <c r="CR783" s="69"/>
      <c r="CS783" s="69"/>
      <c r="CT783" s="69"/>
      <c r="CU783" s="69"/>
      <c r="CV783" s="69"/>
      <c r="CW783" s="69"/>
      <c r="CX783" s="69"/>
      <c r="CY783" s="69"/>
      <c r="CZ783" s="69"/>
      <c r="DA783" s="69"/>
      <c r="DB783" s="69"/>
      <c r="DC783" s="69"/>
      <c r="DD783" s="69"/>
      <c r="DE783" s="69"/>
      <c r="DF783" s="69"/>
      <c r="DG783" s="69"/>
      <c r="DH783" s="69"/>
      <c r="DI783" s="69"/>
      <c r="DJ783" s="69"/>
      <c r="DK783" s="69"/>
      <c r="DL783" s="69"/>
      <c r="DM783" s="69"/>
      <c r="DN783" s="69"/>
      <c r="DO783" s="69"/>
      <c r="DP783" s="69"/>
    </row>
    <row r="784" spans="1:120" x14ac:dyDescent="0.2">
      <c r="A784" s="66"/>
      <c r="B784" s="31"/>
      <c r="C784" s="31"/>
      <c r="D784" s="31"/>
      <c r="E784" s="31"/>
      <c r="F784" s="31"/>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c r="BT784" s="69"/>
      <c r="BU784" s="69"/>
      <c r="BV784" s="69"/>
      <c r="BW784" s="69"/>
      <c r="BX784" s="69"/>
      <c r="BY784" s="69"/>
      <c r="BZ784" s="69"/>
      <c r="CA784" s="69"/>
      <c r="CB784" s="69"/>
      <c r="CC784" s="69"/>
      <c r="CD784" s="69"/>
      <c r="CE784" s="69"/>
      <c r="CF784" s="69"/>
      <c r="CG784" s="69"/>
      <c r="CH784" s="69"/>
      <c r="CI784" s="69"/>
      <c r="CJ784" s="69"/>
      <c r="CK784" s="69"/>
      <c r="CL784" s="69"/>
      <c r="CM784" s="69"/>
      <c r="CN784" s="69"/>
      <c r="CO784" s="69"/>
      <c r="CP784" s="69"/>
      <c r="CQ784" s="69"/>
      <c r="CR784" s="69"/>
      <c r="CS784" s="69"/>
      <c r="CT784" s="69"/>
      <c r="CU784" s="69"/>
      <c r="CV784" s="69"/>
      <c r="CW784" s="69"/>
      <c r="CX784" s="69"/>
      <c r="CY784" s="69"/>
      <c r="CZ784" s="69"/>
      <c r="DA784" s="69"/>
      <c r="DB784" s="69"/>
      <c r="DC784" s="69"/>
      <c r="DD784" s="69"/>
      <c r="DE784" s="69"/>
      <c r="DF784" s="69"/>
      <c r="DG784" s="69"/>
      <c r="DH784" s="69"/>
      <c r="DI784" s="69"/>
      <c r="DJ784" s="69"/>
      <c r="DK784" s="69"/>
      <c r="DL784" s="69"/>
      <c r="DM784" s="69"/>
      <c r="DN784" s="69"/>
      <c r="DO784" s="69"/>
      <c r="DP784" s="69"/>
    </row>
    <row r="785" spans="1:120" x14ac:dyDescent="0.2">
      <c r="A785" s="66"/>
      <c r="B785" s="31"/>
      <c r="C785" s="31"/>
      <c r="D785" s="31"/>
      <c r="E785" s="31"/>
      <c r="F785" s="31"/>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c r="AW785" s="69"/>
      <c r="AX785" s="69"/>
      <c r="AY785" s="69"/>
      <c r="AZ785" s="69"/>
      <c r="BA785" s="69"/>
      <c r="BB785" s="69"/>
      <c r="BC785" s="69"/>
      <c r="BD785" s="69"/>
      <c r="BE785" s="69"/>
      <c r="BF785" s="69"/>
      <c r="BG785" s="69"/>
      <c r="BH785" s="69"/>
      <c r="BI785" s="69"/>
      <c r="BJ785" s="69"/>
      <c r="BK785" s="69"/>
      <c r="BL785" s="69"/>
      <c r="BM785" s="69"/>
      <c r="BN785" s="69"/>
      <c r="BO785" s="69"/>
      <c r="BP785" s="69"/>
      <c r="BQ785" s="69"/>
      <c r="BR785" s="69"/>
      <c r="BS785" s="69"/>
      <c r="BT785" s="69"/>
      <c r="BU785" s="69"/>
      <c r="BV785" s="69"/>
      <c r="BW785" s="69"/>
      <c r="BX785" s="69"/>
      <c r="BY785" s="69"/>
      <c r="BZ785" s="69"/>
      <c r="CA785" s="69"/>
      <c r="CB785" s="69"/>
      <c r="CC785" s="69"/>
      <c r="CD785" s="69"/>
      <c r="CE785" s="69"/>
      <c r="CF785" s="69"/>
      <c r="CG785" s="69"/>
      <c r="CH785" s="69"/>
      <c r="CI785" s="69"/>
      <c r="CJ785" s="69"/>
      <c r="CK785" s="69"/>
      <c r="CL785" s="69"/>
      <c r="CM785" s="69"/>
      <c r="CN785" s="69"/>
      <c r="CO785" s="69"/>
      <c r="CP785" s="69"/>
      <c r="CQ785" s="69"/>
      <c r="CR785" s="69"/>
      <c r="CS785" s="69"/>
      <c r="CT785" s="69"/>
      <c r="CU785" s="69"/>
      <c r="CV785" s="69"/>
      <c r="CW785" s="69"/>
      <c r="CX785" s="69"/>
      <c r="CY785" s="69"/>
      <c r="CZ785" s="69"/>
      <c r="DA785" s="69"/>
      <c r="DB785" s="69"/>
      <c r="DC785" s="69"/>
      <c r="DD785" s="69"/>
      <c r="DE785" s="69"/>
      <c r="DF785" s="69"/>
      <c r="DG785" s="69"/>
      <c r="DH785" s="69"/>
      <c r="DI785" s="69"/>
      <c r="DJ785" s="69"/>
      <c r="DK785" s="69"/>
      <c r="DL785" s="69"/>
      <c r="DM785" s="69"/>
      <c r="DN785" s="69"/>
      <c r="DO785" s="69"/>
      <c r="DP785" s="69"/>
    </row>
    <row r="786" spans="1:120" x14ac:dyDescent="0.2">
      <c r="A786" s="66"/>
      <c r="B786" s="31"/>
      <c r="C786" s="31"/>
      <c r="D786" s="31"/>
      <c r="E786" s="31"/>
      <c r="F786" s="31"/>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c r="AW786" s="69"/>
      <c r="AX786" s="69"/>
      <c r="AY786" s="69"/>
      <c r="AZ786" s="69"/>
      <c r="BA786" s="69"/>
      <c r="BB786" s="69"/>
      <c r="BC786" s="69"/>
      <c r="BD786" s="69"/>
      <c r="BE786" s="69"/>
      <c r="BF786" s="69"/>
      <c r="BG786" s="69"/>
      <c r="BH786" s="69"/>
      <c r="BI786" s="69"/>
      <c r="BJ786" s="69"/>
      <c r="BK786" s="69"/>
      <c r="BL786" s="69"/>
      <c r="BM786" s="69"/>
      <c r="BN786" s="69"/>
      <c r="BO786" s="69"/>
      <c r="BP786" s="69"/>
      <c r="BQ786" s="69"/>
      <c r="BR786" s="69"/>
      <c r="BS786" s="69"/>
      <c r="BT786" s="69"/>
      <c r="BU786" s="69"/>
      <c r="BV786" s="69"/>
      <c r="BW786" s="69"/>
      <c r="BX786" s="69"/>
      <c r="BY786" s="69"/>
      <c r="BZ786" s="69"/>
      <c r="CA786" s="69"/>
      <c r="CB786" s="69"/>
      <c r="CC786" s="69"/>
      <c r="CD786" s="69"/>
      <c r="CE786" s="69"/>
      <c r="CF786" s="69"/>
      <c r="CG786" s="69"/>
      <c r="CH786" s="69"/>
      <c r="CI786" s="69"/>
      <c r="CJ786" s="69"/>
      <c r="CK786" s="69"/>
      <c r="CL786" s="69"/>
      <c r="CM786" s="69"/>
      <c r="CN786" s="69"/>
      <c r="CO786" s="69"/>
      <c r="CP786" s="69"/>
      <c r="CQ786" s="69"/>
      <c r="CR786" s="69"/>
      <c r="CS786" s="69"/>
      <c r="CT786" s="69"/>
      <c r="CU786" s="69"/>
      <c r="CV786" s="69"/>
      <c r="CW786" s="69"/>
      <c r="CX786" s="69"/>
      <c r="CY786" s="69"/>
      <c r="CZ786" s="69"/>
      <c r="DA786" s="69"/>
      <c r="DB786" s="69"/>
      <c r="DC786" s="69"/>
      <c r="DD786" s="69"/>
      <c r="DE786" s="69"/>
      <c r="DF786" s="69"/>
      <c r="DG786" s="69"/>
      <c r="DH786" s="69"/>
      <c r="DI786" s="69"/>
      <c r="DJ786" s="69"/>
      <c r="DK786" s="69"/>
      <c r="DL786" s="69"/>
      <c r="DM786" s="69"/>
      <c r="DN786" s="69"/>
      <c r="DO786" s="69"/>
      <c r="DP786" s="69"/>
    </row>
    <row r="787" spans="1:120" x14ac:dyDescent="0.2">
      <c r="A787" s="66"/>
      <c r="B787" s="31"/>
      <c r="C787" s="31"/>
      <c r="D787" s="31"/>
      <c r="E787" s="31"/>
      <c r="F787" s="31"/>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c r="BT787" s="69"/>
      <c r="BU787" s="69"/>
      <c r="BV787" s="69"/>
      <c r="BW787" s="69"/>
      <c r="BX787" s="69"/>
      <c r="BY787" s="69"/>
      <c r="BZ787" s="69"/>
      <c r="CA787" s="69"/>
      <c r="CB787" s="69"/>
      <c r="CC787" s="69"/>
      <c r="CD787" s="69"/>
      <c r="CE787" s="69"/>
      <c r="CF787" s="69"/>
      <c r="CG787" s="69"/>
      <c r="CH787" s="69"/>
      <c r="CI787" s="69"/>
      <c r="CJ787" s="69"/>
      <c r="CK787" s="69"/>
      <c r="CL787" s="69"/>
      <c r="CM787" s="69"/>
      <c r="CN787" s="69"/>
      <c r="CO787" s="69"/>
      <c r="CP787" s="69"/>
      <c r="CQ787" s="69"/>
      <c r="CR787" s="69"/>
      <c r="CS787" s="69"/>
      <c r="CT787" s="69"/>
      <c r="CU787" s="69"/>
      <c r="CV787" s="69"/>
      <c r="CW787" s="69"/>
      <c r="CX787" s="69"/>
      <c r="CY787" s="69"/>
      <c r="CZ787" s="69"/>
      <c r="DA787" s="69"/>
      <c r="DB787" s="69"/>
      <c r="DC787" s="69"/>
      <c r="DD787" s="69"/>
      <c r="DE787" s="69"/>
      <c r="DF787" s="69"/>
      <c r="DG787" s="69"/>
      <c r="DH787" s="69"/>
      <c r="DI787" s="69"/>
      <c r="DJ787" s="69"/>
      <c r="DK787" s="69"/>
      <c r="DL787" s="69"/>
      <c r="DM787" s="69"/>
      <c r="DN787" s="69"/>
      <c r="DO787" s="69"/>
      <c r="DP787" s="69"/>
    </row>
    <row r="788" spans="1:120" x14ac:dyDescent="0.2">
      <c r="A788" s="66"/>
      <c r="B788" s="31"/>
      <c r="C788" s="31"/>
      <c r="D788" s="31"/>
      <c r="E788" s="31"/>
      <c r="F788" s="31"/>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c r="BT788" s="69"/>
      <c r="BU788" s="69"/>
      <c r="BV788" s="69"/>
      <c r="BW788" s="69"/>
      <c r="BX788" s="69"/>
      <c r="BY788" s="69"/>
      <c r="BZ788" s="69"/>
      <c r="CA788" s="69"/>
      <c r="CB788" s="69"/>
      <c r="CC788" s="69"/>
      <c r="CD788" s="69"/>
      <c r="CE788" s="69"/>
      <c r="CF788" s="69"/>
      <c r="CG788" s="69"/>
      <c r="CH788" s="69"/>
      <c r="CI788" s="69"/>
      <c r="CJ788" s="69"/>
      <c r="CK788" s="69"/>
      <c r="CL788" s="69"/>
      <c r="CM788" s="69"/>
      <c r="CN788" s="69"/>
      <c r="CO788" s="69"/>
      <c r="CP788" s="69"/>
      <c r="CQ788" s="69"/>
      <c r="CR788" s="69"/>
      <c r="CS788" s="69"/>
      <c r="CT788" s="69"/>
      <c r="CU788" s="69"/>
      <c r="CV788" s="69"/>
      <c r="CW788" s="69"/>
      <c r="CX788" s="69"/>
      <c r="CY788" s="69"/>
      <c r="CZ788" s="69"/>
      <c r="DA788" s="69"/>
      <c r="DB788" s="69"/>
      <c r="DC788" s="69"/>
      <c r="DD788" s="69"/>
      <c r="DE788" s="69"/>
      <c r="DF788" s="69"/>
      <c r="DG788" s="69"/>
      <c r="DH788" s="69"/>
      <c r="DI788" s="69"/>
      <c r="DJ788" s="69"/>
      <c r="DK788" s="69"/>
      <c r="DL788" s="69"/>
      <c r="DM788" s="69"/>
      <c r="DN788" s="69"/>
      <c r="DO788" s="69"/>
      <c r="DP788" s="69"/>
    </row>
    <row r="789" spans="1:120" x14ac:dyDescent="0.2">
      <c r="A789" s="66"/>
      <c r="B789" s="31"/>
      <c r="C789" s="31"/>
      <c r="D789" s="31"/>
      <c r="E789" s="31"/>
      <c r="F789" s="31"/>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c r="AW789" s="69"/>
      <c r="AX789" s="69"/>
      <c r="AY789" s="69"/>
      <c r="AZ789" s="69"/>
      <c r="BA789" s="69"/>
      <c r="BB789" s="69"/>
      <c r="BC789" s="69"/>
      <c r="BD789" s="69"/>
      <c r="BE789" s="69"/>
      <c r="BF789" s="69"/>
      <c r="BG789" s="69"/>
      <c r="BH789" s="69"/>
      <c r="BI789" s="69"/>
      <c r="BJ789" s="69"/>
      <c r="BK789" s="69"/>
      <c r="BL789" s="69"/>
      <c r="BM789" s="69"/>
      <c r="BN789" s="69"/>
      <c r="BO789" s="69"/>
      <c r="BP789" s="69"/>
      <c r="BQ789" s="69"/>
      <c r="BR789" s="69"/>
      <c r="BS789" s="69"/>
      <c r="BT789" s="69"/>
      <c r="BU789" s="69"/>
      <c r="BV789" s="69"/>
      <c r="BW789" s="69"/>
      <c r="BX789" s="69"/>
      <c r="BY789" s="69"/>
      <c r="BZ789" s="69"/>
      <c r="CA789" s="69"/>
      <c r="CB789" s="69"/>
      <c r="CC789" s="69"/>
      <c r="CD789" s="69"/>
      <c r="CE789" s="69"/>
      <c r="CF789" s="69"/>
      <c r="CG789" s="69"/>
      <c r="CH789" s="69"/>
      <c r="CI789" s="69"/>
      <c r="CJ789" s="69"/>
      <c r="CK789" s="69"/>
      <c r="CL789" s="69"/>
      <c r="CM789" s="69"/>
      <c r="CN789" s="69"/>
      <c r="CO789" s="69"/>
      <c r="CP789" s="69"/>
      <c r="CQ789" s="69"/>
      <c r="CR789" s="69"/>
      <c r="CS789" s="69"/>
      <c r="CT789" s="69"/>
      <c r="CU789" s="69"/>
      <c r="CV789" s="69"/>
      <c r="CW789" s="69"/>
      <c r="CX789" s="69"/>
      <c r="CY789" s="69"/>
      <c r="CZ789" s="69"/>
      <c r="DA789" s="69"/>
      <c r="DB789" s="69"/>
      <c r="DC789" s="69"/>
      <c r="DD789" s="69"/>
      <c r="DE789" s="69"/>
      <c r="DF789" s="69"/>
      <c r="DG789" s="69"/>
      <c r="DH789" s="69"/>
      <c r="DI789" s="69"/>
      <c r="DJ789" s="69"/>
      <c r="DK789" s="69"/>
      <c r="DL789" s="69"/>
      <c r="DM789" s="69"/>
      <c r="DN789" s="69"/>
      <c r="DO789" s="69"/>
      <c r="DP789" s="69"/>
    </row>
    <row r="790" spans="1:120" x14ac:dyDescent="0.2">
      <c r="A790" s="66"/>
      <c r="B790" s="31"/>
      <c r="C790" s="31"/>
      <c r="D790" s="31"/>
      <c r="E790" s="31"/>
      <c r="F790" s="31"/>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c r="AW790" s="69"/>
      <c r="AX790" s="69"/>
      <c r="AY790" s="69"/>
      <c r="AZ790" s="69"/>
      <c r="BA790" s="69"/>
      <c r="BB790" s="69"/>
      <c r="BC790" s="69"/>
      <c r="BD790" s="69"/>
      <c r="BE790" s="69"/>
      <c r="BF790" s="69"/>
      <c r="BG790" s="69"/>
      <c r="BH790" s="69"/>
      <c r="BI790" s="69"/>
      <c r="BJ790" s="69"/>
      <c r="BK790" s="69"/>
      <c r="BL790" s="69"/>
      <c r="BM790" s="69"/>
      <c r="BN790" s="69"/>
      <c r="BO790" s="69"/>
      <c r="BP790" s="69"/>
      <c r="BQ790" s="69"/>
      <c r="BR790" s="69"/>
      <c r="BS790" s="69"/>
      <c r="BT790" s="69"/>
      <c r="BU790" s="69"/>
      <c r="BV790" s="69"/>
      <c r="BW790" s="69"/>
      <c r="BX790" s="69"/>
      <c r="BY790" s="69"/>
      <c r="BZ790" s="69"/>
      <c r="CA790" s="69"/>
      <c r="CB790" s="69"/>
      <c r="CC790" s="69"/>
      <c r="CD790" s="69"/>
      <c r="CE790" s="69"/>
      <c r="CF790" s="69"/>
      <c r="CG790" s="69"/>
      <c r="CH790" s="69"/>
      <c r="CI790" s="69"/>
      <c r="CJ790" s="69"/>
      <c r="CK790" s="69"/>
      <c r="CL790" s="69"/>
      <c r="CM790" s="69"/>
      <c r="CN790" s="69"/>
      <c r="CO790" s="69"/>
      <c r="CP790" s="69"/>
      <c r="CQ790" s="69"/>
      <c r="CR790" s="69"/>
      <c r="CS790" s="69"/>
      <c r="CT790" s="69"/>
      <c r="CU790" s="69"/>
      <c r="CV790" s="69"/>
      <c r="CW790" s="69"/>
      <c r="CX790" s="69"/>
      <c r="CY790" s="69"/>
      <c r="CZ790" s="69"/>
      <c r="DA790" s="69"/>
      <c r="DB790" s="69"/>
      <c r="DC790" s="69"/>
      <c r="DD790" s="69"/>
      <c r="DE790" s="69"/>
      <c r="DF790" s="69"/>
      <c r="DG790" s="69"/>
      <c r="DH790" s="69"/>
      <c r="DI790" s="69"/>
      <c r="DJ790" s="69"/>
      <c r="DK790" s="69"/>
      <c r="DL790" s="69"/>
      <c r="DM790" s="69"/>
      <c r="DN790" s="69"/>
      <c r="DO790" s="69"/>
      <c r="DP790" s="69"/>
    </row>
    <row r="791" spans="1:120" x14ac:dyDescent="0.2">
      <c r="A791" s="66"/>
      <c r="B791" s="31"/>
      <c r="C791" s="31"/>
      <c r="D791" s="31"/>
      <c r="E791" s="31"/>
      <c r="F791" s="31"/>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c r="BT791" s="69"/>
      <c r="BU791" s="69"/>
      <c r="BV791" s="69"/>
      <c r="BW791" s="69"/>
      <c r="BX791" s="69"/>
      <c r="BY791" s="69"/>
      <c r="BZ791" s="69"/>
      <c r="CA791" s="69"/>
      <c r="CB791" s="69"/>
      <c r="CC791" s="69"/>
      <c r="CD791" s="69"/>
      <c r="CE791" s="69"/>
      <c r="CF791" s="69"/>
      <c r="CG791" s="69"/>
      <c r="CH791" s="69"/>
      <c r="CI791" s="69"/>
      <c r="CJ791" s="69"/>
      <c r="CK791" s="69"/>
      <c r="CL791" s="69"/>
      <c r="CM791" s="69"/>
      <c r="CN791" s="69"/>
      <c r="CO791" s="69"/>
      <c r="CP791" s="69"/>
      <c r="CQ791" s="69"/>
      <c r="CR791" s="69"/>
      <c r="CS791" s="69"/>
      <c r="CT791" s="69"/>
      <c r="CU791" s="69"/>
      <c r="CV791" s="69"/>
      <c r="CW791" s="69"/>
      <c r="CX791" s="69"/>
      <c r="CY791" s="69"/>
      <c r="CZ791" s="69"/>
      <c r="DA791" s="69"/>
      <c r="DB791" s="69"/>
      <c r="DC791" s="69"/>
      <c r="DD791" s="69"/>
      <c r="DE791" s="69"/>
      <c r="DF791" s="69"/>
      <c r="DG791" s="69"/>
      <c r="DH791" s="69"/>
      <c r="DI791" s="69"/>
      <c r="DJ791" s="69"/>
      <c r="DK791" s="69"/>
      <c r="DL791" s="69"/>
      <c r="DM791" s="69"/>
      <c r="DN791" s="69"/>
      <c r="DO791" s="69"/>
      <c r="DP791" s="69"/>
    </row>
    <row r="792" spans="1:120" x14ac:dyDescent="0.2">
      <c r="A792" s="66"/>
      <c r="B792" s="31"/>
      <c r="C792" s="31"/>
      <c r="D792" s="31"/>
      <c r="E792" s="31"/>
      <c r="F792" s="31"/>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c r="BT792" s="69"/>
      <c r="BU792" s="69"/>
      <c r="BV792" s="69"/>
      <c r="BW792" s="69"/>
      <c r="BX792" s="69"/>
      <c r="BY792" s="69"/>
      <c r="BZ792" s="69"/>
      <c r="CA792" s="69"/>
      <c r="CB792" s="69"/>
      <c r="CC792" s="69"/>
      <c r="CD792" s="69"/>
      <c r="CE792" s="69"/>
      <c r="CF792" s="69"/>
      <c r="CG792" s="69"/>
      <c r="CH792" s="69"/>
      <c r="CI792" s="69"/>
      <c r="CJ792" s="69"/>
      <c r="CK792" s="69"/>
      <c r="CL792" s="69"/>
      <c r="CM792" s="69"/>
      <c r="CN792" s="69"/>
      <c r="CO792" s="69"/>
      <c r="CP792" s="69"/>
      <c r="CQ792" s="69"/>
      <c r="CR792" s="69"/>
      <c r="CS792" s="69"/>
      <c r="CT792" s="69"/>
      <c r="CU792" s="69"/>
      <c r="CV792" s="69"/>
      <c r="CW792" s="69"/>
      <c r="CX792" s="69"/>
      <c r="CY792" s="69"/>
      <c r="CZ792" s="69"/>
      <c r="DA792" s="69"/>
      <c r="DB792" s="69"/>
      <c r="DC792" s="69"/>
      <c r="DD792" s="69"/>
      <c r="DE792" s="69"/>
      <c r="DF792" s="69"/>
      <c r="DG792" s="69"/>
      <c r="DH792" s="69"/>
      <c r="DI792" s="69"/>
      <c r="DJ792" s="69"/>
      <c r="DK792" s="69"/>
      <c r="DL792" s="69"/>
      <c r="DM792" s="69"/>
      <c r="DN792" s="69"/>
      <c r="DO792" s="69"/>
      <c r="DP792" s="69"/>
    </row>
    <row r="793" spans="1:120" x14ac:dyDescent="0.2">
      <c r="A793" s="66"/>
      <c r="B793" s="31"/>
      <c r="C793" s="31"/>
      <c r="D793" s="31"/>
      <c r="E793" s="31"/>
      <c r="F793" s="31"/>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c r="AW793" s="69"/>
      <c r="AX793" s="69"/>
      <c r="AY793" s="69"/>
      <c r="AZ793" s="69"/>
      <c r="BA793" s="69"/>
      <c r="BB793" s="69"/>
      <c r="BC793" s="69"/>
      <c r="BD793" s="69"/>
      <c r="BE793" s="69"/>
      <c r="BF793" s="69"/>
      <c r="BG793" s="69"/>
      <c r="BH793" s="69"/>
      <c r="BI793" s="69"/>
      <c r="BJ793" s="69"/>
      <c r="BK793" s="69"/>
      <c r="BL793" s="69"/>
      <c r="BM793" s="69"/>
      <c r="BN793" s="69"/>
      <c r="BO793" s="69"/>
      <c r="BP793" s="69"/>
      <c r="BQ793" s="69"/>
      <c r="BR793" s="69"/>
      <c r="BS793" s="69"/>
      <c r="BT793" s="69"/>
      <c r="BU793" s="69"/>
      <c r="BV793" s="69"/>
      <c r="BW793" s="69"/>
      <c r="BX793" s="69"/>
      <c r="BY793" s="69"/>
      <c r="BZ793" s="69"/>
      <c r="CA793" s="69"/>
      <c r="CB793" s="69"/>
      <c r="CC793" s="69"/>
      <c r="CD793" s="69"/>
      <c r="CE793" s="69"/>
      <c r="CF793" s="69"/>
      <c r="CG793" s="69"/>
      <c r="CH793" s="69"/>
      <c r="CI793" s="69"/>
      <c r="CJ793" s="69"/>
      <c r="CK793" s="69"/>
      <c r="CL793" s="69"/>
      <c r="CM793" s="69"/>
      <c r="CN793" s="69"/>
      <c r="CO793" s="69"/>
      <c r="CP793" s="69"/>
      <c r="CQ793" s="69"/>
      <c r="CR793" s="69"/>
      <c r="CS793" s="69"/>
      <c r="CT793" s="69"/>
      <c r="CU793" s="69"/>
      <c r="CV793" s="69"/>
      <c r="CW793" s="69"/>
      <c r="CX793" s="69"/>
      <c r="CY793" s="69"/>
      <c r="CZ793" s="69"/>
      <c r="DA793" s="69"/>
      <c r="DB793" s="69"/>
      <c r="DC793" s="69"/>
      <c r="DD793" s="69"/>
      <c r="DE793" s="69"/>
      <c r="DF793" s="69"/>
      <c r="DG793" s="69"/>
      <c r="DH793" s="69"/>
      <c r="DI793" s="69"/>
      <c r="DJ793" s="69"/>
      <c r="DK793" s="69"/>
      <c r="DL793" s="69"/>
      <c r="DM793" s="69"/>
      <c r="DN793" s="69"/>
      <c r="DO793" s="69"/>
      <c r="DP793" s="69"/>
    </row>
    <row r="794" spans="1:120" x14ac:dyDescent="0.2">
      <c r="A794" s="66"/>
      <c r="B794" s="31"/>
      <c r="C794" s="31"/>
      <c r="D794" s="31"/>
      <c r="E794" s="31"/>
      <c r="F794" s="31"/>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c r="AW794" s="69"/>
      <c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 s="69"/>
      <c r="BT794" s="69"/>
      <c r="BU794" s="69"/>
      <c r="BV794" s="69"/>
      <c r="BW794" s="69"/>
      <c r="BX794" s="69"/>
      <c r="BY794" s="69"/>
      <c r="BZ794" s="69"/>
      <c r="CA794" s="69"/>
      <c r="CB794" s="69"/>
      <c r="CC794" s="69"/>
      <c r="CD794" s="69"/>
      <c r="CE794" s="69"/>
      <c r="CF794" s="69"/>
      <c r="CG794" s="69"/>
      <c r="CH794" s="69"/>
      <c r="CI794" s="69"/>
      <c r="CJ794" s="69"/>
      <c r="CK794" s="69"/>
      <c r="CL794" s="69"/>
      <c r="CM794" s="69"/>
      <c r="CN794" s="69"/>
      <c r="CO794" s="69"/>
      <c r="CP794" s="69"/>
      <c r="CQ794" s="69"/>
      <c r="CR794" s="69"/>
      <c r="CS794" s="69"/>
      <c r="CT794" s="69"/>
      <c r="CU794" s="69"/>
      <c r="CV794" s="69"/>
      <c r="CW794" s="69"/>
      <c r="CX794" s="69"/>
      <c r="CY794" s="69"/>
      <c r="CZ794" s="69"/>
      <c r="DA794" s="69"/>
      <c r="DB794" s="69"/>
      <c r="DC794" s="69"/>
      <c r="DD794" s="69"/>
      <c r="DE794" s="69"/>
      <c r="DF794" s="69"/>
      <c r="DG794" s="69"/>
      <c r="DH794" s="69"/>
      <c r="DI794" s="69"/>
      <c r="DJ794" s="69"/>
      <c r="DK794" s="69"/>
      <c r="DL794" s="69"/>
      <c r="DM794" s="69"/>
      <c r="DN794" s="69"/>
      <c r="DO794" s="69"/>
      <c r="DP794" s="69"/>
    </row>
    <row r="795" spans="1:120" x14ac:dyDescent="0.2">
      <c r="A795" s="66"/>
      <c r="B795" s="31"/>
      <c r="C795" s="31"/>
      <c r="D795" s="31"/>
      <c r="E795" s="31"/>
      <c r="F795" s="31"/>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c r="BT795" s="69"/>
      <c r="BU795" s="69"/>
      <c r="BV795" s="69"/>
      <c r="BW795" s="69"/>
      <c r="BX795" s="69"/>
      <c r="BY795" s="69"/>
      <c r="BZ795" s="69"/>
      <c r="CA795" s="69"/>
      <c r="CB795" s="69"/>
      <c r="CC795" s="69"/>
      <c r="CD795" s="69"/>
      <c r="CE795" s="69"/>
      <c r="CF795" s="69"/>
      <c r="CG795" s="69"/>
      <c r="CH795" s="69"/>
      <c r="CI795" s="69"/>
      <c r="CJ795" s="69"/>
      <c r="CK795" s="69"/>
      <c r="CL795" s="69"/>
      <c r="CM795" s="69"/>
      <c r="CN795" s="69"/>
      <c r="CO795" s="69"/>
      <c r="CP795" s="69"/>
      <c r="CQ795" s="69"/>
      <c r="CR795" s="69"/>
      <c r="CS795" s="69"/>
      <c r="CT795" s="69"/>
      <c r="CU795" s="69"/>
      <c r="CV795" s="69"/>
      <c r="CW795" s="69"/>
      <c r="CX795" s="69"/>
      <c r="CY795" s="69"/>
      <c r="CZ795" s="69"/>
      <c r="DA795" s="69"/>
      <c r="DB795" s="69"/>
      <c r="DC795" s="69"/>
      <c r="DD795" s="69"/>
      <c r="DE795" s="69"/>
      <c r="DF795" s="69"/>
      <c r="DG795" s="69"/>
      <c r="DH795" s="69"/>
      <c r="DI795" s="69"/>
      <c r="DJ795" s="69"/>
      <c r="DK795" s="69"/>
      <c r="DL795" s="69"/>
      <c r="DM795" s="69"/>
      <c r="DN795" s="69"/>
      <c r="DO795" s="69"/>
      <c r="DP795" s="69"/>
    </row>
    <row r="796" spans="1:120" x14ac:dyDescent="0.2">
      <c r="A796" s="66"/>
      <c r="B796" s="31"/>
      <c r="C796" s="31"/>
      <c r="D796" s="31"/>
      <c r="E796" s="31"/>
      <c r="F796" s="31"/>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c r="BT796" s="69"/>
      <c r="BU796" s="69"/>
      <c r="BV796" s="69"/>
      <c r="BW796" s="69"/>
      <c r="BX796" s="69"/>
      <c r="BY796" s="69"/>
      <c r="BZ796" s="69"/>
      <c r="CA796" s="69"/>
      <c r="CB796" s="69"/>
      <c r="CC796" s="69"/>
      <c r="CD796" s="69"/>
      <c r="CE796" s="69"/>
      <c r="CF796" s="69"/>
      <c r="CG796" s="69"/>
      <c r="CH796" s="69"/>
      <c r="CI796" s="69"/>
      <c r="CJ796" s="69"/>
      <c r="CK796" s="69"/>
      <c r="CL796" s="69"/>
      <c r="CM796" s="69"/>
      <c r="CN796" s="69"/>
      <c r="CO796" s="69"/>
      <c r="CP796" s="69"/>
      <c r="CQ796" s="69"/>
      <c r="CR796" s="69"/>
      <c r="CS796" s="69"/>
      <c r="CT796" s="69"/>
      <c r="CU796" s="69"/>
      <c r="CV796" s="69"/>
      <c r="CW796" s="69"/>
      <c r="CX796" s="69"/>
      <c r="CY796" s="69"/>
      <c r="CZ796" s="69"/>
      <c r="DA796" s="69"/>
      <c r="DB796" s="69"/>
      <c r="DC796" s="69"/>
      <c r="DD796" s="69"/>
      <c r="DE796" s="69"/>
      <c r="DF796" s="69"/>
      <c r="DG796" s="69"/>
      <c r="DH796" s="69"/>
      <c r="DI796" s="69"/>
      <c r="DJ796" s="69"/>
      <c r="DK796" s="69"/>
      <c r="DL796" s="69"/>
      <c r="DM796" s="69"/>
      <c r="DN796" s="69"/>
      <c r="DO796" s="69"/>
      <c r="DP796" s="69"/>
    </row>
    <row r="797" spans="1:120" x14ac:dyDescent="0.2">
      <c r="A797" s="66"/>
      <c r="B797" s="31"/>
      <c r="C797" s="31"/>
      <c r="D797" s="31"/>
      <c r="E797" s="31"/>
      <c r="F797" s="31"/>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c r="AW797" s="69"/>
      <c r="AX797" s="69"/>
      <c r="AY797" s="69"/>
      <c r="AZ797" s="69"/>
      <c r="BA797" s="69"/>
      <c r="BB797" s="69"/>
      <c r="BC797" s="69"/>
      <c r="BD797" s="69"/>
      <c r="BE797" s="69"/>
      <c r="BF797" s="69"/>
      <c r="BG797" s="69"/>
      <c r="BH797" s="69"/>
      <c r="BI797" s="69"/>
      <c r="BJ797" s="69"/>
      <c r="BK797" s="69"/>
      <c r="BL797" s="69"/>
      <c r="BM797" s="69"/>
      <c r="BN797" s="69"/>
      <c r="BO797" s="69"/>
      <c r="BP797" s="69"/>
      <c r="BQ797" s="69"/>
      <c r="BR797" s="69"/>
      <c r="BS797" s="69"/>
      <c r="BT797" s="69"/>
      <c r="BU797" s="69"/>
      <c r="BV797" s="69"/>
      <c r="BW797" s="69"/>
      <c r="BX797" s="69"/>
      <c r="BY797" s="69"/>
      <c r="BZ797" s="69"/>
      <c r="CA797" s="69"/>
      <c r="CB797" s="69"/>
      <c r="CC797" s="69"/>
      <c r="CD797" s="69"/>
      <c r="CE797" s="69"/>
      <c r="CF797" s="69"/>
      <c r="CG797" s="69"/>
      <c r="CH797" s="69"/>
      <c r="CI797" s="69"/>
      <c r="CJ797" s="69"/>
      <c r="CK797" s="69"/>
      <c r="CL797" s="69"/>
      <c r="CM797" s="69"/>
      <c r="CN797" s="69"/>
      <c r="CO797" s="69"/>
      <c r="CP797" s="69"/>
      <c r="CQ797" s="69"/>
      <c r="CR797" s="69"/>
      <c r="CS797" s="69"/>
      <c r="CT797" s="69"/>
      <c r="CU797" s="69"/>
      <c r="CV797" s="69"/>
      <c r="CW797" s="69"/>
      <c r="CX797" s="69"/>
      <c r="CY797" s="69"/>
      <c r="CZ797" s="69"/>
      <c r="DA797" s="69"/>
      <c r="DB797" s="69"/>
      <c r="DC797" s="69"/>
      <c r="DD797" s="69"/>
      <c r="DE797" s="69"/>
      <c r="DF797" s="69"/>
      <c r="DG797" s="69"/>
      <c r="DH797" s="69"/>
      <c r="DI797" s="69"/>
      <c r="DJ797" s="69"/>
      <c r="DK797" s="69"/>
      <c r="DL797" s="69"/>
      <c r="DM797" s="69"/>
      <c r="DN797" s="69"/>
      <c r="DO797" s="69"/>
      <c r="DP797" s="69"/>
    </row>
    <row r="798" spans="1:120" x14ac:dyDescent="0.2">
      <c r="A798" s="66"/>
      <c r="B798" s="31"/>
      <c r="C798" s="31"/>
      <c r="D798" s="31"/>
      <c r="E798" s="31"/>
      <c r="F798" s="31"/>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c r="BD798" s="69"/>
      <c r="BE798" s="69"/>
      <c r="BF798" s="69"/>
      <c r="BG798" s="69"/>
      <c r="BH798" s="69"/>
      <c r="BI798" s="69"/>
      <c r="BJ798" s="69"/>
      <c r="BK798" s="69"/>
      <c r="BL798" s="69"/>
      <c r="BM798" s="69"/>
      <c r="BN798" s="69"/>
      <c r="BO798" s="69"/>
      <c r="BP798" s="69"/>
      <c r="BQ798" s="69"/>
      <c r="BR798" s="69"/>
      <c r="BS798" s="69"/>
      <c r="BT798" s="69"/>
      <c r="BU798" s="69"/>
      <c r="BV798" s="69"/>
      <c r="BW798" s="69"/>
      <c r="BX798" s="69"/>
      <c r="BY798" s="69"/>
      <c r="BZ798" s="69"/>
      <c r="CA798" s="69"/>
      <c r="CB798" s="69"/>
      <c r="CC798" s="69"/>
      <c r="CD798" s="69"/>
      <c r="CE798" s="69"/>
      <c r="CF798" s="69"/>
      <c r="CG798" s="69"/>
      <c r="CH798" s="69"/>
      <c r="CI798" s="69"/>
      <c r="CJ798" s="69"/>
      <c r="CK798" s="69"/>
      <c r="CL798" s="69"/>
      <c r="CM798" s="69"/>
      <c r="CN798" s="69"/>
      <c r="CO798" s="69"/>
      <c r="CP798" s="69"/>
      <c r="CQ798" s="69"/>
      <c r="CR798" s="69"/>
      <c r="CS798" s="69"/>
      <c r="CT798" s="69"/>
      <c r="CU798" s="69"/>
      <c r="CV798" s="69"/>
      <c r="CW798" s="69"/>
      <c r="CX798" s="69"/>
      <c r="CY798" s="69"/>
      <c r="CZ798" s="69"/>
      <c r="DA798" s="69"/>
      <c r="DB798" s="69"/>
      <c r="DC798" s="69"/>
      <c r="DD798" s="69"/>
      <c r="DE798" s="69"/>
      <c r="DF798" s="69"/>
      <c r="DG798" s="69"/>
      <c r="DH798" s="69"/>
      <c r="DI798" s="69"/>
      <c r="DJ798" s="69"/>
      <c r="DK798" s="69"/>
      <c r="DL798" s="69"/>
      <c r="DM798" s="69"/>
      <c r="DN798" s="69"/>
      <c r="DO798" s="69"/>
      <c r="DP798" s="69"/>
    </row>
  </sheetData>
  <mergeCells count="23">
    <mergeCell ref="CN4:CQ4"/>
    <mergeCell ref="CS4:CV4"/>
    <mergeCell ref="CX4:DA4"/>
    <mergeCell ref="DC4:DF4"/>
    <mergeCell ref="DH4:DK4"/>
    <mergeCell ref="CI4:CL4"/>
    <mergeCell ref="AF4:AI4"/>
    <mergeCell ref="AK4:AN4"/>
    <mergeCell ref="AP4:AS4"/>
    <mergeCell ref="AU4:AX4"/>
    <mergeCell ref="AZ4:BC4"/>
    <mergeCell ref="BE4:BH4"/>
    <mergeCell ref="BJ4:BM4"/>
    <mergeCell ref="BO4:BR4"/>
    <mergeCell ref="BT4:BW4"/>
    <mergeCell ref="BY4:CB4"/>
    <mergeCell ref="CD4:CG4"/>
    <mergeCell ref="AA4:AD4"/>
    <mergeCell ref="B4:E4"/>
    <mergeCell ref="G4:J4"/>
    <mergeCell ref="L4:O4"/>
    <mergeCell ref="Q4:T4"/>
    <mergeCell ref="V4:Y4"/>
  </mergeCells>
  <pageMargins left="0.7" right="0.7" top="0.75" bottom="0.75" header="0.3" footer="0.3"/>
  <ignoredErrors>
    <ignoredError sqref="CM8:DP8 CM504:DP504 CM503:CQ503 CS503:CW503 CM118:DP391 CM117:CU117 CW117:DP117 CM7:DM7 DO7:DP7 CM11:DP116 CM10:DK10 DM10:DP10 CM506:DP510 CM505:CX505 DC505:DP505 CY503:DP503 CM501:DP502 CM500:CW500 CY500:DP500 CM396:DP409 CM395:CW395 CY395:DP395 CM393:DP394 CM392:CW392 CY392:DP392 CM411:DP499 CM410:CX410 CZ410:DP410 CM9:CZ9 DC9:DP9" unlockedFormula="1"/>
    <ignoredError sqref="CR503" formula="1" unlockedFormula="1"/>
  </ignoredError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2AAE3-AEF4-9649-B9A4-AAB8681E3742}">
  <dimension ref="B1:S192"/>
  <sheetViews>
    <sheetView zoomScale="75" zoomScaleNormal="75" workbookViewId="0">
      <selection activeCell="M50" sqref="M50"/>
    </sheetView>
  </sheetViews>
  <sheetFormatPr baseColWidth="10" defaultRowHeight="16" outlineLevelCol="1" x14ac:dyDescent="0.2"/>
  <cols>
    <col min="1" max="1" width="10.83203125" style="1"/>
    <col min="2" max="2" width="42.83203125" style="1" bestFit="1" customWidth="1"/>
    <col min="3" max="8" width="10.83203125" style="1" hidden="1" customWidth="1" outlineLevel="1"/>
    <col min="9" max="9" width="10.83203125" style="1" collapsed="1"/>
    <col min="10" max="13" width="10.83203125" style="1"/>
    <col min="14" max="14" width="11.5" style="1" customWidth="1"/>
    <col min="15" max="18" width="12" style="1" bestFit="1" customWidth="1"/>
    <col min="19" max="16384" width="10.83203125" style="1"/>
  </cols>
  <sheetData>
    <row r="1" spans="2:18" x14ac:dyDescent="0.2">
      <c r="B1" s="21" t="s">
        <v>34</v>
      </c>
    </row>
    <row r="2" spans="2:18" s="2" customFormat="1" ht="19" x14ac:dyDescent="0.25">
      <c r="B2" s="6" t="s">
        <v>388</v>
      </c>
    </row>
    <row r="3" spans="2:18" x14ac:dyDescent="0.2">
      <c r="B3" s="14"/>
      <c r="C3" s="14"/>
      <c r="D3" s="14"/>
    </row>
    <row r="4" spans="2:18" x14ac:dyDescent="0.2">
      <c r="B4" s="14"/>
      <c r="C4" s="247">
        <v>2012</v>
      </c>
      <c r="D4" s="247">
        <v>2013</v>
      </c>
      <c r="E4" s="247">
        <v>2014</v>
      </c>
      <c r="F4" s="247">
        <v>2015</v>
      </c>
      <c r="G4" s="247">
        <v>2016</v>
      </c>
      <c r="H4" s="247">
        <v>2017</v>
      </c>
      <c r="I4" s="11">
        <v>2018</v>
      </c>
      <c r="J4" s="11">
        <v>2019</v>
      </c>
      <c r="K4" s="11">
        <v>2020</v>
      </c>
      <c r="L4" s="11">
        <v>2021</v>
      </c>
      <c r="M4" s="11">
        <v>2022</v>
      </c>
      <c r="N4" s="13">
        <v>2023</v>
      </c>
      <c r="O4" s="13">
        <v>2024</v>
      </c>
      <c r="P4" s="13">
        <v>2025</v>
      </c>
      <c r="Q4" s="13">
        <v>2026</v>
      </c>
      <c r="R4" s="13">
        <v>2027</v>
      </c>
    </row>
    <row r="5" spans="2:18" x14ac:dyDescent="0.2">
      <c r="B5" s="1" t="s">
        <v>346</v>
      </c>
      <c r="C5" s="239">
        <v>47267</v>
      </c>
      <c r="D5" s="239">
        <v>44033</v>
      </c>
      <c r="E5" s="239">
        <v>42237</v>
      </c>
      <c r="F5" s="239">
        <v>39498</v>
      </c>
      <c r="G5" s="239">
        <v>39807</v>
      </c>
      <c r="H5" s="239">
        <v>40122</v>
      </c>
      <c r="I5" s="239">
        <v>42292.600000000006</v>
      </c>
      <c r="J5" s="239">
        <v>46840</v>
      </c>
      <c r="K5" s="239">
        <v>47994</v>
      </c>
      <c r="L5" s="239">
        <v>48704</v>
      </c>
      <c r="M5" s="239">
        <v>59283</v>
      </c>
      <c r="N5" s="239">
        <f>Earnings!AJ15</f>
        <v>57481.03</v>
      </c>
      <c r="O5" s="239">
        <f>Earnings!AK15</f>
        <v>61387.662723310001</v>
      </c>
      <c r="P5" s="239">
        <f>Earnings!AL15</f>
        <v>64565.516867482009</v>
      </c>
      <c r="Q5" s="239">
        <f>Earnings!AM15</f>
        <v>66022.8617624404</v>
      </c>
      <c r="R5" s="239">
        <f>Earnings!AN15</f>
        <v>67788.785416207276</v>
      </c>
    </row>
    <row r="6" spans="2:18" x14ac:dyDescent="0.2">
      <c r="B6" s="14" t="s">
        <v>390</v>
      </c>
      <c r="C6" s="14"/>
      <c r="D6" s="248">
        <f t="shared" ref="D6:R6" si="0">D5/C5-1</f>
        <v>-6.841982778682798E-2</v>
      </c>
      <c r="E6" s="248">
        <f t="shared" si="0"/>
        <v>-4.0787591124838207E-2</v>
      </c>
      <c r="F6" s="248">
        <f t="shared" si="0"/>
        <v>-6.4848355707081473E-2</v>
      </c>
      <c r="G6" s="248">
        <f t="shared" si="0"/>
        <v>7.8231809205528968E-3</v>
      </c>
      <c r="H6" s="248">
        <f t="shared" si="0"/>
        <v>7.9131810988017914E-3</v>
      </c>
      <c r="I6" s="248">
        <f t="shared" si="0"/>
        <v>5.4099995015203683E-2</v>
      </c>
      <c r="J6" s="248">
        <f t="shared" si="0"/>
        <v>0.107522356156869</v>
      </c>
      <c r="K6" s="248">
        <f t="shared" si="0"/>
        <v>2.4637062339880389E-2</v>
      </c>
      <c r="L6" s="248">
        <f t="shared" si="0"/>
        <v>1.4793515856148742E-2</v>
      </c>
      <c r="M6" s="248">
        <f t="shared" si="0"/>
        <v>0.21721008541392894</v>
      </c>
      <c r="N6" s="248">
        <f t="shared" si="0"/>
        <v>-3.0396066325928173E-2</v>
      </c>
      <c r="O6" s="248">
        <f t="shared" si="0"/>
        <v>6.7963860830434042E-2</v>
      </c>
      <c r="P6" s="248">
        <f t="shared" si="0"/>
        <v>5.1766983839984571E-2</v>
      </c>
      <c r="Q6" s="248">
        <f t="shared" si="0"/>
        <v>2.2571567078902621E-2</v>
      </c>
      <c r="R6" s="248">
        <f t="shared" si="0"/>
        <v>2.6747154040685395E-2</v>
      </c>
    </row>
    <row r="7" spans="2:18" x14ac:dyDescent="0.2">
      <c r="B7" s="14"/>
      <c r="C7" s="14"/>
      <c r="D7" s="14"/>
      <c r="E7" s="14"/>
      <c r="F7" s="249"/>
      <c r="G7" s="249"/>
      <c r="H7" s="249"/>
      <c r="I7" s="249"/>
      <c r="J7" s="249"/>
      <c r="K7" s="249"/>
      <c r="L7" s="249"/>
      <c r="M7" s="249"/>
      <c r="N7" s="249"/>
      <c r="O7" s="249"/>
      <c r="P7" s="249"/>
      <c r="Q7" s="249"/>
      <c r="R7" s="249"/>
    </row>
    <row r="8" spans="2:18" x14ac:dyDescent="0.2">
      <c r="B8" s="1" t="s">
        <v>391</v>
      </c>
      <c r="C8" s="239">
        <v>16446</v>
      </c>
      <c r="D8" s="239">
        <v>16954</v>
      </c>
      <c r="E8" s="239">
        <v>16768</v>
      </c>
      <c r="F8" s="239">
        <v>14934</v>
      </c>
      <c r="G8" s="239">
        <v>14030</v>
      </c>
      <c r="H8" s="239">
        <v>12912</v>
      </c>
      <c r="I8" s="239">
        <v>13509</v>
      </c>
      <c r="J8" s="239">
        <v>14112</v>
      </c>
      <c r="K8" s="239">
        <v>15485</v>
      </c>
      <c r="L8" s="239">
        <v>13626</v>
      </c>
      <c r="M8" s="239">
        <v>17411</v>
      </c>
      <c r="N8" s="239">
        <f>Earnings!AJ16</f>
        <v>13220.636899999998</v>
      </c>
      <c r="O8" s="239">
        <f>Earnings!AK16</f>
        <v>12891.409171895099</v>
      </c>
      <c r="P8" s="239">
        <f>Earnings!AL16</f>
        <v>13235.930957833809</v>
      </c>
      <c r="Q8" s="239">
        <f>Earnings!AM16</f>
        <v>13204.572352488078</v>
      </c>
      <c r="R8" s="239">
        <f>Earnings!AN16</f>
        <v>12879.869229079379</v>
      </c>
    </row>
    <row r="9" spans="2:18" x14ac:dyDescent="0.2">
      <c r="B9" s="14" t="s">
        <v>392</v>
      </c>
      <c r="C9" s="248">
        <f t="shared" ref="C9:R9" si="1">C8/C5</f>
        <v>0.34793830791038144</v>
      </c>
      <c r="D9" s="248">
        <f t="shared" si="1"/>
        <v>0.3850294097608612</v>
      </c>
      <c r="E9" s="248">
        <f t="shared" si="1"/>
        <v>0.39699789284276821</v>
      </c>
      <c r="F9" s="248">
        <f t="shared" si="1"/>
        <v>0.37809509342245179</v>
      </c>
      <c r="G9" s="248">
        <f t="shared" si="1"/>
        <v>0.3524505740196448</v>
      </c>
      <c r="H9" s="248">
        <f t="shared" si="1"/>
        <v>0.32181845371616569</v>
      </c>
      <c r="I9" s="248">
        <f t="shared" si="1"/>
        <v>0.31941758132628401</v>
      </c>
      <c r="J9" s="248">
        <f t="shared" si="1"/>
        <v>0.30128095644748076</v>
      </c>
      <c r="K9" s="248">
        <f t="shared" si="1"/>
        <v>0.32264449722882027</v>
      </c>
      <c r="L9" s="248">
        <f t="shared" si="1"/>
        <v>0.2797716819973719</v>
      </c>
      <c r="M9" s="248">
        <f t="shared" si="1"/>
        <v>0.29369296425619484</v>
      </c>
      <c r="N9" s="248">
        <f t="shared" si="1"/>
        <v>0.22999999999999995</v>
      </c>
      <c r="O9" s="248">
        <f t="shared" si="1"/>
        <v>0.20999999999999996</v>
      </c>
      <c r="P9" s="248">
        <f t="shared" si="1"/>
        <v>0.20499999999999996</v>
      </c>
      <c r="Q9" s="248">
        <f t="shared" si="1"/>
        <v>0.19999999999999996</v>
      </c>
      <c r="R9" s="248">
        <f t="shared" si="1"/>
        <v>0.18999999999999995</v>
      </c>
    </row>
    <row r="10" spans="2:18" x14ac:dyDescent="0.2">
      <c r="B10" s="14"/>
      <c r="C10" s="14"/>
      <c r="D10" s="14"/>
      <c r="E10" s="249"/>
      <c r="F10" s="249"/>
      <c r="G10" s="249"/>
      <c r="H10" s="249"/>
      <c r="I10" s="249"/>
      <c r="J10" s="249"/>
      <c r="K10" s="249"/>
      <c r="L10" s="249"/>
      <c r="M10" s="249"/>
      <c r="N10" s="249"/>
      <c r="O10" s="249"/>
      <c r="P10" s="249"/>
      <c r="Q10" s="249"/>
      <c r="R10" s="249"/>
    </row>
    <row r="11" spans="2:18" x14ac:dyDescent="0.2">
      <c r="B11" s="250" t="s">
        <v>393</v>
      </c>
      <c r="C11" s="251">
        <f t="shared" ref="C11:R11" si="2">C5-C8</f>
        <v>30821</v>
      </c>
      <c r="D11" s="251">
        <f t="shared" si="2"/>
        <v>27079</v>
      </c>
      <c r="E11" s="251">
        <f t="shared" si="2"/>
        <v>25469</v>
      </c>
      <c r="F11" s="251">
        <f t="shared" si="2"/>
        <v>24564</v>
      </c>
      <c r="G11" s="251">
        <f t="shared" si="2"/>
        <v>25777</v>
      </c>
      <c r="H11" s="251">
        <f t="shared" si="2"/>
        <v>27210</v>
      </c>
      <c r="I11" s="251">
        <f t="shared" si="2"/>
        <v>28783.600000000006</v>
      </c>
      <c r="J11" s="251">
        <f t="shared" si="2"/>
        <v>32728</v>
      </c>
      <c r="K11" s="251">
        <f t="shared" si="2"/>
        <v>32509</v>
      </c>
      <c r="L11" s="251">
        <f t="shared" si="2"/>
        <v>35078</v>
      </c>
      <c r="M11" s="251">
        <f t="shared" si="2"/>
        <v>41872</v>
      </c>
      <c r="N11" s="251">
        <f t="shared" si="2"/>
        <v>44260.393100000001</v>
      </c>
      <c r="O11" s="251">
        <f t="shared" si="2"/>
        <v>48496.253551414906</v>
      </c>
      <c r="P11" s="251">
        <f t="shared" si="2"/>
        <v>51329.585909648202</v>
      </c>
      <c r="Q11" s="251">
        <f t="shared" si="2"/>
        <v>52818.289409952326</v>
      </c>
      <c r="R11" s="251">
        <f t="shared" si="2"/>
        <v>54908.916187127899</v>
      </c>
    </row>
    <row r="12" spans="2:18" x14ac:dyDescent="0.2">
      <c r="B12" s="14" t="s">
        <v>394</v>
      </c>
      <c r="C12" s="248">
        <f t="shared" ref="C12:R12" si="3">C11/C5</f>
        <v>0.65206169208961851</v>
      </c>
      <c r="D12" s="248">
        <f t="shared" si="3"/>
        <v>0.6149705902391388</v>
      </c>
      <c r="E12" s="248">
        <f t="shared" si="3"/>
        <v>0.60300210715723179</v>
      </c>
      <c r="F12" s="248">
        <f t="shared" si="3"/>
        <v>0.62190490657754827</v>
      </c>
      <c r="G12" s="248">
        <f t="shared" si="3"/>
        <v>0.64754942598035525</v>
      </c>
      <c r="H12" s="248">
        <f t="shared" si="3"/>
        <v>0.67818154628383431</v>
      </c>
      <c r="I12" s="248">
        <f t="shared" si="3"/>
        <v>0.68058241867371605</v>
      </c>
      <c r="J12" s="248">
        <f t="shared" si="3"/>
        <v>0.69871904355251924</v>
      </c>
      <c r="K12" s="248">
        <f t="shared" si="3"/>
        <v>0.67735550277117973</v>
      </c>
      <c r="L12" s="248">
        <f t="shared" si="3"/>
        <v>0.7202283180026281</v>
      </c>
      <c r="M12" s="248">
        <f t="shared" si="3"/>
        <v>0.70630703574380516</v>
      </c>
      <c r="N12" s="248">
        <f t="shared" si="3"/>
        <v>0.77</v>
      </c>
      <c r="O12" s="248">
        <f t="shared" si="3"/>
        <v>0.79</v>
      </c>
      <c r="P12" s="248">
        <f t="shared" si="3"/>
        <v>0.79500000000000004</v>
      </c>
      <c r="Q12" s="248">
        <f t="shared" si="3"/>
        <v>0.8</v>
      </c>
      <c r="R12" s="248">
        <f t="shared" si="3"/>
        <v>0.81</v>
      </c>
    </row>
    <row r="13" spans="2:18" x14ac:dyDescent="0.2">
      <c r="B13" s="14"/>
      <c r="C13" s="14"/>
      <c r="D13" s="14"/>
      <c r="E13" s="249"/>
      <c r="F13" s="249"/>
      <c r="G13" s="249"/>
      <c r="H13" s="249"/>
      <c r="I13" s="249"/>
      <c r="J13" s="249"/>
      <c r="K13" s="249"/>
      <c r="L13" s="249"/>
      <c r="M13" s="249"/>
      <c r="N13" s="249"/>
      <c r="O13" s="249"/>
      <c r="P13" s="249"/>
      <c r="Q13" s="249"/>
      <c r="R13" s="249"/>
    </row>
    <row r="14" spans="2:18" x14ac:dyDescent="0.2">
      <c r="B14" s="1" t="s">
        <v>395</v>
      </c>
      <c r="C14" s="239">
        <v>12776</v>
      </c>
      <c r="D14" s="239">
        <v>11911</v>
      </c>
      <c r="E14" s="239">
        <v>11606</v>
      </c>
      <c r="F14" s="239">
        <v>10313</v>
      </c>
      <c r="G14" s="239">
        <v>10017</v>
      </c>
      <c r="H14" s="239">
        <v>10074</v>
      </c>
      <c r="I14" s="239">
        <v>10102</v>
      </c>
      <c r="J14" s="239">
        <v>10615</v>
      </c>
      <c r="K14" s="239">
        <v>10468</v>
      </c>
      <c r="L14" s="239">
        <v>9634</v>
      </c>
      <c r="M14" s="239">
        <v>10042</v>
      </c>
      <c r="N14" s="239">
        <f>Earnings!AJ18</f>
        <v>10254.302099999997</v>
      </c>
      <c r="O14" s="239">
        <f>Earnings!AK18</f>
        <v>10558.677988409319</v>
      </c>
      <c r="P14" s="239">
        <f>Earnings!AL18</f>
        <v>10847.006833736978</v>
      </c>
      <c r="Q14" s="239">
        <f>Earnings!AM18</f>
        <v>11091.840776089988</v>
      </c>
      <c r="R14" s="239">
        <f>Earnings!AN18</f>
        <v>11388.515949922823</v>
      </c>
    </row>
    <row r="15" spans="2:18" x14ac:dyDescent="0.2">
      <c r="B15" s="14" t="s">
        <v>396</v>
      </c>
      <c r="C15" s="248">
        <f t="shared" ref="C15:R15" si="4">C14/C5</f>
        <v>0.27029428565383884</v>
      </c>
      <c r="D15" s="248">
        <f t="shared" si="4"/>
        <v>0.27050166920264346</v>
      </c>
      <c r="E15" s="248">
        <f t="shared" si="4"/>
        <v>0.27478277339773183</v>
      </c>
      <c r="F15" s="248">
        <f t="shared" si="4"/>
        <v>0.26110182794065523</v>
      </c>
      <c r="G15" s="248">
        <f t="shared" si="4"/>
        <v>0.25163915894189465</v>
      </c>
      <c r="H15" s="248">
        <f t="shared" si="4"/>
        <v>0.25108419321070735</v>
      </c>
      <c r="I15" s="248">
        <f t="shared" si="4"/>
        <v>0.23885975324288405</v>
      </c>
      <c r="J15" s="248">
        <f t="shared" si="4"/>
        <v>0.22662254483347566</v>
      </c>
      <c r="K15" s="248">
        <f t="shared" si="4"/>
        <v>0.21811059715797809</v>
      </c>
      <c r="L15" s="248">
        <f t="shared" si="4"/>
        <v>0.19780716162943496</v>
      </c>
      <c r="M15" s="248">
        <f t="shared" si="4"/>
        <v>0.16939088777558492</v>
      </c>
      <c r="N15" s="248">
        <f t="shared" si="4"/>
        <v>0.17839454338239932</v>
      </c>
      <c r="O15" s="248">
        <f t="shared" si="4"/>
        <v>0.17199999999999999</v>
      </c>
      <c r="P15" s="248">
        <f t="shared" si="4"/>
        <v>0.16800000000000001</v>
      </c>
      <c r="Q15" s="248">
        <f t="shared" si="4"/>
        <v>0.16800000000000001</v>
      </c>
      <c r="R15" s="248">
        <f t="shared" si="4"/>
        <v>0.16800000000000001</v>
      </c>
    </row>
    <row r="16" spans="2:18" x14ac:dyDescent="0.2">
      <c r="B16" s="14" t="s">
        <v>397</v>
      </c>
      <c r="C16" s="14"/>
      <c r="D16" s="248">
        <f t="shared" ref="D16:R16" si="5">D14/C14-1</f>
        <v>-6.7705072010018741E-2</v>
      </c>
      <c r="E16" s="248">
        <f t="shared" si="5"/>
        <v>-2.5606582150952906E-2</v>
      </c>
      <c r="F16" s="248">
        <f t="shared" si="5"/>
        <v>-0.11140789246941241</v>
      </c>
      <c r="G16" s="248">
        <f t="shared" si="5"/>
        <v>-2.8701638708426236E-2</v>
      </c>
      <c r="H16" s="248">
        <f t="shared" si="5"/>
        <v>5.6903264450434143E-3</v>
      </c>
      <c r="I16" s="248">
        <f t="shared" si="5"/>
        <v>2.7794322017073991E-3</v>
      </c>
      <c r="J16" s="248">
        <f t="shared" si="5"/>
        <v>5.0782023361710449E-2</v>
      </c>
      <c r="K16" s="248">
        <f t="shared" si="5"/>
        <v>-1.3848327837965191E-2</v>
      </c>
      <c r="L16" s="248">
        <f t="shared" si="5"/>
        <v>-7.9671379442109336E-2</v>
      </c>
      <c r="M16" s="248">
        <f t="shared" si="5"/>
        <v>4.2350010379904601E-2</v>
      </c>
      <c r="N16" s="248">
        <f t="shared" si="5"/>
        <v>2.114141605257891E-2</v>
      </c>
      <c r="O16" s="248">
        <f t="shared" si="5"/>
        <v>2.9682750268233526E-2</v>
      </c>
      <c r="P16" s="248">
        <f t="shared" si="5"/>
        <v>2.7307286541380371E-2</v>
      </c>
      <c r="Q16" s="248">
        <f t="shared" si="5"/>
        <v>2.2571567078902843E-2</v>
      </c>
      <c r="R16" s="248">
        <f t="shared" si="5"/>
        <v>2.6747154040685395E-2</v>
      </c>
    </row>
    <row r="17" spans="2:18" x14ac:dyDescent="0.2">
      <c r="B17" s="240" t="s">
        <v>398</v>
      </c>
      <c r="C17" s="239">
        <v>8168</v>
      </c>
      <c r="D17" s="239">
        <v>7503</v>
      </c>
      <c r="E17" s="239">
        <v>7180</v>
      </c>
      <c r="F17" s="239">
        <v>6704</v>
      </c>
      <c r="G17" s="239">
        <v>10261</v>
      </c>
      <c r="H17" s="239">
        <v>10339</v>
      </c>
      <c r="I17" s="239">
        <v>9752</v>
      </c>
      <c r="J17" s="239">
        <v>9872</v>
      </c>
      <c r="K17" s="239">
        <v>13558</v>
      </c>
      <c r="L17" s="239">
        <v>12245</v>
      </c>
      <c r="M17" s="239">
        <v>13548</v>
      </c>
      <c r="N17" s="239">
        <f>Earnings!AJ19</f>
        <v>12875.750719999998</v>
      </c>
      <c r="O17" s="239">
        <f>Earnings!AK19</f>
        <v>12584.47085827855</v>
      </c>
      <c r="P17" s="239">
        <f>Earnings!AL19</f>
        <v>12654.841306026474</v>
      </c>
      <c r="Q17" s="239">
        <f>Earnings!AM19</f>
        <v>12676.389458388558</v>
      </c>
      <c r="R17" s="239">
        <f>Earnings!AN19</f>
        <v>12879.869229079382</v>
      </c>
    </row>
    <row r="18" spans="2:18" x14ac:dyDescent="0.2">
      <c r="B18" s="14" t="s">
        <v>399</v>
      </c>
      <c r="C18" s="248">
        <f t="shared" ref="C18:L18" si="6">C17/C5</f>
        <v>0.17280555144180929</v>
      </c>
      <c r="D18" s="248">
        <f t="shared" si="6"/>
        <v>0.17039493107442147</v>
      </c>
      <c r="E18" s="248">
        <f t="shared" si="6"/>
        <v>0.16999313398205365</v>
      </c>
      <c r="F18" s="248">
        <f t="shared" si="6"/>
        <v>0.16973011291710974</v>
      </c>
      <c r="G18" s="248">
        <f t="shared" si="6"/>
        <v>0.25776873414223628</v>
      </c>
      <c r="H18" s="248">
        <f t="shared" si="6"/>
        <v>0.25768904840237278</v>
      </c>
      <c r="I18" s="248">
        <f t="shared" si="6"/>
        <v>0.23058407380960258</v>
      </c>
      <c r="J18" s="248">
        <f t="shared" si="6"/>
        <v>0.21076003415883859</v>
      </c>
      <c r="K18" s="248">
        <f t="shared" si="6"/>
        <v>0.28249364503896318</v>
      </c>
      <c r="L18" s="248">
        <f t="shared" si="6"/>
        <v>0.25141672141918531</v>
      </c>
      <c r="M18" s="248">
        <f>M17/M5</f>
        <v>0.22853094479024341</v>
      </c>
      <c r="N18" s="248">
        <f>N17/N5</f>
        <v>0.22399999999999998</v>
      </c>
      <c r="O18" s="248">
        <f t="shared" ref="O18:R18" si="7">O17/O5</f>
        <v>0.20499999999999999</v>
      </c>
      <c r="P18" s="248">
        <f t="shared" si="7"/>
        <v>0.19600000000000001</v>
      </c>
      <c r="Q18" s="248">
        <f t="shared" si="7"/>
        <v>0.192</v>
      </c>
      <c r="R18" s="248">
        <f t="shared" si="7"/>
        <v>0.19</v>
      </c>
    </row>
    <row r="19" spans="2:18" x14ac:dyDescent="0.2">
      <c r="B19" s="240" t="s">
        <v>400</v>
      </c>
      <c r="C19" s="239">
        <f>-642+185</f>
        <v>-457</v>
      </c>
      <c r="D19" s="239">
        <f>-404+290</f>
        <v>-114</v>
      </c>
      <c r="E19" s="239">
        <f>-257+180</f>
        <v>-77</v>
      </c>
      <c r="F19" s="239">
        <f>1277-205+72</f>
        <v>1144</v>
      </c>
      <c r="G19" s="239">
        <f>174-43-531+224</f>
        <v>-176</v>
      </c>
      <c r="H19" s="239">
        <f>-11-352-512+6</f>
        <v>-869</v>
      </c>
      <c r="I19" s="239">
        <f>145-324-512-140</f>
        <v>-831</v>
      </c>
      <c r="J19" s="239">
        <f>48+187-170-545</f>
        <v>-480</v>
      </c>
      <c r="K19" s="239">
        <f>-126+145-1338-339</f>
        <v>-1658</v>
      </c>
      <c r="L19" s="239">
        <f>-1341-806+36</f>
        <v>-2111</v>
      </c>
      <c r="M19" s="239">
        <f>1501-962+157</f>
        <v>696</v>
      </c>
      <c r="N19" s="239">
        <f>Earnings!AJ21+Earnings!AJ24+Earnings!AJ25+Earnings!AJ27</f>
        <v>-467.25</v>
      </c>
      <c r="O19" s="239">
        <f>Earnings!AK21+Earnings!AK24+Earnings!AK25+Earnings!AK27</f>
        <v>-490.61250000000001</v>
      </c>
      <c r="P19" s="239">
        <f>Earnings!AL21+Earnings!AL24+Earnings!AL25+Earnings!AL27</f>
        <v>-515.14312500000005</v>
      </c>
      <c r="Q19" s="239">
        <f>Earnings!AM21+Earnings!AM24+Earnings!AM25+Earnings!AM27</f>
        <v>-540.90028125000003</v>
      </c>
      <c r="R19" s="239">
        <f>Earnings!AN21+Earnings!AN24+Earnings!AN25+Earnings!AN27</f>
        <v>-567.94529531250009</v>
      </c>
    </row>
    <row r="20" spans="2:18" x14ac:dyDescent="0.2">
      <c r="B20" s="14" t="s">
        <v>399</v>
      </c>
      <c r="C20" s="248">
        <f t="shared" ref="C20:R20" si="8">C19/C5</f>
        <v>-9.6684790657329631E-3</v>
      </c>
      <c r="D20" s="248">
        <f t="shared" si="8"/>
        <v>-2.5889673653850523E-3</v>
      </c>
      <c r="E20" s="248">
        <f t="shared" si="8"/>
        <v>-1.8230461443757844E-3</v>
      </c>
      <c r="F20" s="248">
        <f t="shared" si="8"/>
        <v>2.8963491822370752E-2</v>
      </c>
      <c r="G20" s="248">
        <f t="shared" si="8"/>
        <v>-4.4213329313939759E-3</v>
      </c>
      <c r="H20" s="248">
        <f t="shared" si="8"/>
        <v>-2.165894023229151E-2</v>
      </c>
      <c r="I20" s="248">
        <f t="shared" si="8"/>
        <v>-1.9648827454448292E-2</v>
      </c>
      <c r="J20" s="248">
        <f t="shared" si="8"/>
        <v>-1.0247651579846286E-2</v>
      </c>
      <c r="K20" s="248">
        <f t="shared" si="8"/>
        <v>-3.4545984914781017E-2</v>
      </c>
      <c r="L20" s="248">
        <f t="shared" si="8"/>
        <v>-4.3343462549277269E-2</v>
      </c>
      <c r="M20" s="248">
        <f t="shared" si="8"/>
        <v>1.1740296543697182E-2</v>
      </c>
      <c r="N20" s="248">
        <f t="shared" si="8"/>
        <v>-8.1287687433575905E-3</v>
      </c>
      <c r="O20" s="248">
        <f t="shared" si="8"/>
        <v>-7.9920374589160827E-3</v>
      </c>
      <c r="P20" s="248">
        <f t="shared" si="8"/>
        <v>-7.9786107196711444E-3</v>
      </c>
      <c r="Q20" s="248">
        <f t="shared" si="8"/>
        <v>-8.1926209620575945E-3</v>
      </c>
      <c r="R20" s="248">
        <f t="shared" si="8"/>
        <v>-8.3781600721335968E-3</v>
      </c>
    </row>
    <row r="21" spans="2:18" x14ac:dyDescent="0.2">
      <c r="B21" s="1" t="s">
        <v>401</v>
      </c>
      <c r="C21" s="239"/>
      <c r="D21" s="239"/>
      <c r="E21" s="239"/>
      <c r="F21" s="239"/>
      <c r="G21" s="239"/>
      <c r="H21" s="239"/>
      <c r="I21" s="239"/>
      <c r="J21" s="239"/>
      <c r="K21" s="239"/>
      <c r="L21" s="239"/>
      <c r="M21" s="239"/>
      <c r="N21" s="239">
        <f>N140</f>
        <v>1900</v>
      </c>
      <c r="O21" s="239">
        <f>O140</f>
        <v>1710</v>
      </c>
      <c r="P21" s="239">
        <f>P140</f>
        <v>1539</v>
      </c>
      <c r="Q21" s="239">
        <f>Q140</f>
        <v>1385.1000000000001</v>
      </c>
      <c r="R21" s="239">
        <f>R140</f>
        <v>1246.5900000000001</v>
      </c>
    </row>
    <row r="22" spans="2:18" x14ac:dyDescent="0.2">
      <c r="B22" s="14" t="s">
        <v>402</v>
      </c>
      <c r="C22" s="248">
        <f t="shared" ref="C22:R22" si="9">C21/C5</f>
        <v>0</v>
      </c>
      <c r="D22" s="248">
        <f t="shared" si="9"/>
        <v>0</v>
      </c>
      <c r="E22" s="248">
        <f t="shared" si="9"/>
        <v>0</v>
      </c>
      <c r="F22" s="248">
        <f t="shared" si="9"/>
        <v>0</v>
      </c>
      <c r="G22" s="248">
        <f t="shared" si="9"/>
        <v>0</v>
      </c>
      <c r="H22" s="248">
        <f t="shared" si="9"/>
        <v>0</v>
      </c>
      <c r="I22" s="248">
        <f t="shared" si="9"/>
        <v>0</v>
      </c>
      <c r="J22" s="248">
        <f t="shared" si="9"/>
        <v>0</v>
      </c>
      <c r="K22" s="248">
        <f t="shared" si="9"/>
        <v>0</v>
      </c>
      <c r="L22" s="248">
        <f t="shared" si="9"/>
        <v>0</v>
      </c>
      <c r="M22" s="248">
        <f t="shared" si="9"/>
        <v>0</v>
      </c>
      <c r="N22" s="248">
        <f t="shared" si="9"/>
        <v>3.3054383333075275E-2</v>
      </c>
      <c r="O22" s="248">
        <f t="shared" si="9"/>
        <v>2.785576000355984E-2</v>
      </c>
      <c r="P22" s="248">
        <f t="shared" si="9"/>
        <v>2.3836253075441686E-2</v>
      </c>
      <c r="Q22" s="248">
        <f t="shared" si="9"/>
        <v>2.0979096679931655E-2</v>
      </c>
      <c r="R22" s="248">
        <f t="shared" si="9"/>
        <v>1.8389324905974187E-2</v>
      </c>
    </row>
    <row r="23" spans="2:18" x14ac:dyDescent="0.2">
      <c r="B23" s="14"/>
      <c r="C23" s="14"/>
      <c r="D23" s="14"/>
      <c r="E23" s="249"/>
      <c r="F23" s="249"/>
      <c r="G23" s="249"/>
      <c r="H23" s="249"/>
      <c r="I23" s="249"/>
      <c r="J23" s="249"/>
      <c r="K23" s="249"/>
      <c r="L23" s="249"/>
      <c r="M23" s="249"/>
      <c r="N23" s="249"/>
      <c r="O23" s="249"/>
      <c r="P23" s="249"/>
      <c r="Q23" s="249"/>
      <c r="R23" s="249"/>
    </row>
    <row r="24" spans="2:18" x14ac:dyDescent="0.2">
      <c r="B24" s="250" t="s">
        <v>403</v>
      </c>
      <c r="C24" s="251">
        <f>C11-C14-C17-C19-C21</f>
        <v>10334</v>
      </c>
      <c r="D24" s="251">
        <f t="shared" ref="D24:L24" si="10">D11-D14-D17-D19-D21</f>
        <v>7779</v>
      </c>
      <c r="E24" s="251">
        <f t="shared" si="10"/>
        <v>6760</v>
      </c>
      <c r="F24" s="251">
        <f t="shared" si="10"/>
        <v>6403</v>
      </c>
      <c r="G24" s="251">
        <f t="shared" si="10"/>
        <v>5675</v>
      </c>
      <c r="H24" s="251">
        <f t="shared" si="10"/>
        <v>7666</v>
      </c>
      <c r="I24" s="251">
        <f t="shared" si="10"/>
        <v>9760.6000000000058</v>
      </c>
      <c r="J24" s="251">
        <f t="shared" si="10"/>
        <v>12721</v>
      </c>
      <c r="K24" s="251">
        <f t="shared" si="10"/>
        <v>10141</v>
      </c>
      <c r="L24" s="251">
        <f t="shared" si="10"/>
        <v>15310</v>
      </c>
      <c r="M24" s="251">
        <f>M11-M14-M17-M19-M21</f>
        <v>17586</v>
      </c>
      <c r="N24" s="251">
        <f>N11-N14-N17-N19-N21</f>
        <v>19697.590280000004</v>
      </c>
      <c r="O24" s="251">
        <f t="shared" ref="O24:R24" si="11">O11-O14-O17-O19-O21</f>
        <v>24133.717204727036</v>
      </c>
      <c r="P24" s="251">
        <f>P11-P14-P17-P19-P21</f>
        <v>26803.880894884755</v>
      </c>
      <c r="Q24" s="251">
        <f t="shared" si="11"/>
        <v>28205.859456723785</v>
      </c>
      <c r="R24" s="251">
        <f t="shared" si="11"/>
        <v>29961.88630343819</v>
      </c>
    </row>
    <row r="25" spans="2:18" x14ac:dyDescent="0.2">
      <c r="B25" s="14" t="s">
        <v>404</v>
      </c>
      <c r="C25" s="248">
        <f t="shared" ref="C25:R25" si="12">C24/C5</f>
        <v>0.21863033405970339</v>
      </c>
      <c r="D25" s="248">
        <f t="shared" si="12"/>
        <v>0.17666295732745896</v>
      </c>
      <c r="E25" s="248">
        <f t="shared" si="12"/>
        <v>0.1600492459218221</v>
      </c>
      <c r="F25" s="248">
        <f t="shared" si="12"/>
        <v>0.16210947389741254</v>
      </c>
      <c r="G25" s="248">
        <f t="shared" si="12"/>
        <v>0.14256286582761826</v>
      </c>
      <c r="H25" s="248">
        <f t="shared" si="12"/>
        <v>0.19106724490304572</v>
      </c>
      <c r="I25" s="248">
        <f t="shared" si="12"/>
        <v>0.23078741907567765</v>
      </c>
      <c r="J25" s="248">
        <f t="shared" si="12"/>
        <v>0.27158411614005123</v>
      </c>
      <c r="K25" s="248">
        <f t="shared" si="12"/>
        <v>0.21129724548901946</v>
      </c>
      <c r="L25" s="248">
        <f t="shared" si="12"/>
        <v>0.31434789750328518</v>
      </c>
      <c r="M25" s="248">
        <f t="shared" si="12"/>
        <v>0.29664490663427961</v>
      </c>
      <c r="N25" s="248">
        <f t="shared" si="12"/>
        <v>0.34267984202788304</v>
      </c>
      <c r="O25" s="248">
        <f t="shared" si="12"/>
        <v>0.39313627745535634</v>
      </c>
      <c r="P25" s="248">
        <f t="shared" si="12"/>
        <v>0.41514235764422958</v>
      </c>
      <c r="Q25" s="248">
        <f t="shared" si="12"/>
        <v>0.42721352428212606</v>
      </c>
      <c r="R25" s="248">
        <f t="shared" si="12"/>
        <v>0.44198883516615944</v>
      </c>
    </row>
    <row r="26" spans="2:18" x14ac:dyDescent="0.2">
      <c r="B26" s="14" t="s">
        <v>405</v>
      </c>
      <c r="C26" s="14"/>
      <c r="D26" s="248">
        <f t="shared" ref="D26:R26" si="13">D24/C24-1</f>
        <v>-0.24724211341203794</v>
      </c>
      <c r="E26" s="248">
        <f t="shared" si="13"/>
        <v>-0.13099370098984442</v>
      </c>
      <c r="F26" s="248">
        <f t="shared" si="13"/>
        <v>-5.2810650887573973E-2</v>
      </c>
      <c r="G26" s="248">
        <f t="shared" si="13"/>
        <v>-0.11369670466968607</v>
      </c>
      <c r="H26" s="248">
        <f t="shared" si="13"/>
        <v>0.35083700440528642</v>
      </c>
      <c r="I26" s="248">
        <f t="shared" si="13"/>
        <v>0.27323245499608739</v>
      </c>
      <c r="J26" s="248">
        <f t="shared" si="13"/>
        <v>0.30330102657623437</v>
      </c>
      <c r="K26" s="248">
        <f t="shared" si="13"/>
        <v>-0.20281424416319471</v>
      </c>
      <c r="L26" s="248">
        <f t="shared" si="13"/>
        <v>0.50971304605068535</v>
      </c>
      <c r="M26" s="248">
        <f t="shared" si="13"/>
        <v>0.14866100587851072</v>
      </c>
      <c r="N26" s="248">
        <f t="shared" si="13"/>
        <v>0.12007223245763687</v>
      </c>
      <c r="O26" s="248">
        <f t="shared" si="13"/>
        <v>0.22521165592683001</v>
      </c>
      <c r="P26" s="248">
        <f t="shared" si="13"/>
        <v>0.11064038198121917</v>
      </c>
      <c r="Q26" s="248">
        <f t="shared" si="13"/>
        <v>5.2305058634497303E-2</v>
      </c>
      <c r="R26" s="248">
        <f t="shared" si="13"/>
        <v>6.225751955577441E-2</v>
      </c>
    </row>
    <row r="28" spans="2:18" x14ac:dyDescent="0.2">
      <c r="B28" s="1" t="s">
        <v>406</v>
      </c>
      <c r="C28" s="239">
        <v>664</v>
      </c>
      <c r="D28" s="239">
        <v>1709</v>
      </c>
      <c r="E28" s="239">
        <v>1013</v>
      </c>
      <c r="F28" s="239">
        <v>619</v>
      </c>
      <c r="G28" s="239">
        <v>651</v>
      </c>
      <c r="H28" s="239">
        <v>776</v>
      </c>
      <c r="I28" s="239">
        <v>632</v>
      </c>
      <c r="J28" s="239">
        <v>638</v>
      </c>
      <c r="K28" s="239">
        <v>578</v>
      </c>
      <c r="L28" s="239">
        <v>661</v>
      </c>
      <c r="M28" s="239">
        <v>337</v>
      </c>
      <c r="N28" s="239">
        <f>Earnings!AJ33*0.02</f>
        <v>343.83179864800007</v>
      </c>
      <c r="O28" s="239">
        <f>Earnings!AK33*0.02</f>
        <v>410.64586987799618</v>
      </c>
      <c r="P28" s="239">
        <f>Earnings!AL33*0.02</f>
        <v>450.61253148559848</v>
      </c>
      <c r="Q28" s="239">
        <f>Earnings!AM33*0.02</f>
        <v>469.8338756903425</v>
      </c>
      <c r="R28" s="239">
        <f>Earnings!AN33*0.02</f>
        <v>495.04028681821819</v>
      </c>
    </row>
    <row r="29" spans="2:18" x14ac:dyDescent="0.2">
      <c r="B29" s="1" t="s">
        <v>407</v>
      </c>
      <c r="C29" s="239"/>
      <c r="D29" s="239"/>
      <c r="E29" s="239"/>
      <c r="F29" s="239"/>
      <c r="G29" s="239"/>
      <c r="H29" s="239"/>
      <c r="I29" s="239"/>
      <c r="J29" s="239"/>
      <c r="K29" s="239"/>
      <c r="L29" s="239"/>
      <c r="M29" s="239"/>
      <c r="N29" s="239"/>
      <c r="O29" s="239"/>
      <c r="P29" s="239"/>
      <c r="Q29" s="239"/>
      <c r="R29" s="239"/>
    </row>
    <row r="30" spans="2:18" x14ac:dyDescent="0.2">
      <c r="B30" s="1" t="s">
        <v>408</v>
      </c>
      <c r="C30" s="239">
        <v>449</v>
      </c>
      <c r="D30" s="239">
        <v>-12</v>
      </c>
      <c r="E30" s="239">
        <v>-12002</v>
      </c>
      <c r="F30" s="239"/>
      <c r="G30" s="239"/>
      <c r="H30" s="239"/>
      <c r="I30" s="239"/>
      <c r="J30" s="239"/>
      <c r="K30" s="239"/>
      <c r="L30" s="239"/>
      <c r="M30" s="239"/>
      <c r="N30" s="239"/>
      <c r="O30" s="239"/>
      <c r="P30" s="239"/>
      <c r="Q30" s="239"/>
      <c r="R30" s="239"/>
    </row>
    <row r="32" spans="2:18" x14ac:dyDescent="0.2">
      <c r="B32" s="250" t="s">
        <v>409</v>
      </c>
      <c r="C32" s="251">
        <f>C24-C28-C29-C30</f>
        <v>9221</v>
      </c>
      <c r="D32" s="251">
        <f t="shared" ref="D32:M32" si="14">D24-D28-D29-D30</f>
        <v>6082</v>
      </c>
      <c r="E32" s="251">
        <f t="shared" si="14"/>
        <v>17749</v>
      </c>
      <c r="F32" s="251">
        <f t="shared" si="14"/>
        <v>5784</v>
      </c>
      <c r="G32" s="251">
        <f t="shared" si="14"/>
        <v>5024</v>
      </c>
      <c r="H32" s="251">
        <f t="shared" si="14"/>
        <v>6890</v>
      </c>
      <c r="I32" s="251">
        <f t="shared" si="14"/>
        <v>9128.6000000000058</v>
      </c>
      <c r="J32" s="251">
        <f t="shared" si="14"/>
        <v>12083</v>
      </c>
      <c r="K32" s="251">
        <f t="shared" si="14"/>
        <v>9563</v>
      </c>
      <c r="L32" s="251">
        <f t="shared" si="14"/>
        <v>14649</v>
      </c>
      <c r="M32" s="251">
        <f t="shared" si="14"/>
        <v>17249</v>
      </c>
      <c r="N32" s="251">
        <f>N24-N28-N29-N30</f>
        <v>19353.758481352004</v>
      </c>
      <c r="O32" s="251">
        <f t="shared" ref="O32:R32" si="15">O24-O28-O29-O30</f>
        <v>23723.071334849039</v>
      </c>
      <c r="P32" s="251">
        <f t="shared" si="15"/>
        <v>26353.268363399155</v>
      </c>
      <c r="Q32" s="251">
        <f t="shared" si="15"/>
        <v>27736.025581033442</v>
      </c>
      <c r="R32" s="251">
        <f t="shared" si="15"/>
        <v>29466.846016619973</v>
      </c>
    </row>
    <row r="34" spans="2:18" x14ac:dyDescent="0.2">
      <c r="B34" s="1" t="s">
        <v>410</v>
      </c>
      <c r="C34" s="239">
        <v>714</v>
      </c>
      <c r="D34" s="239">
        <v>801</v>
      </c>
      <c r="E34" s="239">
        <v>732</v>
      </c>
      <c r="F34" s="239">
        <v>672</v>
      </c>
      <c r="G34" s="239">
        <v>693</v>
      </c>
      <c r="H34" s="239">
        <v>754</v>
      </c>
      <c r="I34" s="239">
        <v>772</v>
      </c>
      <c r="J34" s="239">
        <v>893</v>
      </c>
      <c r="K34" s="239">
        <v>831</v>
      </c>
      <c r="L34" s="239">
        <v>806</v>
      </c>
      <c r="M34" s="239">
        <v>962</v>
      </c>
      <c r="N34" s="239">
        <v>925</v>
      </c>
      <c r="O34" s="239">
        <f>N34*1.08</f>
        <v>999.00000000000011</v>
      </c>
      <c r="P34" s="239">
        <f>O34*1.08</f>
        <v>1078.9200000000003</v>
      </c>
      <c r="Q34" s="239">
        <f>P34*1.08</f>
        <v>1165.2336000000005</v>
      </c>
      <c r="R34" s="239">
        <f>Q34*1.08</f>
        <v>1258.4522880000006</v>
      </c>
    </row>
    <row r="35" spans="2:18" x14ac:dyDescent="0.2">
      <c r="B35" s="14" t="s">
        <v>411</v>
      </c>
      <c r="C35" s="14"/>
      <c r="D35" s="248">
        <f t="shared" ref="D35:M35" si="16">D34/((D108+C108+D113+C113)/2)</f>
        <v>3.510925069582941E-2</v>
      </c>
      <c r="E35" s="248">
        <f t="shared" si="16"/>
        <v>3.1508942599487763E-2</v>
      </c>
      <c r="F35" s="248">
        <f t="shared" si="16"/>
        <v>2.8048500532170211E-2</v>
      </c>
      <c r="G35" s="248">
        <f t="shared" si="16"/>
        <v>2.6988083184048602E-2</v>
      </c>
      <c r="H35" s="248">
        <f t="shared" si="16"/>
        <v>3.0618045967676439E-2</v>
      </c>
      <c r="I35" s="248">
        <f t="shared" si="16"/>
        <v>3.1176803166141669E-2</v>
      </c>
      <c r="J35" s="248">
        <f t="shared" si="16"/>
        <v>3.4706568208317141E-2</v>
      </c>
      <c r="K35" s="248">
        <f t="shared" si="16"/>
        <v>2.8587646421383971E-2</v>
      </c>
      <c r="L35" s="248">
        <f t="shared" si="16"/>
        <v>2.4840891929792119E-2</v>
      </c>
      <c r="M35" s="248">
        <f t="shared" si="16"/>
        <v>3.0160048908187419E-2</v>
      </c>
      <c r="N35" s="248">
        <f>N34/((N108+M110+N113+M115)/2)</f>
        <v>3.2855595219066898E-2</v>
      </c>
      <c r="O35" s="248">
        <f>O34/((O108+N108+O113+N113)/2)</f>
        <v>3.2287256391196152E-2</v>
      </c>
      <c r="P35" s="248">
        <f>P34/((P108+O108+P113+O113)/2)</f>
        <v>3.7279983414533029E-2</v>
      </c>
      <c r="Q35" s="248">
        <f>Q34/((Q108+P108+Q113+P113)/2)</f>
        <v>4.2270681274033245E-2</v>
      </c>
      <c r="R35" s="248">
        <f>R34/((R108+Q108+R113+Q113)/2)</f>
        <v>4.6929157517899785E-2</v>
      </c>
    </row>
    <row r="36" spans="2:18" x14ac:dyDescent="0.2">
      <c r="B36" s="1" t="s">
        <v>412</v>
      </c>
      <c r="C36" s="239">
        <v>232</v>
      </c>
      <c r="D36" s="239">
        <v>264</v>
      </c>
      <c r="E36" s="239">
        <v>266</v>
      </c>
      <c r="F36" s="239">
        <v>289</v>
      </c>
      <c r="G36" s="239">
        <v>328</v>
      </c>
      <c r="H36" s="239">
        <v>385</v>
      </c>
      <c r="I36" s="239">
        <v>343</v>
      </c>
      <c r="J36" s="239">
        <v>274</v>
      </c>
      <c r="K36" s="239">
        <v>59</v>
      </c>
      <c r="L36" s="239">
        <v>36</v>
      </c>
      <c r="M36" s="239">
        <v>157</v>
      </c>
      <c r="N36" s="239">
        <v>50</v>
      </c>
      <c r="O36" s="239">
        <f>N36*1.06</f>
        <v>53</v>
      </c>
      <c r="P36" s="239">
        <f t="shared" ref="P36:R36" si="17">O36*1.06</f>
        <v>56.18</v>
      </c>
      <c r="Q36" s="239">
        <f t="shared" si="17"/>
        <v>59.550800000000002</v>
      </c>
      <c r="R36" s="239">
        <f t="shared" si="17"/>
        <v>63.123848000000002</v>
      </c>
    </row>
    <row r="37" spans="2:18" x14ac:dyDescent="0.2">
      <c r="B37" s="14" t="s">
        <v>413</v>
      </c>
      <c r="C37" s="14"/>
      <c r="D37" s="248">
        <f t="shared" ref="D37:M37" si="18">D36/((D88+C88+D89+C89)/2)</f>
        <v>1.5701668302257114E-2</v>
      </c>
      <c r="E37" s="248">
        <f t="shared" si="18"/>
        <v>1.6021683481403402E-2</v>
      </c>
      <c r="F37" s="248">
        <f t="shared" si="18"/>
        <v>1.9831194675084058E-2</v>
      </c>
      <c r="G37" s="248">
        <f t="shared" si="18"/>
        <v>2.3624315759147221E-2</v>
      </c>
      <c r="H37" s="248">
        <f t="shared" si="18"/>
        <v>3.37142606944262E-2</v>
      </c>
      <c r="I37" s="248">
        <f t="shared" si="18"/>
        <v>3.9511577007257229E-2</v>
      </c>
      <c r="J37" s="248">
        <f t="shared" si="18"/>
        <v>2.8373200786993891E-2</v>
      </c>
      <c r="K37" s="248">
        <f t="shared" si="18"/>
        <v>6.3742437337942952E-3</v>
      </c>
      <c r="L37" s="248">
        <f t="shared" si="18"/>
        <v>4.4559970293353134E-3</v>
      </c>
      <c r="M37" s="248">
        <f t="shared" si="18"/>
        <v>1.4750093949642992E-2</v>
      </c>
      <c r="N37" s="248">
        <f>N36/((N88+M90+N89+M91)/2)</f>
        <v>3.3257660343545994E-3</v>
      </c>
      <c r="O37" s="248">
        <f>O36/((O88+N88+O89+N89)/2)</f>
        <v>2.3716587498228583E-3</v>
      </c>
      <c r="P37" s="248">
        <f>P36/((P88+O88+P89+O89)/2)</f>
        <v>2.125430758217515E-3</v>
      </c>
      <c r="Q37" s="248">
        <f>Q36/((Q88+P88+Q89+P89)/2)</f>
        <v>1.8596982901734384E-3</v>
      </c>
      <c r="R37" s="248">
        <f>R36/((R88+Q88+R89+Q89)/2)</f>
        <v>1.6232045328658455E-3</v>
      </c>
    </row>
    <row r="39" spans="2:18" x14ac:dyDescent="0.2">
      <c r="B39" s="250" t="s">
        <v>414</v>
      </c>
      <c r="C39" s="251">
        <f>C32-C34+C36</f>
        <v>8739</v>
      </c>
      <c r="D39" s="251">
        <f t="shared" ref="D39:R39" si="19">D32-D34+D36</f>
        <v>5545</v>
      </c>
      <c r="E39" s="251">
        <f t="shared" si="19"/>
        <v>17283</v>
      </c>
      <c r="F39" s="251">
        <f t="shared" si="19"/>
        <v>5401</v>
      </c>
      <c r="G39" s="251">
        <f t="shared" si="19"/>
        <v>4659</v>
      </c>
      <c r="H39" s="251">
        <f t="shared" si="19"/>
        <v>6521</v>
      </c>
      <c r="I39" s="251">
        <f t="shared" si="19"/>
        <v>8699.6000000000058</v>
      </c>
      <c r="J39" s="251">
        <f t="shared" si="19"/>
        <v>11464</v>
      </c>
      <c r="K39" s="251">
        <f t="shared" si="19"/>
        <v>8791</v>
      </c>
      <c r="L39" s="251">
        <f t="shared" si="19"/>
        <v>13879</v>
      </c>
      <c r="M39" s="251">
        <f t="shared" si="19"/>
        <v>16444</v>
      </c>
      <c r="N39" s="251">
        <f t="shared" si="19"/>
        <v>18478.758481352004</v>
      </c>
      <c r="O39" s="251">
        <f t="shared" si="19"/>
        <v>22777.071334849039</v>
      </c>
      <c r="P39" s="251">
        <f t="shared" si="19"/>
        <v>25330.528363399153</v>
      </c>
      <c r="Q39" s="251">
        <f t="shared" si="19"/>
        <v>26630.342781033443</v>
      </c>
      <c r="R39" s="251">
        <f t="shared" si="19"/>
        <v>28271.517576619972</v>
      </c>
    </row>
    <row r="40" spans="2:18" x14ac:dyDescent="0.2">
      <c r="B40" s="14" t="s">
        <v>415</v>
      </c>
      <c r="C40" s="248">
        <f t="shared" ref="C40:R40" si="20">C39/C5</f>
        <v>0.18488586117164194</v>
      </c>
      <c r="D40" s="248">
        <f t="shared" si="20"/>
        <v>0.12592828106193082</v>
      </c>
      <c r="E40" s="248">
        <f t="shared" si="20"/>
        <v>0.40919099367852829</v>
      </c>
      <c r="F40" s="248">
        <f t="shared" si="20"/>
        <v>0.13674110081523116</v>
      </c>
      <c r="G40" s="248">
        <f t="shared" si="20"/>
        <v>0.11703971663275303</v>
      </c>
      <c r="H40" s="248">
        <f t="shared" si="20"/>
        <v>0.16252928567868002</v>
      </c>
      <c r="I40" s="248">
        <f t="shared" si="20"/>
        <v>0.2057002879936444</v>
      </c>
      <c r="J40" s="248">
        <f t="shared" si="20"/>
        <v>0.24474807856532879</v>
      </c>
      <c r="K40" s="248">
        <f t="shared" si="20"/>
        <v>0.1831687294245114</v>
      </c>
      <c r="L40" s="248">
        <f t="shared" si="20"/>
        <v>0.28496632720105125</v>
      </c>
      <c r="M40" s="248">
        <f t="shared" si="20"/>
        <v>0.27738137408700642</v>
      </c>
      <c r="N40" s="248">
        <f t="shared" si="20"/>
        <v>0.32147577176943426</v>
      </c>
      <c r="O40" s="248">
        <f t="shared" si="20"/>
        <v>0.37103662730264164</v>
      </c>
      <c r="P40" s="248">
        <f t="shared" si="20"/>
        <v>0.39232286199131639</v>
      </c>
      <c r="Q40" s="248">
        <f t="shared" si="20"/>
        <v>0.40335032548048561</v>
      </c>
      <c r="R40" s="248">
        <f t="shared" si="20"/>
        <v>0.41705301847554094</v>
      </c>
    </row>
    <row r="42" spans="2:18" x14ac:dyDescent="0.2">
      <c r="B42" s="1" t="s">
        <v>416</v>
      </c>
      <c r="C42" s="239">
        <v>2440</v>
      </c>
      <c r="D42" s="239">
        <v>1028</v>
      </c>
      <c r="E42" s="239">
        <v>5349</v>
      </c>
      <c r="F42" s="239">
        <v>942</v>
      </c>
      <c r="G42" s="239">
        <v>718</v>
      </c>
      <c r="H42" s="239">
        <v>4103</v>
      </c>
      <c r="I42" s="239">
        <v>2508</v>
      </c>
      <c r="J42" s="239">
        <v>1687</v>
      </c>
      <c r="K42" s="239">
        <v>1709</v>
      </c>
      <c r="L42" s="239">
        <v>1521</v>
      </c>
      <c r="M42" s="239">
        <v>1918</v>
      </c>
      <c r="N42" s="239">
        <f>N39*Earnings!AJ52</f>
        <v>3141.3889418298409</v>
      </c>
      <c r="O42" s="239">
        <f>O39*Earnings!AK52</f>
        <v>3985.9874835985815</v>
      </c>
      <c r="P42" s="239">
        <f>P39*Earnings!AL52</f>
        <v>4432.8424635948513</v>
      </c>
      <c r="Q42" s="239">
        <f>Q39*Earnings!AM52</f>
        <v>4660.3099866808525</v>
      </c>
      <c r="R42" s="239">
        <f>R39*Earnings!AN52</f>
        <v>4947.5155759084946</v>
      </c>
    </row>
    <row r="43" spans="2:18" x14ac:dyDescent="0.2">
      <c r="B43" s="14" t="s">
        <v>417</v>
      </c>
      <c r="C43" s="248">
        <f t="shared" ref="C43:R43" si="21">C42/C39</f>
        <v>0.27920814738528438</v>
      </c>
      <c r="D43" s="248">
        <f t="shared" si="21"/>
        <v>0.18539224526600542</v>
      </c>
      <c r="E43" s="248">
        <f t="shared" si="21"/>
        <v>0.309494879361222</v>
      </c>
      <c r="F43" s="248">
        <f t="shared" si="21"/>
        <v>0.17441214589890761</v>
      </c>
      <c r="G43" s="248">
        <f t="shared" si="21"/>
        <v>0.15411032410388495</v>
      </c>
      <c r="H43" s="248">
        <f t="shared" si="21"/>
        <v>0.62919797577058734</v>
      </c>
      <c r="I43" s="248">
        <f t="shared" si="21"/>
        <v>0.28828911674099938</v>
      </c>
      <c r="J43" s="248">
        <f t="shared" si="21"/>
        <v>0.14715631542219121</v>
      </c>
      <c r="K43" s="248">
        <f t="shared" si="21"/>
        <v>0.19440336707996814</v>
      </c>
      <c r="L43" s="248">
        <f t="shared" si="21"/>
        <v>0.1095900281000072</v>
      </c>
      <c r="M43" s="248">
        <f t="shared" si="21"/>
        <v>0.11663828752128436</v>
      </c>
      <c r="N43" s="248">
        <f t="shared" si="21"/>
        <v>0.17</v>
      </c>
      <c r="O43" s="248">
        <f t="shared" si="21"/>
        <v>0.17499999999999999</v>
      </c>
      <c r="P43" s="248">
        <f t="shared" si="21"/>
        <v>0.17499999999999999</v>
      </c>
      <c r="Q43" s="248">
        <f t="shared" si="21"/>
        <v>0.17499999999999999</v>
      </c>
      <c r="R43" s="248">
        <f t="shared" si="21"/>
        <v>0.17499999999999999</v>
      </c>
    </row>
    <row r="45" spans="2:18" x14ac:dyDescent="0.2">
      <c r="B45" s="1" t="s">
        <v>418</v>
      </c>
      <c r="C45" s="239"/>
      <c r="D45" s="239"/>
      <c r="E45" s="239"/>
      <c r="F45" s="239"/>
      <c r="G45" s="239"/>
      <c r="H45" s="239"/>
      <c r="I45" s="239"/>
      <c r="J45" s="239"/>
      <c r="K45" s="239"/>
      <c r="L45" s="239">
        <v>704</v>
      </c>
      <c r="M45" s="239">
        <v>0</v>
      </c>
      <c r="N45" s="239"/>
      <c r="O45" s="239"/>
      <c r="P45" s="239"/>
      <c r="Q45" s="239"/>
      <c r="R45" s="239"/>
    </row>
    <row r="46" spans="2:18" x14ac:dyDescent="0.2">
      <c r="B46" s="1" t="s">
        <v>419</v>
      </c>
      <c r="C46" s="239"/>
      <c r="D46" s="239"/>
      <c r="E46" s="239"/>
      <c r="F46" s="239"/>
      <c r="G46" s="239"/>
      <c r="H46" s="239"/>
      <c r="I46" s="239"/>
      <c r="J46" s="239"/>
      <c r="K46" s="239"/>
      <c r="L46" s="239"/>
      <c r="M46" s="239"/>
      <c r="N46" s="239"/>
      <c r="O46" s="239"/>
      <c r="P46" s="239"/>
      <c r="Q46" s="239"/>
      <c r="R46" s="239"/>
    </row>
    <row r="47" spans="2:18" x14ac:dyDescent="0.2">
      <c r="B47" s="1" t="s">
        <v>420</v>
      </c>
      <c r="C47" s="239">
        <v>-131</v>
      </c>
      <c r="D47" s="239">
        <v>-113</v>
      </c>
      <c r="E47" s="239">
        <v>-14</v>
      </c>
      <c r="F47" s="239">
        <v>-17</v>
      </c>
      <c r="G47" s="239">
        <v>-21</v>
      </c>
      <c r="H47" s="239">
        <v>-24</v>
      </c>
      <c r="I47" s="239">
        <v>27</v>
      </c>
      <c r="J47" s="239">
        <v>66</v>
      </c>
      <c r="K47" s="239">
        <v>-15</v>
      </c>
      <c r="L47" s="239">
        <v>-13</v>
      </c>
      <c r="M47" s="239">
        <v>-7</v>
      </c>
      <c r="N47" s="239">
        <f>-Earnings!AJ32</f>
        <v>-8.1599999999999984</v>
      </c>
      <c r="O47" s="239">
        <f>-Earnings!AK32</f>
        <v>-8.3231999999999982</v>
      </c>
      <c r="P47" s="239">
        <f>-Earnings!AL32</f>
        <v>-8.4896639999999977</v>
      </c>
      <c r="Q47" s="239">
        <f>-Earnings!AM32</f>
        <v>-8.659457279999998</v>
      </c>
      <c r="R47" s="239">
        <f>-Earnings!AN32</f>
        <v>-8.8326464255999984</v>
      </c>
    </row>
    <row r="48" spans="2:18" x14ac:dyDescent="0.2">
      <c r="B48" s="1" t="s">
        <v>421</v>
      </c>
      <c r="C48" s="239">
        <v>0</v>
      </c>
      <c r="D48" s="239">
        <v>0</v>
      </c>
      <c r="E48" s="239">
        <v>0</v>
      </c>
      <c r="F48" s="239">
        <v>0</v>
      </c>
      <c r="G48" s="239">
        <v>0</v>
      </c>
      <c r="H48" s="239">
        <v>0</v>
      </c>
      <c r="I48" s="239">
        <v>0</v>
      </c>
      <c r="J48" s="239">
        <v>0</v>
      </c>
      <c r="K48" s="239">
        <v>0</v>
      </c>
      <c r="L48" s="239">
        <v>0</v>
      </c>
      <c r="M48" s="239">
        <v>0</v>
      </c>
      <c r="N48" s="239">
        <f t="shared" ref="N48:R48" si="22">M48</f>
        <v>0</v>
      </c>
      <c r="O48" s="239">
        <f t="shared" si="22"/>
        <v>0</v>
      </c>
      <c r="P48" s="239">
        <f t="shared" si="22"/>
        <v>0</v>
      </c>
      <c r="Q48" s="239">
        <f t="shared" si="22"/>
        <v>0</v>
      </c>
      <c r="R48" s="239">
        <f t="shared" si="22"/>
        <v>0</v>
      </c>
    </row>
    <row r="50" spans="2:18" x14ac:dyDescent="0.2">
      <c r="B50" s="250" t="s">
        <v>364</v>
      </c>
      <c r="C50" s="251">
        <f t="shared" ref="C50:R50" si="23">C39-C42+C45+C46+C47+C48</f>
        <v>6168</v>
      </c>
      <c r="D50" s="251">
        <f t="shared" si="23"/>
        <v>4404</v>
      </c>
      <c r="E50" s="251">
        <f t="shared" si="23"/>
        <v>11920</v>
      </c>
      <c r="F50" s="251">
        <f t="shared" si="23"/>
        <v>4442</v>
      </c>
      <c r="G50" s="251">
        <f t="shared" si="23"/>
        <v>3920</v>
      </c>
      <c r="H50" s="251">
        <f t="shared" si="23"/>
        <v>2394</v>
      </c>
      <c r="I50" s="251">
        <f t="shared" si="23"/>
        <v>6218.6000000000058</v>
      </c>
      <c r="J50" s="251">
        <f t="shared" si="23"/>
        <v>9843</v>
      </c>
      <c r="K50" s="251">
        <f t="shared" si="23"/>
        <v>7067</v>
      </c>
      <c r="L50" s="251">
        <f t="shared" si="23"/>
        <v>13049</v>
      </c>
      <c r="M50" s="251">
        <f t="shared" si="23"/>
        <v>14519</v>
      </c>
      <c r="N50" s="251">
        <f>N39-N42+N45+N46+N47+N48</f>
        <v>15329.209539522164</v>
      </c>
      <c r="O50" s="251">
        <f t="shared" si="23"/>
        <v>18782.760651250457</v>
      </c>
      <c r="P50" s="251">
        <f t="shared" si="23"/>
        <v>20889.196235804302</v>
      </c>
      <c r="Q50" s="251">
        <f t="shared" si="23"/>
        <v>21961.373337072593</v>
      </c>
      <c r="R50" s="251">
        <f t="shared" si="23"/>
        <v>23315.169354285877</v>
      </c>
    </row>
    <row r="51" spans="2:18" x14ac:dyDescent="0.2">
      <c r="B51" s="14" t="s">
        <v>422</v>
      </c>
      <c r="C51" s="248">
        <f t="shared" ref="C51:R51" si="24">C50/C5</f>
        <v>0.13049273277339371</v>
      </c>
      <c r="D51" s="248">
        <f t="shared" si="24"/>
        <v>0.10001589716803307</v>
      </c>
      <c r="E51" s="248">
        <f t="shared" si="24"/>
        <v>0.28221701351895256</v>
      </c>
      <c r="F51" s="248">
        <f t="shared" si="24"/>
        <v>0.11246139045014937</v>
      </c>
      <c r="G51" s="248">
        <f t="shared" si="24"/>
        <v>9.8475142562865825E-2</v>
      </c>
      <c r="H51" s="248">
        <f t="shared" si="24"/>
        <v>5.9668012561686856E-2</v>
      </c>
      <c r="I51" s="248">
        <f t="shared" si="24"/>
        <v>0.14703754321086915</v>
      </c>
      <c r="J51" s="248">
        <f t="shared" si="24"/>
        <v>0.21014090520922288</v>
      </c>
      <c r="K51" s="248">
        <f t="shared" si="24"/>
        <v>0.14724757261324331</v>
      </c>
      <c r="L51" s="248">
        <f t="shared" si="24"/>
        <v>0.26792460578186594</v>
      </c>
      <c r="M51" s="248">
        <f t="shared" si="24"/>
        <v>0.24491000792807383</v>
      </c>
      <c r="N51" s="248">
        <f t="shared" si="24"/>
        <v>0.26668293069073684</v>
      </c>
      <c r="O51" s="248">
        <f t="shared" si="24"/>
        <v>0.30596963327809357</v>
      </c>
      <c r="P51" s="248">
        <f t="shared" si="24"/>
        <v>0.32353487200727432</v>
      </c>
      <c r="Q51" s="248">
        <f t="shared" si="24"/>
        <v>0.33263286005524456</v>
      </c>
      <c r="R51" s="248">
        <f t="shared" si="24"/>
        <v>0.34393844366935022</v>
      </c>
    </row>
    <row r="53" spans="2:18" x14ac:dyDescent="0.2">
      <c r="B53" s="1" t="s">
        <v>423</v>
      </c>
      <c r="C53" s="239">
        <v>3076</v>
      </c>
      <c r="D53" s="239">
        <v>2996</v>
      </c>
      <c r="E53" s="239">
        <v>2928</v>
      </c>
      <c r="F53" s="239">
        <v>2841</v>
      </c>
      <c r="G53" s="239">
        <v>2787</v>
      </c>
      <c r="H53" s="239">
        <v>2748</v>
      </c>
      <c r="I53" s="239">
        <v>2679</v>
      </c>
      <c r="J53" s="239">
        <v>2580</v>
      </c>
      <c r="K53" s="239">
        <v>2541</v>
      </c>
      <c r="L53" s="239">
        <v>2538</v>
      </c>
      <c r="M53" s="239">
        <v>2542</v>
      </c>
      <c r="N53" s="239">
        <f>Earnings!AJ36</f>
        <v>2504.4581041462502</v>
      </c>
      <c r="O53" s="239">
        <f>Earnings!AK36</f>
        <v>2454.368942063325</v>
      </c>
      <c r="P53" s="239">
        <f>Earnings!AL36</f>
        <v>2405.2815632220586</v>
      </c>
      <c r="Q53" s="239">
        <f>Earnings!AM36</f>
        <v>2357.1759319576172</v>
      </c>
      <c r="R53" s="239">
        <f>Earnings!AN36</f>
        <v>2310.0324133184649</v>
      </c>
    </row>
    <row r="54" spans="2:18" x14ac:dyDescent="0.2">
      <c r="B54" s="1" t="s">
        <v>424</v>
      </c>
      <c r="E54" s="241"/>
      <c r="F54" s="241"/>
      <c r="G54" s="241"/>
      <c r="H54" s="241"/>
      <c r="I54" s="241"/>
      <c r="J54" s="241"/>
      <c r="K54" s="241"/>
      <c r="L54" s="241"/>
      <c r="M54" s="239">
        <v>2542</v>
      </c>
      <c r="N54" s="241">
        <f>M54+N179</f>
        <v>2504.4581041462502</v>
      </c>
      <c r="O54" s="241">
        <f>N54+O179</f>
        <v>2454.368942063325</v>
      </c>
      <c r="P54" s="241">
        <f>O54+P179</f>
        <v>2405.2815632220586</v>
      </c>
      <c r="Q54" s="241">
        <f>P54+Q179</f>
        <v>2357.1759319576172</v>
      </c>
      <c r="R54" s="241">
        <f>Q54+R179</f>
        <v>2310.0324133184649</v>
      </c>
    </row>
    <row r="56" spans="2:18" x14ac:dyDescent="0.2">
      <c r="B56" s="252" t="s">
        <v>425</v>
      </c>
      <c r="C56" s="252">
        <f t="shared" ref="C56:R56" si="25">C50/C53</f>
        <v>2.0052015604681404</v>
      </c>
      <c r="D56" s="252">
        <f t="shared" si="25"/>
        <v>1.4699599465954607</v>
      </c>
      <c r="E56" s="252">
        <f t="shared" si="25"/>
        <v>4.0710382513661205</v>
      </c>
      <c r="F56" s="252">
        <f t="shared" si="25"/>
        <v>1.5635339669130588</v>
      </c>
      <c r="G56" s="252">
        <f t="shared" si="25"/>
        <v>1.406530319339792</v>
      </c>
      <c r="H56" s="252">
        <f t="shared" si="25"/>
        <v>0.87117903930131002</v>
      </c>
      <c r="I56" s="252">
        <f t="shared" si="25"/>
        <v>2.3212392683837275</v>
      </c>
      <c r="J56" s="252">
        <f t="shared" si="25"/>
        <v>3.8151162790697675</v>
      </c>
      <c r="K56" s="252">
        <f t="shared" si="25"/>
        <v>2.7811885084612356</v>
      </c>
      <c r="L56" s="252">
        <f t="shared" si="25"/>
        <v>5.141449960598897</v>
      </c>
      <c r="M56" s="252">
        <f t="shared" si="25"/>
        <v>5.7116443745082615</v>
      </c>
      <c r="N56" s="252">
        <f t="shared" si="25"/>
        <v>6.1207690055361379</v>
      </c>
      <c r="O56" s="252">
        <f t="shared" si="25"/>
        <v>7.6527861518082414</v>
      </c>
      <c r="P56" s="252">
        <f t="shared" si="25"/>
        <v>8.6847197247966363</v>
      </c>
      <c r="Q56" s="252">
        <f t="shared" si="25"/>
        <v>9.316815533083199</v>
      </c>
      <c r="R56" s="252">
        <f t="shared" si="25"/>
        <v>10.093005284195382</v>
      </c>
    </row>
    <row r="57" spans="2:18" x14ac:dyDescent="0.2">
      <c r="B57" s="249" t="s">
        <v>426</v>
      </c>
      <c r="C57" s="249"/>
      <c r="D57" s="248">
        <f t="shared" ref="D57:R57" si="26">D56/C56-1</f>
        <v>-0.26692658953832082</v>
      </c>
      <c r="E57" s="248">
        <f t="shared" si="26"/>
        <v>1.7694892373053808</v>
      </c>
      <c r="F57" s="248">
        <f t="shared" si="26"/>
        <v>-0.61593729403343667</v>
      </c>
      <c r="G57" s="248">
        <f t="shared" si="26"/>
        <v>-0.10041588535696777</v>
      </c>
      <c r="H57" s="248">
        <f t="shared" si="26"/>
        <v>-0.38061837180286973</v>
      </c>
      <c r="I57" s="248">
        <f t="shared" si="26"/>
        <v>1.6644801627061332</v>
      </c>
      <c r="J57" s="248">
        <f t="shared" si="26"/>
        <v>0.64356873116584068</v>
      </c>
      <c r="K57" s="248">
        <f t="shared" si="26"/>
        <v>-0.27100819345423266</v>
      </c>
      <c r="L57" s="248">
        <f t="shared" si="26"/>
        <v>0.84865209422411181</v>
      </c>
      <c r="M57" s="248">
        <f t="shared" si="26"/>
        <v>0.1109014807649602</v>
      </c>
      <c r="N57" s="248">
        <f t="shared" si="26"/>
        <v>7.1629920247459289E-2</v>
      </c>
      <c r="O57" s="248">
        <f t="shared" si="26"/>
        <v>0.25029814797559236</v>
      </c>
      <c r="P57" s="248">
        <f t="shared" si="26"/>
        <v>0.13484416688483636</v>
      </c>
      <c r="Q57" s="248">
        <f t="shared" si="26"/>
        <v>7.2782522443620268E-2</v>
      </c>
      <c r="R57" s="248">
        <f t="shared" si="26"/>
        <v>8.3310627795087244E-2</v>
      </c>
    </row>
    <row r="59" spans="2:18" x14ac:dyDescent="0.2">
      <c r="B59" s="1" t="s">
        <v>427</v>
      </c>
      <c r="C59" s="239">
        <v>5574.6305555555591</v>
      </c>
      <c r="D59" s="239">
        <v>6040</v>
      </c>
      <c r="E59" s="239">
        <v>-1705</v>
      </c>
      <c r="F59" s="239">
        <v>5753</v>
      </c>
      <c r="G59" s="239">
        <v>6617.9</v>
      </c>
      <c r="H59" s="239">
        <v>8539</v>
      </c>
      <c r="I59" s="239">
        <v>5401</v>
      </c>
      <c r="J59" s="239">
        <v>3539</v>
      </c>
      <c r="K59" s="239">
        <v>8015</v>
      </c>
      <c r="L59" s="239">
        <v>2233.25</v>
      </c>
      <c r="M59" s="239">
        <v>4486</v>
      </c>
      <c r="N59" s="239">
        <f>(N28+N21+N29)*(1-N43)</f>
        <v>1862.38039287784</v>
      </c>
      <c r="O59" s="239">
        <f t="shared" ref="O59:R59" si="27">(O28+O21)*(1-O43)</f>
        <v>1749.5328426493468</v>
      </c>
      <c r="P59" s="239">
        <f t="shared" si="27"/>
        <v>1641.4303384756188</v>
      </c>
      <c r="Q59" s="239">
        <f t="shared" si="27"/>
        <v>1530.3204474445326</v>
      </c>
      <c r="R59" s="239">
        <f t="shared" si="27"/>
        <v>1436.8449866250301</v>
      </c>
    </row>
    <row r="60" spans="2:18" x14ac:dyDescent="0.2">
      <c r="B60" s="1" t="s">
        <v>428</v>
      </c>
      <c r="C60" s="241">
        <f t="shared" ref="C60:R60" si="28">C50+C59</f>
        <v>11742.630555555559</v>
      </c>
      <c r="D60" s="241">
        <f t="shared" si="28"/>
        <v>10444</v>
      </c>
      <c r="E60" s="241">
        <f t="shared" si="28"/>
        <v>10215</v>
      </c>
      <c r="F60" s="241">
        <f t="shared" si="28"/>
        <v>10195</v>
      </c>
      <c r="G60" s="241">
        <f t="shared" si="28"/>
        <v>10537.9</v>
      </c>
      <c r="H60" s="241">
        <f t="shared" si="28"/>
        <v>10933</v>
      </c>
      <c r="I60" s="241">
        <f t="shared" si="28"/>
        <v>11619.600000000006</v>
      </c>
      <c r="J60" s="241">
        <f t="shared" si="28"/>
        <v>13382</v>
      </c>
      <c r="K60" s="241">
        <f t="shared" si="28"/>
        <v>15082</v>
      </c>
      <c r="L60" s="241">
        <f t="shared" si="28"/>
        <v>15282.25</v>
      </c>
      <c r="M60" s="241">
        <f t="shared" si="28"/>
        <v>19005</v>
      </c>
      <c r="N60" s="241">
        <f t="shared" si="28"/>
        <v>17191.589932400006</v>
      </c>
      <c r="O60" s="241">
        <f t="shared" si="28"/>
        <v>20532.293493899804</v>
      </c>
      <c r="P60" s="241">
        <f t="shared" si="28"/>
        <v>22530.626574279922</v>
      </c>
      <c r="Q60" s="241">
        <f t="shared" si="28"/>
        <v>23491.693784517127</v>
      </c>
      <c r="R60" s="241">
        <f t="shared" si="28"/>
        <v>24752.014340910908</v>
      </c>
    </row>
    <row r="62" spans="2:18" x14ac:dyDescent="0.2">
      <c r="B62" s="252" t="s">
        <v>429</v>
      </c>
      <c r="C62" s="252">
        <f t="shared" ref="C62:R62" si="29">C60/C53</f>
        <v>3.8175001806097395</v>
      </c>
      <c r="D62" s="252">
        <f t="shared" si="29"/>
        <v>3.485981308411215</v>
      </c>
      <c r="E62" s="252">
        <f t="shared" si="29"/>
        <v>3.4887295081967213</v>
      </c>
      <c r="F62" s="252">
        <f t="shared" si="29"/>
        <v>3.5885251671946499</v>
      </c>
      <c r="G62" s="252">
        <f t="shared" si="29"/>
        <v>3.7810907786149981</v>
      </c>
      <c r="H62" s="252">
        <f t="shared" si="29"/>
        <v>3.9785298398835516</v>
      </c>
      <c r="I62" s="252">
        <f t="shared" si="29"/>
        <v>4.3372900335946269</v>
      </c>
      <c r="J62" s="252">
        <f t="shared" si="29"/>
        <v>5.1868217054263566</v>
      </c>
      <c r="K62" s="252">
        <f t="shared" si="29"/>
        <v>5.9354584809130264</v>
      </c>
      <c r="L62" s="252">
        <f t="shared" si="29"/>
        <v>6.0213750985027579</v>
      </c>
      <c r="M62" s="252">
        <f t="shared" si="29"/>
        <v>7.4763965381589301</v>
      </c>
      <c r="N62" s="252">
        <f t="shared" si="29"/>
        <v>6.8643950976614487</v>
      </c>
      <c r="O62" s="252">
        <f t="shared" si="29"/>
        <v>8.3656100523496821</v>
      </c>
      <c r="P62" s="252">
        <f t="shared" si="29"/>
        <v>9.367147247450907</v>
      </c>
      <c r="Q62" s="252">
        <f t="shared" si="29"/>
        <v>9.9660332799204543</v>
      </c>
      <c r="R62" s="252">
        <f t="shared" si="29"/>
        <v>10.715007373144834</v>
      </c>
    </row>
    <row r="63" spans="2:18" x14ac:dyDescent="0.2">
      <c r="B63" s="249" t="s">
        <v>430</v>
      </c>
      <c r="C63" s="249"/>
      <c r="D63" s="248">
        <f t="shared" ref="D63:R63" si="30">D62/C62-1</f>
        <v>-8.684187465986537E-2</v>
      </c>
      <c r="E63" s="248">
        <f t="shared" si="30"/>
        <v>7.8835757922024463E-4</v>
      </c>
      <c r="F63" s="248">
        <f t="shared" si="30"/>
        <v>2.8605158056381308E-2</v>
      </c>
      <c r="G63" s="248">
        <f t="shared" si="30"/>
        <v>5.3661491127533933E-2</v>
      </c>
      <c r="H63" s="248">
        <f t="shared" si="30"/>
        <v>5.2217487711541999E-2</v>
      </c>
      <c r="I63" s="248">
        <f t="shared" si="30"/>
        <v>9.0174061311445675E-2</v>
      </c>
      <c r="J63" s="248">
        <f t="shared" si="30"/>
        <v>0.19586692733288613</v>
      </c>
      <c r="K63" s="248">
        <f t="shared" si="30"/>
        <v>0.14433439551304805</v>
      </c>
      <c r="L63" s="248">
        <f t="shared" si="30"/>
        <v>1.4475144231236525E-2</v>
      </c>
      <c r="M63" s="248">
        <f t="shared" si="30"/>
        <v>0.24164271712917706</v>
      </c>
      <c r="N63" s="248">
        <f t="shared" si="30"/>
        <v>-8.1857809089428968E-2</v>
      </c>
      <c r="O63" s="248">
        <f t="shared" si="30"/>
        <v>0.21869588409904672</v>
      </c>
      <c r="P63" s="248">
        <f t="shared" si="30"/>
        <v>0.11972076021161415</v>
      </c>
      <c r="Q63" s="248">
        <f t="shared" si="30"/>
        <v>6.3934730249118665E-2</v>
      </c>
      <c r="R63" s="248">
        <f t="shared" si="30"/>
        <v>7.5152678321214417E-2</v>
      </c>
    </row>
    <row r="64" spans="2:18" hidden="1" x14ac:dyDescent="0.2"/>
    <row r="65" spans="2:18" hidden="1" x14ac:dyDescent="0.2">
      <c r="B65" s="242"/>
      <c r="C65" s="242"/>
      <c r="D65" s="242"/>
      <c r="E65" s="242"/>
      <c r="F65" s="242"/>
      <c r="G65" s="242"/>
      <c r="H65" s="242"/>
      <c r="I65" s="242"/>
      <c r="J65" s="242"/>
      <c r="K65" s="242"/>
      <c r="L65" s="242"/>
      <c r="M65" s="242"/>
      <c r="N65" s="242"/>
      <c r="O65" s="242"/>
      <c r="P65" s="242"/>
      <c r="Q65" s="242"/>
      <c r="R65" s="242"/>
    </row>
    <row r="66" spans="2:18" hidden="1" x14ac:dyDescent="0.2">
      <c r="B66" s="253"/>
      <c r="C66" s="254"/>
      <c r="D66" s="254"/>
      <c r="E66" s="254"/>
      <c r="F66" s="254"/>
      <c r="G66" s="254"/>
      <c r="H66" s="254"/>
      <c r="I66" s="254"/>
      <c r="J66" s="254"/>
      <c r="K66" s="254"/>
      <c r="L66" s="254"/>
      <c r="M66" s="254"/>
      <c r="N66" s="254"/>
      <c r="O66" s="254"/>
      <c r="P66" s="254"/>
      <c r="Q66" s="254"/>
      <c r="R66" s="254"/>
    </row>
    <row r="67" spans="2:18" hidden="1" x14ac:dyDescent="0.2">
      <c r="B67" s="255"/>
      <c r="C67" s="243"/>
      <c r="D67" s="256"/>
      <c r="E67" s="256"/>
      <c r="F67" s="256"/>
      <c r="G67" s="256"/>
      <c r="H67" s="256"/>
      <c r="I67" s="256"/>
      <c r="J67" s="256"/>
      <c r="K67" s="256"/>
      <c r="L67" s="256"/>
      <c r="M67" s="256"/>
      <c r="N67" s="256"/>
      <c r="O67" s="256"/>
      <c r="P67" s="256"/>
      <c r="Q67" s="256"/>
      <c r="R67" s="256"/>
    </row>
    <row r="68" spans="2:18" ht="17" thickBot="1" x14ac:dyDescent="0.25"/>
    <row r="69" spans="2:18" x14ac:dyDescent="0.2">
      <c r="B69" s="244"/>
      <c r="C69" s="244"/>
      <c r="D69" s="244"/>
      <c r="E69" s="244"/>
      <c r="F69" s="244"/>
      <c r="G69" s="244"/>
      <c r="H69" s="244"/>
      <c r="I69" s="244"/>
      <c r="J69" s="244"/>
      <c r="K69" s="244"/>
      <c r="L69" s="244"/>
      <c r="M69" s="244"/>
      <c r="N69" s="244"/>
      <c r="O69" s="244"/>
      <c r="P69" s="244"/>
      <c r="Q69" s="244"/>
      <c r="R69" s="244"/>
    </row>
    <row r="70" spans="2:18" x14ac:dyDescent="0.2">
      <c r="B70" s="257" t="s">
        <v>431</v>
      </c>
      <c r="C70" s="257"/>
      <c r="D70" s="257"/>
    </row>
    <row r="71" spans="2:18" x14ac:dyDescent="0.2">
      <c r="B71" s="1" t="s">
        <v>432</v>
      </c>
      <c r="C71" s="245">
        <v>1.69</v>
      </c>
      <c r="D71" s="245">
        <v>1.73</v>
      </c>
      <c r="E71" s="245">
        <v>1.77</v>
      </c>
      <c r="F71" s="245">
        <v>1.81</v>
      </c>
      <c r="G71" s="245">
        <v>1.85</v>
      </c>
      <c r="H71" s="245">
        <v>1.89</v>
      </c>
      <c r="I71" s="245">
        <v>1.99</v>
      </c>
      <c r="J71" s="245">
        <v>2.2599999999999998</v>
      </c>
      <c r="K71" s="245">
        <v>2.48</v>
      </c>
      <c r="L71" s="245">
        <v>2.64</v>
      </c>
      <c r="M71" s="245">
        <v>2.8</v>
      </c>
      <c r="N71" s="245">
        <v>3</v>
      </c>
      <c r="O71" s="245">
        <f>N71*(1+IF(O63&gt;0,O63,0))</f>
        <v>3.6560876522971402</v>
      </c>
      <c r="P71" s="245">
        <f t="shared" ref="P71:R71" si="31">O71*(1+IF(P63&gt;0,P63,0))</f>
        <v>4.0937972454304496</v>
      </c>
      <c r="Q71" s="245">
        <f t="shared" si="31"/>
        <v>4.3555330680116304</v>
      </c>
      <c r="R71" s="245">
        <f t="shared" si="31"/>
        <v>4.6828630435893208</v>
      </c>
    </row>
    <row r="72" spans="2:18" x14ac:dyDescent="0.2">
      <c r="B72" s="249" t="s">
        <v>433</v>
      </c>
      <c r="C72" s="258">
        <f t="shared" ref="C72:R72" si="32">C71/C56</f>
        <v>0.84280804150453958</v>
      </c>
      <c r="D72" s="258">
        <f t="shared" si="32"/>
        <v>1.1769028156221617</v>
      </c>
      <c r="E72" s="258">
        <f t="shared" si="32"/>
        <v>0.43477852348993284</v>
      </c>
      <c r="F72" s="258">
        <f t="shared" si="32"/>
        <v>1.1576339486717695</v>
      </c>
      <c r="G72" s="258">
        <f t="shared" si="32"/>
        <v>1.3152933673469387</v>
      </c>
      <c r="H72" s="258">
        <f t="shared" si="32"/>
        <v>2.1694736842105264</v>
      </c>
      <c r="I72" s="258">
        <f t="shared" si="32"/>
        <v>0.85730067860933246</v>
      </c>
      <c r="J72" s="258">
        <f t="shared" si="32"/>
        <v>0.5923803718378543</v>
      </c>
      <c r="K72" s="258">
        <f t="shared" si="32"/>
        <v>0.89170510824961091</v>
      </c>
      <c r="L72" s="258">
        <f t="shared" si="32"/>
        <v>0.51347382941221553</v>
      </c>
      <c r="M72" s="258">
        <f t="shared" si="32"/>
        <v>0.49022659962807352</v>
      </c>
      <c r="N72" s="258">
        <f t="shared" si="32"/>
        <v>0.4901344908273042</v>
      </c>
      <c r="O72" s="258">
        <f t="shared" si="32"/>
        <v>0.47774595810876802</v>
      </c>
      <c r="P72" s="258">
        <f t="shared" si="32"/>
        <v>0.4713793162192475</v>
      </c>
      <c r="Q72" s="258">
        <f t="shared" si="32"/>
        <v>0.46749160724987121</v>
      </c>
      <c r="R72" s="258">
        <f t="shared" si="32"/>
        <v>0.46397112769991389</v>
      </c>
    </row>
    <row r="73" spans="2:18" x14ac:dyDescent="0.2">
      <c r="B73" s="1" t="s">
        <v>434</v>
      </c>
      <c r="C73" s="245"/>
      <c r="D73" s="245"/>
      <c r="E73" s="245"/>
      <c r="F73" s="245"/>
      <c r="G73" s="245"/>
      <c r="H73" s="245"/>
      <c r="I73" s="245"/>
      <c r="J73" s="245"/>
      <c r="K73" s="245"/>
      <c r="L73" s="245"/>
      <c r="M73" s="245"/>
      <c r="N73" s="245"/>
      <c r="O73" s="245"/>
      <c r="P73" s="245"/>
      <c r="Q73" s="245"/>
      <c r="R73" s="245"/>
    </row>
    <row r="74" spans="2:18" x14ac:dyDescent="0.2">
      <c r="C74" s="242"/>
      <c r="D74" s="242"/>
      <c r="E74" s="242"/>
      <c r="F74" s="242"/>
      <c r="G74" s="242"/>
      <c r="H74" s="242"/>
      <c r="I74" s="242"/>
      <c r="J74" s="242"/>
      <c r="K74" s="242"/>
      <c r="L74" s="242"/>
      <c r="M74" s="242"/>
      <c r="N74" s="242"/>
      <c r="O74" s="242"/>
      <c r="P74" s="242"/>
      <c r="Q74" s="242"/>
      <c r="R74" s="242"/>
    </row>
    <row r="75" spans="2:18" x14ac:dyDescent="0.2">
      <c r="B75" s="1" t="s">
        <v>435</v>
      </c>
      <c r="C75" s="241">
        <f t="shared" ref="C75:M75" si="33">C180</f>
        <v>-5116</v>
      </c>
      <c r="D75" s="241">
        <f t="shared" si="33"/>
        <v>-5157</v>
      </c>
      <c r="E75" s="241">
        <f t="shared" si="33"/>
        <v>-5170</v>
      </c>
      <c r="F75" s="241">
        <f t="shared" si="33"/>
        <v>-5117</v>
      </c>
      <c r="G75" s="241">
        <f t="shared" si="33"/>
        <v>-5124</v>
      </c>
      <c r="H75" s="241">
        <f t="shared" si="33"/>
        <v>-5167</v>
      </c>
      <c r="I75" s="241">
        <f t="shared" si="33"/>
        <v>-5172</v>
      </c>
      <c r="J75" s="241">
        <f t="shared" si="33"/>
        <v>-5695</v>
      </c>
      <c r="K75" s="241">
        <f t="shared" si="33"/>
        <v>-6215</v>
      </c>
      <c r="L75" s="241">
        <f t="shared" si="33"/>
        <v>-6610</v>
      </c>
      <c r="M75" s="241">
        <f t="shared" si="33"/>
        <v>-7012</v>
      </c>
      <c r="N75" s="239">
        <f>IF(ISERROR(-N71*N53),0,-N71*N53)+IF(ISERROR(-N73*N53),0,-N73*N53)</f>
        <v>-7513.3743124387511</v>
      </c>
      <c r="O75" s="239">
        <f>IF(ISERROR(-O71*O53),0,-O71*O53)+IF(ISERROR(-O73*O53),0,-O73*O53)</f>
        <v>-8973.3879832593175</v>
      </c>
      <c r="P75" s="239">
        <f>IF(ISERROR(-P71*P53),0,-P71*P53)+IF(ISERROR(-P73*P53),0,-P73*P53)</f>
        <v>-9846.7350380031094</v>
      </c>
      <c r="Q75" s="239">
        <f>IF(ISERROR(-Q71*Q53),0,-Q71*Q53)+IF(ISERROR(-Q73*Q53),0,-Q73*Q53)</f>
        <v>-10266.757718762534</v>
      </c>
      <c r="R75" s="239">
        <f>IF(ISERROR(-R71*R53),0,-R71*R53)+IF(ISERROR(-R73*R53),0,-R73*R53)</f>
        <v>-10817.56541782249</v>
      </c>
    </row>
    <row r="76" spans="2:18" x14ac:dyDescent="0.2">
      <c r="B76" s="1" t="s">
        <v>436</v>
      </c>
      <c r="C76" s="242">
        <f>C71+C73</f>
        <v>1.69</v>
      </c>
      <c r="D76" s="242">
        <f t="shared" ref="D76:R76" si="34">D71+D73</f>
        <v>1.73</v>
      </c>
      <c r="E76" s="242">
        <f t="shared" si="34"/>
        <v>1.77</v>
      </c>
      <c r="F76" s="242">
        <f t="shared" si="34"/>
        <v>1.81</v>
      </c>
      <c r="G76" s="242">
        <f t="shared" si="34"/>
        <v>1.85</v>
      </c>
      <c r="H76" s="242">
        <f t="shared" si="34"/>
        <v>1.89</v>
      </c>
      <c r="I76" s="242">
        <f t="shared" si="34"/>
        <v>1.99</v>
      </c>
      <c r="J76" s="242">
        <f t="shared" si="34"/>
        <v>2.2599999999999998</v>
      </c>
      <c r="K76" s="242">
        <f t="shared" si="34"/>
        <v>2.48</v>
      </c>
      <c r="L76" s="242">
        <f t="shared" si="34"/>
        <v>2.64</v>
      </c>
      <c r="M76" s="242">
        <f t="shared" si="34"/>
        <v>2.8</v>
      </c>
      <c r="N76" s="242">
        <f t="shared" si="34"/>
        <v>3</v>
      </c>
      <c r="O76" s="242">
        <f t="shared" si="34"/>
        <v>3.6560876522971402</v>
      </c>
      <c r="P76" s="242">
        <f t="shared" si="34"/>
        <v>4.0937972454304496</v>
      </c>
      <c r="Q76" s="242">
        <f t="shared" si="34"/>
        <v>4.3555330680116304</v>
      </c>
      <c r="R76" s="242">
        <f t="shared" si="34"/>
        <v>4.6828630435893208</v>
      </c>
    </row>
    <row r="77" spans="2:18" x14ac:dyDescent="0.2">
      <c r="B77" s="14" t="s">
        <v>437</v>
      </c>
      <c r="C77" s="259"/>
      <c r="D77" s="248">
        <f>D76/C76-1</f>
        <v>2.3668639053254559E-2</v>
      </c>
      <c r="E77" s="248">
        <f t="shared" ref="E77:M77" si="35">E76/D76-1</f>
        <v>2.3121387283236983E-2</v>
      </c>
      <c r="F77" s="248">
        <f t="shared" si="35"/>
        <v>2.2598870056497189E-2</v>
      </c>
      <c r="G77" s="248">
        <f t="shared" si="35"/>
        <v>2.2099447513812098E-2</v>
      </c>
      <c r="H77" s="248">
        <f t="shared" si="35"/>
        <v>2.1621621621621623E-2</v>
      </c>
      <c r="I77" s="248">
        <f t="shared" si="35"/>
        <v>5.2910052910053018E-2</v>
      </c>
      <c r="J77" s="248">
        <f t="shared" si="35"/>
        <v>0.13567839195979881</v>
      </c>
      <c r="K77" s="248">
        <f t="shared" si="35"/>
        <v>9.7345132743362983E-2</v>
      </c>
      <c r="L77" s="248">
        <f t="shared" si="35"/>
        <v>6.4516129032258229E-2</v>
      </c>
      <c r="M77" s="248">
        <f t="shared" si="35"/>
        <v>6.0606060606060552E-2</v>
      </c>
      <c r="N77" s="248">
        <f>N76/M76-1</f>
        <v>7.1428571428571397E-2</v>
      </c>
      <c r="O77" s="248">
        <f t="shared" ref="O77:R77" si="36">O76/N76-1</f>
        <v>0.21869588409904672</v>
      </c>
      <c r="P77" s="248">
        <f t="shared" si="36"/>
        <v>0.11972076021161415</v>
      </c>
      <c r="Q77" s="248">
        <f t="shared" si="36"/>
        <v>6.3934730249118665E-2</v>
      </c>
      <c r="R77" s="248">
        <f t="shared" si="36"/>
        <v>7.5152678321214417E-2</v>
      </c>
    </row>
    <row r="78" spans="2:18" x14ac:dyDescent="0.2">
      <c r="B78" s="257" t="s">
        <v>438</v>
      </c>
      <c r="C78" s="257"/>
      <c r="D78" s="257"/>
    </row>
    <row r="79" spans="2:18" x14ac:dyDescent="0.2">
      <c r="B79" s="1" t="s">
        <v>439</v>
      </c>
      <c r="C79" s="241">
        <f t="shared" ref="C79:R79" si="37">C32+C137+C140</f>
        <v>16199</v>
      </c>
      <c r="D79" s="241">
        <f t="shared" si="37"/>
        <v>13070</v>
      </c>
      <c r="E79" s="241">
        <f t="shared" si="37"/>
        <v>24440</v>
      </c>
      <c r="F79" s="241">
        <f t="shared" si="37"/>
        <v>12159</v>
      </c>
      <c r="G79" s="241">
        <f t="shared" si="37"/>
        <v>10495</v>
      </c>
      <c r="H79" s="241">
        <f t="shared" si="37"/>
        <v>11527</v>
      </c>
      <c r="I79" s="241">
        <f t="shared" si="37"/>
        <v>13647.600000000006</v>
      </c>
      <c r="J79" s="241">
        <f t="shared" si="37"/>
        <v>15735</v>
      </c>
      <c r="K79" s="241">
        <f t="shared" si="37"/>
        <v>13188</v>
      </c>
      <c r="L79" s="241">
        <f t="shared" si="37"/>
        <v>17863</v>
      </c>
      <c r="M79" s="241">
        <f t="shared" si="37"/>
        <v>21158</v>
      </c>
      <c r="N79" s="241">
        <f t="shared" si="37"/>
        <v>23552.999681352005</v>
      </c>
      <c r="O79" s="241">
        <f t="shared" si="37"/>
        <v>27888.577843781441</v>
      </c>
      <c r="P79" s="241">
        <f t="shared" si="37"/>
        <v>30474.889038098434</v>
      </c>
      <c r="Q79" s="241">
        <f t="shared" si="37"/>
        <v>31762.040051531058</v>
      </c>
      <c r="R79" s="241">
        <f t="shared" si="37"/>
        <v>33424.987433268267</v>
      </c>
    </row>
    <row r="80" spans="2:18" x14ac:dyDescent="0.2">
      <c r="B80" s="14" t="s">
        <v>440</v>
      </c>
      <c r="C80" s="260">
        <f t="shared" ref="C80:M80" si="38">C28+C29+C30</f>
        <v>1113</v>
      </c>
      <c r="D80" s="260">
        <f t="shared" si="38"/>
        <v>1697</v>
      </c>
      <c r="E80" s="260">
        <f t="shared" si="38"/>
        <v>-10989</v>
      </c>
      <c r="F80" s="260">
        <f t="shared" si="38"/>
        <v>619</v>
      </c>
      <c r="G80" s="260">
        <f t="shared" si="38"/>
        <v>651</v>
      </c>
      <c r="H80" s="260">
        <f t="shared" si="38"/>
        <v>776</v>
      </c>
      <c r="I80" s="260">
        <f t="shared" si="38"/>
        <v>632</v>
      </c>
      <c r="J80" s="260">
        <f t="shared" si="38"/>
        <v>638</v>
      </c>
      <c r="K80" s="260">
        <f t="shared" si="38"/>
        <v>578</v>
      </c>
      <c r="L80" s="260">
        <f t="shared" si="38"/>
        <v>661</v>
      </c>
      <c r="M80" s="260">
        <f t="shared" si="38"/>
        <v>337</v>
      </c>
      <c r="N80" s="260">
        <f>N28+N29+N30</f>
        <v>343.83179864800007</v>
      </c>
      <c r="O80" s="260">
        <f>O28+O29+O30</f>
        <v>410.64586987799618</v>
      </c>
      <c r="P80" s="260">
        <f>P28+P29+P30</f>
        <v>450.61253148559848</v>
      </c>
      <c r="Q80" s="260">
        <f>Q28+Q29+Q30</f>
        <v>469.8338756903425</v>
      </c>
      <c r="R80" s="260">
        <f>R28+R29+R30</f>
        <v>495.04028681821819</v>
      </c>
    </row>
    <row r="81" spans="2:18" x14ac:dyDescent="0.2">
      <c r="B81" s="1" t="s">
        <v>441</v>
      </c>
      <c r="C81" s="241">
        <f t="shared" ref="C81:M81" si="39">C79+C80</f>
        <v>17312</v>
      </c>
      <c r="D81" s="241">
        <f t="shared" si="39"/>
        <v>14767</v>
      </c>
      <c r="E81" s="241">
        <f t="shared" si="39"/>
        <v>13451</v>
      </c>
      <c r="F81" s="241">
        <f t="shared" si="39"/>
        <v>12778</v>
      </c>
      <c r="G81" s="241">
        <f t="shared" si="39"/>
        <v>11146</v>
      </c>
      <c r="H81" s="241">
        <f t="shared" si="39"/>
        <v>12303</v>
      </c>
      <c r="I81" s="241">
        <f t="shared" si="39"/>
        <v>14279.600000000006</v>
      </c>
      <c r="J81" s="241">
        <f t="shared" si="39"/>
        <v>16373</v>
      </c>
      <c r="K81" s="241">
        <f t="shared" si="39"/>
        <v>13766</v>
      </c>
      <c r="L81" s="241">
        <f t="shared" si="39"/>
        <v>18524</v>
      </c>
      <c r="M81" s="241">
        <f t="shared" si="39"/>
        <v>21495</v>
      </c>
      <c r="N81" s="241">
        <f t="shared" ref="N81:R81" si="40">N79+N80</f>
        <v>23896.831480000004</v>
      </c>
      <c r="O81" s="241">
        <f t="shared" si="40"/>
        <v>28299.223713659438</v>
      </c>
      <c r="P81" s="241">
        <f t="shared" si="40"/>
        <v>30925.501569584034</v>
      </c>
      <c r="Q81" s="241">
        <f t="shared" si="40"/>
        <v>32231.873927221401</v>
      </c>
      <c r="R81" s="241">
        <f t="shared" si="40"/>
        <v>33920.027720086488</v>
      </c>
    </row>
    <row r="85" spans="2:18" s="2" customFormat="1" ht="19" x14ac:dyDescent="0.25">
      <c r="B85" s="6" t="s">
        <v>523</v>
      </c>
    </row>
    <row r="86" spans="2:18" x14ac:dyDescent="0.2">
      <c r="N86" s="257"/>
    </row>
    <row r="87" spans="2:18" x14ac:dyDescent="0.2">
      <c r="B87" s="14"/>
      <c r="C87" s="247">
        <v>2012</v>
      </c>
      <c r="D87" s="247">
        <v>2013</v>
      </c>
      <c r="E87" s="247">
        <v>2014</v>
      </c>
      <c r="F87" s="247">
        <v>2015</v>
      </c>
      <c r="G87" s="247">
        <v>2016</v>
      </c>
      <c r="H87" s="247">
        <v>2017</v>
      </c>
      <c r="I87" s="11">
        <v>2018</v>
      </c>
      <c r="J87" s="11">
        <v>2019</v>
      </c>
      <c r="K87" s="11">
        <v>2020</v>
      </c>
      <c r="L87" s="11">
        <v>2021</v>
      </c>
      <c r="M87" s="11">
        <v>2022</v>
      </c>
      <c r="N87" s="13">
        <v>2023</v>
      </c>
      <c r="O87" s="13">
        <v>2024</v>
      </c>
      <c r="P87" s="13">
        <v>2025</v>
      </c>
      <c r="Q87" s="13">
        <v>2026</v>
      </c>
      <c r="R87" s="13">
        <v>2027</v>
      </c>
    </row>
    <row r="88" spans="2:18" x14ac:dyDescent="0.2">
      <c r="B88" s="1" t="s">
        <v>442</v>
      </c>
      <c r="C88" s="239">
        <f>13451+2690</f>
        <v>16141</v>
      </c>
      <c r="D88" s="239">
        <f>15621+1865</f>
        <v>17486</v>
      </c>
      <c r="E88" s="239">
        <f>7441+8278</f>
        <v>15719</v>
      </c>
      <c r="F88" s="239">
        <f>8524+4903</f>
        <v>13427</v>
      </c>
      <c r="G88" s="239">
        <f>6515+7826</f>
        <v>14341</v>
      </c>
      <c r="H88" s="239">
        <f>6092+2406</f>
        <v>8498</v>
      </c>
      <c r="I88" s="239">
        <f>7965+899</f>
        <v>8864</v>
      </c>
      <c r="J88" s="239">
        <f>9676+774</f>
        <v>10450</v>
      </c>
      <c r="K88" s="239">
        <f>8062</f>
        <v>8062</v>
      </c>
      <c r="L88" s="239">
        <v>8096</v>
      </c>
      <c r="M88" s="239">
        <f>12694+498</f>
        <v>13192</v>
      </c>
      <c r="N88" s="241">
        <f>N117+N127-(N89+N90+N92+N94+N95+N98+N99+N100+N101+N102+N103)</f>
        <v>20560.077871173024</v>
      </c>
      <c r="O88" s="241">
        <f>O117+O127-(O89+O90+O92+O94+O95+O98+O99+O100+O101+O102+O103)</f>
        <v>24134.379123500956</v>
      </c>
      <c r="P88" s="241">
        <f t="shared" ref="P88:R88" si="41">P117+P127-(P89+P90+P92+P94+P95+P98+P99+P100+P101+P102+P103)</f>
        <v>28730.198828796259</v>
      </c>
      <c r="Q88" s="241">
        <f t="shared" si="41"/>
        <v>35313.307921372558</v>
      </c>
      <c r="R88" s="241">
        <f t="shared" si="41"/>
        <v>42463.517761281022</v>
      </c>
    </row>
    <row r="89" spans="2:18" x14ac:dyDescent="0.2">
      <c r="B89" s="1" t="s">
        <v>443</v>
      </c>
      <c r="C89" s="239"/>
      <c r="D89" s="239"/>
      <c r="E89" s="239"/>
      <c r="F89" s="239"/>
      <c r="G89" s="239"/>
      <c r="H89" s="239"/>
      <c r="I89" s="239"/>
      <c r="J89" s="239"/>
      <c r="K89" s="239"/>
      <c r="L89" s="239"/>
      <c r="M89" s="239"/>
      <c r="N89" s="239">
        <f t="shared" ref="N89:R89" si="42">M89</f>
        <v>0</v>
      </c>
      <c r="O89" s="239">
        <f t="shared" si="42"/>
        <v>0</v>
      </c>
      <c r="P89" s="239">
        <f t="shared" si="42"/>
        <v>0</v>
      </c>
      <c r="Q89" s="239">
        <f t="shared" si="42"/>
        <v>0</v>
      </c>
      <c r="R89" s="239">
        <f t="shared" si="42"/>
        <v>0</v>
      </c>
    </row>
    <row r="90" spans="2:18" x14ac:dyDescent="0.2">
      <c r="B90" s="1" t="s">
        <v>444</v>
      </c>
      <c r="C90" s="239">
        <v>7672</v>
      </c>
      <c r="D90" s="239">
        <v>7184</v>
      </c>
      <c r="E90" s="239">
        <v>6626</v>
      </c>
      <c r="F90" s="239">
        <v>6484</v>
      </c>
      <c r="G90" s="239">
        <v>7018</v>
      </c>
      <c r="H90" s="239">
        <v>6873</v>
      </c>
      <c r="I90" s="239">
        <v>7071</v>
      </c>
      <c r="J90" s="239">
        <v>6778</v>
      </c>
      <c r="K90" s="239">
        <v>7851</v>
      </c>
      <c r="L90" s="239">
        <v>9230</v>
      </c>
      <c r="M90" s="239">
        <v>9450</v>
      </c>
      <c r="N90" s="241">
        <f>(N91*N5)/365</f>
        <v>9448.9364383561642</v>
      </c>
      <c r="O90" s="241">
        <f>(O91*O5)/365</f>
        <v>10091.122639448218</v>
      </c>
      <c r="P90" s="241">
        <f>(P91*P5)/365</f>
        <v>10613.509622051837</v>
      </c>
      <c r="Q90" s="241">
        <f>(Q91*Q5)/365</f>
        <v>10853.073166428559</v>
      </c>
      <c r="R90" s="241">
        <f>(R91*R5)/365</f>
        <v>11143.361986225853</v>
      </c>
    </row>
    <row r="91" spans="2:18" x14ac:dyDescent="0.2">
      <c r="B91" s="14" t="s">
        <v>445</v>
      </c>
      <c r="C91" s="261">
        <f t="shared" ref="C91:M91" si="43">(C90/C5)*365</f>
        <v>59.243869930395412</v>
      </c>
      <c r="D91" s="261">
        <f t="shared" si="43"/>
        <v>59.549883042263751</v>
      </c>
      <c r="E91" s="261">
        <f t="shared" si="43"/>
        <v>57.259985320927157</v>
      </c>
      <c r="F91" s="261">
        <f t="shared" si="43"/>
        <v>59.918476884905566</v>
      </c>
      <c r="G91" s="261">
        <f t="shared" si="43"/>
        <v>64.349737483357202</v>
      </c>
      <c r="H91" s="261">
        <f t="shared" si="43"/>
        <v>62.525422461492447</v>
      </c>
      <c r="I91" s="261">
        <f t="shared" si="43"/>
        <v>61.025214812993283</v>
      </c>
      <c r="J91" s="261">
        <f t="shared" si="43"/>
        <v>52.817463706233987</v>
      </c>
      <c r="K91" s="261">
        <f t="shared" si="43"/>
        <v>59.707775971996504</v>
      </c>
      <c r="L91" s="261">
        <f t="shared" si="43"/>
        <v>69.171936596583436</v>
      </c>
      <c r="M91" s="261">
        <f t="shared" si="43"/>
        <v>58.182784272051009</v>
      </c>
      <c r="N91" s="262">
        <v>60</v>
      </c>
      <c r="O91" s="262">
        <v>60</v>
      </c>
      <c r="P91" s="262">
        <v>60</v>
      </c>
      <c r="Q91" s="262">
        <v>60</v>
      </c>
      <c r="R91" s="262">
        <v>60</v>
      </c>
    </row>
    <row r="92" spans="2:18" x14ac:dyDescent="0.2">
      <c r="B92" s="1" t="s">
        <v>446</v>
      </c>
      <c r="C92" s="239">
        <v>6535</v>
      </c>
      <c r="D92" s="239">
        <v>6226</v>
      </c>
      <c r="E92" s="239">
        <v>5571</v>
      </c>
      <c r="F92" s="239">
        <v>4700</v>
      </c>
      <c r="G92" s="239">
        <v>4866</v>
      </c>
      <c r="H92" s="239">
        <v>5096</v>
      </c>
      <c r="I92" s="239">
        <v>5440</v>
      </c>
      <c r="J92" s="239">
        <v>5978</v>
      </c>
      <c r="K92" s="239">
        <v>6310</v>
      </c>
      <c r="L92" s="239">
        <v>5953</v>
      </c>
      <c r="M92" s="239">
        <v>5911</v>
      </c>
      <c r="N92" s="241">
        <f>(N93*N8)/365</f>
        <v>4488.3800307793908</v>
      </c>
      <c r="O92" s="241">
        <f>(O93*O8)/365</f>
        <v>4376.6078694544785</v>
      </c>
      <c r="P92" s="241">
        <f>(P93*P8)/365</f>
        <v>4493.5723331087038</v>
      </c>
      <c r="Q92" s="241">
        <f>(Q93*Q8)/365</f>
        <v>4482.9261487310905</v>
      </c>
      <c r="R92" s="241">
        <f>(R93*R8)/365</f>
        <v>4372.690081735007</v>
      </c>
    </row>
    <row r="93" spans="2:18" x14ac:dyDescent="0.2">
      <c r="B93" s="14" t="s">
        <v>447</v>
      </c>
      <c r="C93" s="261">
        <f t="shared" ref="C93:M93" si="44">(C92/C8)*365</f>
        <v>145.03678706068345</v>
      </c>
      <c r="D93" s="261">
        <f t="shared" si="44"/>
        <v>134.03857496755927</v>
      </c>
      <c r="E93" s="261">
        <f t="shared" si="44"/>
        <v>121.26759303435114</v>
      </c>
      <c r="F93" s="261">
        <f t="shared" si="44"/>
        <v>114.87210392393197</v>
      </c>
      <c r="G93" s="261">
        <f t="shared" si="44"/>
        <v>126.59230220955097</v>
      </c>
      <c r="H93" s="261">
        <f t="shared" si="44"/>
        <v>144.0551425030979</v>
      </c>
      <c r="I93" s="261">
        <f t="shared" si="44"/>
        <v>146.98349248649049</v>
      </c>
      <c r="J93" s="261">
        <f t="shared" si="44"/>
        <v>154.61805555555554</v>
      </c>
      <c r="K93" s="261">
        <f t="shared" si="44"/>
        <v>148.73425896028414</v>
      </c>
      <c r="L93" s="261">
        <f t="shared" si="44"/>
        <v>159.46315866725379</v>
      </c>
      <c r="M93" s="261">
        <f t="shared" si="44"/>
        <v>123.91677675033024</v>
      </c>
      <c r="N93" s="262">
        <f t="shared" ref="N93:R94" si="45">M93</f>
        <v>123.91677675033024</v>
      </c>
      <c r="O93" s="262">
        <f t="shared" si="45"/>
        <v>123.91677675033024</v>
      </c>
      <c r="P93" s="262">
        <f t="shared" si="45"/>
        <v>123.91677675033024</v>
      </c>
      <c r="Q93" s="262">
        <f t="shared" si="45"/>
        <v>123.91677675033024</v>
      </c>
      <c r="R93" s="262">
        <f t="shared" si="45"/>
        <v>123.91677675033024</v>
      </c>
    </row>
    <row r="94" spans="2:18" x14ac:dyDescent="0.2">
      <c r="B94" s="1" t="s">
        <v>448</v>
      </c>
      <c r="C94" s="239">
        <v>4509</v>
      </c>
      <c r="D94" s="239">
        <v>4789</v>
      </c>
      <c r="E94" s="239">
        <v>5257</v>
      </c>
      <c r="F94" s="239">
        <v>5153</v>
      </c>
      <c r="G94" s="239">
        <v>4389</v>
      </c>
      <c r="H94" s="239">
        <v>4299</v>
      </c>
      <c r="I94" s="239">
        <v>4500</v>
      </c>
      <c r="J94" s="239">
        <v>4277</v>
      </c>
      <c r="K94" s="239">
        <v>5541</v>
      </c>
      <c r="L94" s="239">
        <v>6987</v>
      </c>
      <c r="M94" s="239">
        <v>7169</v>
      </c>
      <c r="N94" s="239">
        <f t="shared" si="45"/>
        <v>7169</v>
      </c>
      <c r="O94" s="239">
        <f t="shared" si="45"/>
        <v>7169</v>
      </c>
      <c r="P94" s="239">
        <f t="shared" si="45"/>
        <v>7169</v>
      </c>
      <c r="Q94" s="239">
        <f t="shared" si="45"/>
        <v>7169</v>
      </c>
      <c r="R94" s="239">
        <f t="shared" si="45"/>
        <v>7169</v>
      </c>
    </row>
    <row r="95" spans="2:18" x14ac:dyDescent="0.2">
      <c r="B95" s="1" t="s">
        <v>449</v>
      </c>
      <c r="C95" s="239">
        <v>0</v>
      </c>
      <c r="D95" s="239">
        <v>0</v>
      </c>
      <c r="E95" s="239">
        <v>0</v>
      </c>
      <c r="F95" s="239">
        <v>0</v>
      </c>
      <c r="G95" s="239">
        <v>0</v>
      </c>
      <c r="H95" s="239">
        <v>0</v>
      </c>
      <c r="I95" s="239">
        <v>0</v>
      </c>
      <c r="J95" s="239">
        <v>0</v>
      </c>
      <c r="K95" s="239">
        <v>0</v>
      </c>
      <c r="L95" s="239">
        <v>0</v>
      </c>
      <c r="M95" s="239">
        <v>0</v>
      </c>
      <c r="N95" s="239">
        <f t="shared" ref="N95:R95" si="46">M95*1.02</f>
        <v>0</v>
      </c>
      <c r="O95" s="239">
        <f t="shared" si="46"/>
        <v>0</v>
      </c>
      <c r="P95" s="239">
        <f t="shared" si="46"/>
        <v>0</v>
      </c>
      <c r="Q95" s="239">
        <f t="shared" si="46"/>
        <v>0</v>
      </c>
      <c r="R95" s="239">
        <f t="shared" si="46"/>
        <v>0</v>
      </c>
    </row>
    <row r="96" spans="2:18" x14ac:dyDescent="0.2">
      <c r="B96" s="250" t="s">
        <v>450</v>
      </c>
      <c r="C96" s="251">
        <f t="shared" ref="C96:R96" si="47">C88+C89+C90+C92+C94+C95</f>
        <v>34857</v>
      </c>
      <c r="D96" s="251">
        <f t="shared" si="47"/>
        <v>35685</v>
      </c>
      <c r="E96" s="251">
        <f t="shared" si="47"/>
        <v>33173</v>
      </c>
      <c r="F96" s="251">
        <f t="shared" si="47"/>
        <v>29764</v>
      </c>
      <c r="G96" s="251">
        <f t="shared" si="47"/>
        <v>30614</v>
      </c>
      <c r="H96" s="251">
        <f t="shared" si="47"/>
        <v>24766</v>
      </c>
      <c r="I96" s="251">
        <f t="shared" si="47"/>
        <v>25875</v>
      </c>
      <c r="J96" s="251">
        <f t="shared" si="47"/>
        <v>27483</v>
      </c>
      <c r="K96" s="251">
        <f t="shared" si="47"/>
        <v>27764</v>
      </c>
      <c r="L96" s="251">
        <f t="shared" si="47"/>
        <v>30266</v>
      </c>
      <c r="M96" s="251">
        <f t="shared" si="47"/>
        <v>35722</v>
      </c>
      <c r="N96" s="251">
        <f t="shared" si="47"/>
        <v>41666.39434030858</v>
      </c>
      <c r="O96" s="251">
        <f>O88+O89+O90+O92+O94+O95</f>
        <v>45771.109632403655</v>
      </c>
      <c r="P96" s="251">
        <f t="shared" si="47"/>
        <v>51006.280783956805</v>
      </c>
      <c r="Q96" s="251">
        <f t="shared" si="47"/>
        <v>57818.3072365322</v>
      </c>
      <c r="R96" s="251">
        <f t="shared" si="47"/>
        <v>65148.569829241882</v>
      </c>
    </row>
    <row r="97" spans="2:18" x14ac:dyDescent="0.2">
      <c r="N97" s="257"/>
    </row>
    <row r="98" spans="2:18" x14ac:dyDescent="0.2">
      <c r="B98" s="1" t="s">
        <v>451</v>
      </c>
      <c r="C98" s="239">
        <v>16030</v>
      </c>
      <c r="D98" s="239">
        <v>14973</v>
      </c>
      <c r="E98" s="239">
        <v>13136</v>
      </c>
      <c r="F98" s="239">
        <v>12507</v>
      </c>
      <c r="G98" s="239">
        <v>12026</v>
      </c>
      <c r="H98" s="239">
        <v>12439</v>
      </c>
      <c r="I98" s="239">
        <f>333+11486+14441+3355-16324</f>
        <v>13291</v>
      </c>
      <c r="J98" s="239">
        <f>32739-17686</f>
        <v>15053</v>
      </c>
      <c r="K98" s="239">
        <f>36968-18982</f>
        <v>17986</v>
      </c>
      <c r="L98" s="239">
        <f>37471-18192</f>
        <v>19279</v>
      </c>
      <c r="M98" s="239">
        <v>21422</v>
      </c>
      <c r="N98" s="241">
        <f t="shared" ref="N98:R98" si="48">M98-N157-N137-N160*N162</f>
        <v>22284.21545</v>
      </c>
      <c r="O98" s="241">
        <f t="shared" si="48"/>
        <v>22744.622920424823</v>
      </c>
      <c r="P98" s="241">
        <f t="shared" si="48"/>
        <v>23228.86429693094</v>
      </c>
      <c r="Q98" s="241">
        <f t="shared" si="48"/>
        <v>23724.035760149243</v>
      </c>
      <c r="R98" s="241">
        <f t="shared" si="48"/>
        <v>24232.451650770799</v>
      </c>
    </row>
    <row r="99" spans="2:18" x14ac:dyDescent="0.2">
      <c r="B99" s="1" t="s">
        <v>452</v>
      </c>
      <c r="C99" s="239">
        <v>12134</v>
      </c>
      <c r="D99" s="239">
        <v>12301</v>
      </c>
      <c r="E99" s="239">
        <v>12992</v>
      </c>
      <c r="F99" s="239">
        <v>17723</v>
      </c>
      <c r="G99" s="239">
        <v>18162</v>
      </c>
      <c r="H99" s="239">
        <v>18284</v>
      </c>
      <c r="I99" s="239">
        <v>18253</v>
      </c>
      <c r="J99" s="239">
        <v>19425</v>
      </c>
      <c r="K99" s="239">
        <v>20238</v>
      </c>
      <c r="L99" s="239">
        <v>21264</v>
      </c>
      <c r="M99" s="239">
        <v>21204</v>
      </c>
      <c r="N99" s="241">
        <f t="shared" ref="N99:R99" si="49">M99-N143-N160*N165</f>
        <v>21204</v>
      </c>
      <c r="O99" s="241">
        <f t="shared" si="49"/>
        <v>21204</v>
      </c>
      <c r="P99" s="241">
        <f t="shared" si="49"/>
        <v>21204</v>
      </c>
      <c r="Q99" s="241">
        <f t="shared" si="49"/>
        <v>21204</v>
      </c>
      <c r="R99" s="241">
        <f t="shared" si="49"/>
        <v>21204</v>
      </c>
    </row>
    <row r="100" spans="2:18" x14ac:dyDescent="0.2">
      <c r="B100" s="1" t="s">
        <v>453</v>
      </c>
      <c r="C100" s="239">
        <v>29083</v>
      </c>
      <c r="D100" s="239">
        <v>23801</v>
      </c>
      <c r="E100" s="239">
        <v>20386</v>
      </c>
      <c r="F100" s="239">
        <v>22602</v>
      </c>
      <c r="G100" s="239">
        <v>17305</v>
      </c>
      <c r="H100" s="239">
        <v>14183</v>
      </c>
      <c r="I100" s="239">
        <v>11431</v>
      </c>
      <c r="J100" s="239">
        <v>14196</v>
      </c>
      <c r="K100" s="239">
        <v>14604</v>
      </c>
      <c r="L100" s="239">
        <v>22933</v>
      </c>
      <c r="M100" s="239">
        <v>20269</v>
      </c>
      <c r="N100" s="241">
        <f t="shared" ref="N100:R100" si="50">M100-N140-N144-N160*N163</f>
        <v>18369</v>
      </c>
      <c r="O100" s="241">
        <f t="shared" si="50"/>
        <v>16659</v>
      </c>
      <c r="P100" s="241">
        <f t="shared" si="50"/>
        <v>15120</v>
      </c>
      <c r="Q100" s="241">
        <f t="shared" si="50"/>
        <v>13734.9</v>
      </c>
      <c r="R100" s="241">
        <f t="shared" si="50"/>
        <v>12488.31</v>
      </c>
    </row>
    <row r="101" spans="2:18" x14ac:dyDescent="0.2">
      <c r="B101" s="1" t="s">
        <v>454</v>
      </c>
      <c r="C101" s="239">
        <v>0</v>
      </c>
      <c r="D101" s="239">
        <v>0</v>
      </c>
      <c r="E101" s="239">
        <v>0</v>
      </c>
      <c r="F101" s="239">
        <v>0</v>
      </c>
      <c r="G101" s="239">
        <v>0</v>
      </c>
      <c r="H101" s="239">
        <v>0</v>
      </c>
      <c r="I101" s="239">
        <v>0</v>
      </c>
      <c r="J101" s="239">
        <v>0</v>
      </c>
      <c r="K101" s="239">
        <v>0</v>
      </c>
      <c r="L101" s="239">
        <v>0</v>
      </c>
      <c r="M101" s="239">
        <v>0</v>
      </c>
      <c r="N101" s="239">
        <f t="shared" ref="N101:R102" si="51">M101</f>
        <v>0</v>
      </c>
      <c r="O101" s="239">
        <f t="shared" si="51"/>
        <v>0</v>
      </c>
      <c r="P101" s="239">
        <f t="shared" si="51"/>
        <v>0</v>
      </c>
      <c r="Q101" s="239">
        <f t="shared" si="51"/>
        <v>0</v>
      </c>
      <c r="R101" s="239">
        <f t="shared" si="51"/>
        <v>0</v>
      </c>
    </row>
    <row r="102" spans="2:18" x14ac:dyDescent="0.2">
      <c r="B102" s="1" t="s">
        <v>455</v>
      </c>
      <c r="C102" s="239">
        <v>6723</v>
      </c>
      <c r="D102" s="239">
        <v>9115</v>
      </c>
      <c r="E102" s="239">
        <v>5133</v>
      </c>
      <c r="F102" s="239">
        <v>6144</v>
      </c>
      <c r="G102" s="239">
        <v>5854</v>
      </c>
      <c r="H102" s="239">
        <v>6075</v>
      </c>
      <c r="I102" s="239">
        <v>7554</v>
      </c>
      <c r="J102" s="239">
        <v>0</v>
      </c>
      <c r="K102" s="239">
        <v>0</v>
      </c>
      <c r="L102" s="239">
        <v>0</v>
      </c>
      <c r="M102" s="239">
        <v>0</v>
      </c>
      <c r="N102" s="239">
        <f t="shared" si="51"/>
        <v>0</v>
      </c>
      <c r="O102" s="239">
        <f t="shared" si="51"/>
        <v>0</v>
      </c>
      <c r="P102" s="239">
        <f t="shared" si="51"/>
        <v>0</v>
      </c>
      <c r="Q102" s="239">
        <f t="shared" si="51"/>
        <v>0</v>
      </c>
      <c r="R102" s="239">
        <f t="shared" si="51"/>
        <v>0</v>
      </c>
    </row>
    <row r="103" spans="2:18" x14ac:dyDescent="0.2">
      <c r="B103" s="1" t="s">
        <v>456</v>
      </c>
      <c r="C103" s="239">
        <v>7305</v>
      </c>
      <c r="D103" s="239">
        <v>9770</v>
      </c>
      <c r="E103" s="239">
        <v>13515</v>
      </c>
      <c r="F103" s="239">
        <v>13039</v>
      </c>
      <c r="G103" s="239">
        <v>11416</v>
      </c>
      <c r="H103" s="239">
        <v>12125</v>
      </c>
      <c r="I103" s="239">
        <v>6233</v>
      </c>
      <c r="J103" s="239">
        <f>6771+1469</f>
        <v>8240</v>
      </c>
      <c r="K103" s="239">
        <f>10211+785</f>
        <v>10996</v>
      </c>
      <c r="L103" s="239">
        <f>11582+370</f>
        <v>11952</v>
      </c>
      <c r="M103" s="239">
        <f>9528+1015</f>
        <v>10543</v>
      </c>
      <c r="N103" s="241">
        <f t="shared" ref="N103:R103" si="52">M103+IF(N146&lt;0,-N146,0)</f>
        <v>10543</v>
      </c>
      <c r="O103" s="241">
        <f t="shared" si="52"/>
        <v>10543</v>
      </c>
      <c r="P103" s="241">
        <f t="shared" si="52"/>
        <v>10543</v>
      </c>
      <c r="Q103" s="241">
        <f t="shared" si="52"/>
        <v>10543</v>
      </c>
      <c r="R103" s="241">
        <f t="shared" si="52"/>
        <v>10543</v>
      </c>
    </row>
    <row r="104" spans="2:18" x14ac:dyDescent="0.2">
      <c r="B104" s="250" t="s">
        <v>457</v>
      </c>
      <c r="C104" s="251">
        <f t="shared" ref="C104:M104" si="53">C96+SUM(C98:C103)</f>
        <v>106132</v>
      </c>
      <c r="D104" s="251">
        <f t="shared" si="53"/>
        <v>105645</v>
      </c>
      <c r="E104" s="251">
        <f t="shared" si="53"/>
        <v>98335</v>
      </c>
      <c r="F104" s="251">
        <f t="shared" si="53"/>
        <v>101779</v>
      </c>
      <c r="G104" s="251">
        <f t="shared" si="53"/>
        <v>95377</v>
      </c>
      <c r="H104" s="251">
        <f t="shared" si="53"/>
        <v>87872</v>
      </c>
      <c r="I104" s="251">
        <f t="shared" si="53"/>
        <v>82637</v>
      </c>
      <c r="J104" s="251">
        <f t="shared" si="53"/>
        <v>84397</v>
      </c>
      <c r="K104" s="251">
        <f t="shared" si="53"/>
        <v>91588</v>
      </c>
      <c r="L104" s="251">
        <f t="shared" si="53"/>
        <v>105694</v>
      </c>
      <c r="M104" s="251">
        <f t="shared" si="53"/>
        <v>109160</v>
      </c>
      <c r="N104" s="251">
        <f t="shared" ref="N104:R104" si="54">N96+SUM(N98:N103)</f>
        <v>114066.60979030858</v>
      </c>
      <c r="O104" s="251">
        <f>O96+SUM(O98:O103)</f>
        <v>116921.73255282847</v>
      </c>
      <c r="P104" s="251">
        <f t="shared" si="54"/>
        <v>121102.14508088774</v>
      </c>
      <c r="Q104" s="251">
        <f t="shared" si="54"/>
        <v>127024.24299668144</v>
      </c>
      <c r="R104" s="251">
        <f t="shared" si="54"/>
        <v>133616.33148001268</v>
      </c>
    </row>
    <row r="106" spans="2:18" x14ac:dyDescent="0.2">
      <c r="B106" s="1" t="s">
        <v>458</v>
      </c>
      <c r="C106" s="239">
        <v>1753</v>
      </c>
      <c r="D106" s="239">
        <v>2274</v>
      </c>
      <c r="E106" s="239">
        <v>2625</v>
      </c>
      <c r="F106" s="239">
        <v>2533</v>
      </c>
      <c r="G106" s="239">
        <v>2807</v>
      </c>
      <c r="H106" s="239">
        <v>3102</v>
      </c>
      <c r="I106" s="239">
        <v>3318</v>
      </c>
      <c r="J106" s="239">
        <v>3738</v>
      </c>
      <c r="K106" s="239">
        <v>4594</v>
      </c>
      <c r="L106" s="239">
        <v>4609</v>
      </c>
      <c r="M106" s="239">
        <v>4264</v>
      </c>
      <c r="N106" s="241">
        <f>IF(N8=0,(N107*N5)/365,(N107*N8)/365)</f>
        <v>3237.7689817701448</v>
      </c>
      <c r="O106" s="241">
        <f>IF(O8=0,(O107*O5)/365,(O107*O8)/365)</f>
        <v>3157.1402394440693</v>
      </c>
      <c r="P106" s="241">
        <f>IF(P8=0,(P107*P5)/365,(P107*P8)/365)</f>
        <v>3241.5145370285086</v>
      </c>
      <c r="Q106" s="241">
        <f>IF(Q8=0,(Q107*Q5)/365,(Q107*Q8)/365)</f>
        <v>3233.8347315495471</v>
      </c>
      <c r="R106" s="241">
        <f>IF(R8=0,(R107*R5)/365,(R107*R8)/365)</f>
        <v>3154.3140768936</v>
      </c>
    </row>
    <row r="107" spans="2:18" x14ac:dyDescent="0.2">
      <c r="B107" s="14" t="s">
        <v>459</v>
      </c>
      <c r="C107" s="261">
        <f t="shared" ref="C107:M107" si="55">IF(C8=0,(C106/C5)*365,(C106/C8)*365)</f>
        <v>38.905812963638574</v>
      </c>
      <c r="D107" s="261">
        <f t="shared" si="55"/>
        <v>48.956588415713107</v>
      </c>
      <c r="E107" s="261">
        <f t="shared" si="55"/>
        <v>57.140088263358784</v>
      </c>
      <c r="F107" s="261">
        <f t="shared" si="55"/>
        <v>61.908731753046737</v>
      </c>
      <c r="G107" s="261">
        <f t="shared" si="55"/>
        <v>73.026015680684253</v>
      </c>
      <c r="H107" s="261">
        <f t="shared" si="55"/>
        <v>87.688197026022308</v>
      </c>
      <c r="I107" s="261">
        <f t="shared" si="55"/>
        <v>89.649122807017534</v>
      </c>
      <c r="J107" s="261">
        <f t="shared" si="55"/>
        <v>96.68154761904762</v>
      </c>
      <c r="K107" s="261">
        <f t="shared" si="55"/>
        <v>108.28608330642557</v>
      </c>
      <c r="L107" s="261">
        <f t="shared" si="55"/>
        <v>123.46139732863642</v>
      </c>
      <c r="M107" s="261">
        <f t="shared" si="55"/>
        <v>89.38946642926885</v>
      </c>
      <c r="N107" s="262">
        <f t="shared" ref="N107:R109" si="56">M107</f>
        <v>89.38946642926885</v>
      </c>
      <c r="O107" s="262">
        <f t="shared" si="56"/>
        <v>89.38946642926885</v>
      </c>
      <c r="P107" s="262">
        <f t="shared" si="56"/>
        <v>89.38946642926885</v>
      </c>
      <c r="Q107" s="262">
        <f t="shared" si="56"/>
        <v>89.38946642926885</v>
      </c>
      <c r="R107" s="262">
        <f t="shared" si="56"/>
        <v>89.38946642926885</v>
      </c>
    </row>
    <row r="108" spans="2:18" x14ac:dyDescent="0.2">
      <c r="B108" s="1" t="s">
        <v>460</v>
      </c>
      <c r="C108" s="239">
        <v>4315</v>
      </c>
      <c r="D108" s="239">
        <v>4521</v>
      </c>
      <c r="E108" s="239">
        <v>2704</v>
      </c>
      <c r="F108" s="239">
        <v>2585</v>
      </c>
      <c r="G108" s="239">
        <v>568</v>
      </c>
      <c r="H108" s="239">
        <v>3057</v>
      </c>
      <c r="I108" s="239">
        <v>5308</v>
      </c>
      <c r="J108" s="239">
        <v>3610</v>
      </c>
      <c r="K108" s="239">
        <v>6431</v>
      </c>
      <c r="L108" s="239">
        <v>2412</v>
      </c>
      <c r="M108" s="239">
        <v>1946</v>
      </c>
      <c r="N108" s="239">
        <f t="shared" si="56"/>
        <v>1946</v>
      </c>
      <c r="O108" s="239">
        <f t="shared" si="56"/>
        <v>1946</v>
      </c>
      <c r="P108" s="239">
        <f t="shared" si="56"/>
        <v>1946</v>
      </c>
      <c r="Q108" s="239">
        <f t="shared" si="56"/>
        <v>1946</v>
      </c>
      <c r="R108" s="239">
        <f t="shared" si="56"/>
        <v>1946</v>
      </c>
    </row>
    <row r="109" spans="2:18" x14ac:dyDescent="0.2">
      <c r="B109" s="1" t="s">
        <v>461</v>
      </c>
      <c r="C109" s="239">
        <v>1200</v>
      </c>
      <c r="D109" s="239">
        <v>251</v>
      </c>
      <c r="E109" s="239">
        <v>1606</v>
      </c>
      <c r="F109" s="239">
        <v>1560</v>
      </c>
      <c r="G109" s="239">
        <v>2239</v>
      </c>
      <c r="H109" s="239">
        <v>708</v>
      </c>
      <c r="I109" s="239">
        <v>1971</v>
      </c>
      <c r="J109" s="239">
        <v>736</v>
      </c>
      <c r="K109" s="239">
        <v>1575</v>
      </c>
      <c r="L109" s="239">
        <v>1224</v>
      </c>
      <c r="M109" s="239">
        <v>1986</v>
      </c>
      <c r="N109" s="239">
        <f t="shared" si="56"/>
        <v>1986</v>
      </c>
      <c r="O109" s="239">
        <f t="shared" si="56"/>
        <v>1986</v>
      </c>
      <c r="P109" s="239">
        <f t="shared" si="56"/>
        <v>1986</v>
      </c>
      <c r="Q109" s="239">
        <f t="shared" si="56"/>
        <v>1986</v>
      </c>
      <c r="R109" s="239">
        <f t="shared" si="56"/>
        <v>1986</v>
      </c>
    </row>
    <row r="110" spans="2:18" x14ac:dyDescent="0.2">
      <c r="B110" s="1" t="s">
        <v>462</v>
      </c>
      <c r="C110" s="239">
        <f>9737+1343</f>
        <v>11080</v>
      </c>
      <c r="D110" s="239">
        <f>9501+1321</f>
        <v>10822</v>
      </c>
      <c r="E110" s="239">
        <f>10523+1308</f>
        <v>11831</v>
      </c>
      <c r="F110" s="239">
        <f>11216+1309</f>
        <v>12525</v>
      </c>
      <c r="G110" s="239">
        <f>10274+1316</f>
        <v>11590</v>
      </c>
      <c r="H110" s="239">
        <f>10427+1320</f>
        <v>11747</v>
      </c>
      <c r="I110" s="239">
        <f>10151+1458</f>
        <v>11609</v>
      </c>
      <c r="J110" s="239">
        <f>12549+1587</f>
        <v>14136</v>
      </c>
      <c r="K110" s="239">
        <f>13053+1674</f>
        <v>14727</v>
      </c>
      <c r="L110" s="239">
        <f>13859+1768</f>
        <v>15627</v>
      </c>
      <c r="M110" s="239">
        <f>1884+14159</f>
        <v>16043</v>
      </c>
      <c r="N110" s="239">
        <f t="shared" ref="N110:R110" si="57">M110*1.02</f>
        <v>16363.86</v>
      </c>
      <c r="O110" s="239">
        <f t="shared" si="57"/>
        <v>16691.137200000001</v>
      </c>
      <c r="P110" s="239">
        <f t="shared" si="57"/>
        <v>17024.959944000002</v>
      </c>
      <c r="Q110" s="239">
        <f t="shared" si="57"/>
        <v>17365.459142880001</v>
      </c>
      <c r="R110" s="239">
        <f t="shared" si="57"/>
        <v>17712.768325737601</v>
      </c>
    </row>
    <row r="111" spans="2:18" x14ac:dyDescent="0.2">
      <c r="B111" s="250" t="s">
        <v>463</v>
      </c>
      <c r="C111" s="251">
        <f t="shared" ref="C111:R111" si="58">C106+C108+C109+C110</f>
        <v>18348</v>
      </c>
      <c r="D111" s="251">
        <f t="shared" si="58"/>
        <v>17868</v>
      </c>
      <c r="E111" s="251">
        <f t="shared" si="58"/>
        <v>18766</v>
      </c>
      <c r="F111" s="251">
        <f t="shared" si="58"/>
        <v>19203</v>
      </c>
      <c r="G111" s="251">
        <f t="shared" si="58"/>
        <v>17204</v>
      </c>
      <c r="H111" s="251">
        <f t="shared" si="58"/>
        <v>18614</v>
      </c>
      <c r="I111" s="251">
        <f t="shared" si="58"/>
        <v>22206</v>
      </c>
      <c r="J111" s="251">
        <f t="shared" si="58"/>
        <v>22220</v>
      </c>
      <c r="K111" s="251">
        <f t="shared" si="58"/>
        <v>27327</v>
      </c>
      <c r="L111" s="251">
        <f t="shared" si="58"/>
        <v>23872</v>
      </c>
      <c r="M111" s="251">
        <f t="shared" si="58"/>
        <v>24239</v>
      </c>
      <c r="N111" s="251">
        <f t="shared" si="58"/>
        <v>23533.628981770147</v>
      </c>
      <c r="O111" s="251">
        <f t="shared" si="58"/>
        <v>23780.277439444071</v>
      </c>
      <c r="P111" s="251">
        <f t="shared" si="58"/>
        <v>24198.474481028512</v>
      </c>
      <c r="Q111" s="251">
        <f t="shared" si="58"/>
        <v>24531.293874429546</v>
      </c>
      <c r="R111" s="251">
        <f t="shared" si="58"/>
        <v>24799.0824026312</v>
      </c>
    </row>
    <row r="113" spans="2:18" x14ac:dyDescent="0.2">
      <c r="B113" s="1" t="s">
        <v>464</v>
      </c>
      <c r="C113" s="239">
        <v>16254</v>
      </c>
      <c r="D113" s="239">
        <v>20539</v>
      </c>
      <c r="E113" s="239">
        <v>18699</v>
      </c>
      <c r="F113" s="239">
        <v>23929</v>
      </c>
      <c r="G113" s="239">
        <v>24274</v>
      </c>
      <c r="H113" s="239">
        <f>21353</f>
        <v>21353</v>
      </c>
      <c r="I113" s="239">
        <v>19806</v>
      </c>
      <c r="J113" s="239">
        <v>22736</v>
      </c>
      <c r="K113" s="239">
        <v>25360</v>
      </c>
      <c r="L113" s="239">
        <v>30690</v>
      </c>
      <c r="M113" s="239">
        <v>28745</v>
      </c>
      <c r="N113" s="239">
        <f>M113+1250</f>
        <v>29995</v>
      </c>
      <c r="O113" s="239">
        <f>N113-2000</f>
        <v>27995</v>
      </c>
      <c r="P113" s="239">
        <f>O113-2000</f>
        <v>25995</v>
      </c>
      <c r="Q113" s="239">
        <f t="shared" ref="Q113:R113" si="59">P113-750</f>
        <v>25245</v>
      </c>
      <c r="R113" s="239">
        <f t="shared" si="59"/>
        <v>24495</v>
      </c>
    </row>
    <row r="114" spans="2:18" x14ac:dyDescent="0.2">
      <c r="B114" s="1" t="s">
        <v>465</v>
      </c>
      <c r="C114" s="239">
        <v>5740</v>
      </c>
      <c r="D114" s="239">
        <v>6776</v>
      </c>
      <c r="E114" s="239">
        <v>4266</v>
      </c>
      <c r="F114" s="239">
        <v>6535</v>
      </c>
      <c r="G114" s="239">
        <v>5077</v>
      </c>
      <c r="H114" s="239">
        <f>2219</f>
        <v>2219</v>
      </c>
      <c r="I114" s="239">
        <v>1702</v>
      </c>
      <c r="J114" s="239">
        <v>1470</v>
      </c>
      <c r="K114" s="239">
        <v>1015</v>
      </c>
      <c r="L114" s="239">
        <v>3441</v>
      </c>
      <c r="M114" s="239">
        <v>1795</v>
      </c>
      <c r="N114" s="239">
        <f t="shared" ref="N114:R115" si="60">M114</f>
        <v>1795</v>
      </c>
      <c r="O114" s="239">
        <f t="shared" si="60"/>
        <v>1795</v>
      </c>
      <c r="P114" s="239">
        <f t="shared" si="60"/>
        <v>1795</v>
      </c>
      <c r="Q114" s="239">
        <f t="shared" si="60"/>
        <v>1795</v>
      </c>
      <c r="R114" s="239">
        <f t="shared" si="60"/>
        <v>1795</v>
      </c>
    </row>
    <row r="115" spans="2:18" x14ac:dyDescent="0.2">
      <c r="B115" s="1" t="s">
        <v>466</v>
      </c>
      <c r="C115" s="239">
        <v>10327</v>
      </c>
      <c r="D115" s="239">
        <v>8136</v>
      </c>
      <c r="E115" s="239">
        <v>7813</v>
      </c>
      <c r="F115" s="239">
        <v>7345</v>
      </c>
      <c r="G115" s="239">
        <v>8514</v>
      </c>
      <c r="H115" s="239">
        <f>11117</f>
        <v>11117</v>
      </c>
      <c r="I115" s="239">
        <v>12041</v>
      </c>
      <c r="J115" s="239">
        <v>11970</v>
      </c>
      <c r="K115" s="239">
        <v>12482</v>
      </c>
      <c r="L115" s="239">
        <v>9434</v>
      </c>
      <c r="M115" s="239">
        <v>8323</v>
      </c>
      <c r="N115" s="239">
        <f t="shared" si="60"/>
        <v>8323</v>
      </c>
      <c r="O115" s="239">
        <f t="shared" si="60"/>
        <v>8323</v>
      </c>
      <c r="P115" s="239">
        <f t="shared" si="60"/>
        <v>8323</v>
      </c>
      <c r="Q115" s="239">
        <f t="shared" si="60"/>
        <v>8323</v>
      </c>
      <c r="R115" s="239">
        <f t="shared" si="60"/>
        <v>8323</v>
      </c>
    </row>
    <row r="116" spans="2:18" x14ac:dyDescent="0.2">
      <c r="B116" s="1" t="s">
        <v>467</v>
      </c>
      <c r="C116" s="239">
        <v>0</v>
      </c>
      <c r="D116" s="239">
        <v>0</v>
      </c>
      <c r="E116" s="239">
        <v>0</v>
      </c>
      <c r="F116" s="239">
        <v>0</v>
      </c>
      <c r="G116" s="239">
        <v>0</v>
      </c>
      <c r="H116" s="239">
        <v>0</v>
      </c>
      <c r="I116" s="239">
        <v>0</v>
      </c>
      <c r="J116" s="239">
        <v>0</v>
      </c>
      <c r="K116" s="239">
        <v>0</v>
      </c>
      <c r="L116" s="239">
        <v>0</v>
      </c>
      <c r="M116" s="239">
        <v>0</v>
      </c>
      <c r="N116" s="241">
        <f t="shared" ref="N116:R116" si="61">M116+IF(N146&gt;0,N146,0)</f>
        <v>0</v>
      </c>
      <c r="O116" s="241">
        <f t="shared" si="61"/>
        <v>0</v>
      </c>
      <c r="P116" s="241">
        <f t="shared" si="61"/>
        <v>0</v>
      </c>
      <c r="Q116" s="241">
        <f t="shared" si="61"/>
        <v>0</v>
      </c>
      <c r="R116" s="241">
        <f t="shared" si="61"/>
        <v>0</v>
      </c>
    </row>
    <row r="117" spans="2:18" x14ac:dyDescent="0.2">
      <c r="B117" s="250" t="s">
        <v>468</v>
      </c>
      <c r="C117" s="251">
        <f t="shared" ref="C117:M117" si="62">C111+SUM(C113:C116)</f>
        <v>50669</v>
      </c>
      <c r="D117" s="251">
        <f t="shared" si="62"/>
        <v>53319</v>
      </c>
      <c r="E117" s="251">
        <f t="shared" si="62"/>
        <v>49544</v>
      </c>
      <c r="F117" s="251">
        <f t="shared" si="62"/>
        <v>57012</v>
      </c>
      <c r="G117" s="251">
        <f t="shared" si="62"/>
        <v>55069</v>
      </c>
      <c r="H117" s="251">
        <f t="shared" si="62"/>
        <v>53303</v>
      </c>
      <c r="I117" s="251">
        <f t="shared" si="62"/>
        <v>55755</v>
      </c>
      <c r="J117" s="251">
        <f t="shared" si="62"/>
        <v>58396</v>
      </c>
      <c r="K117" s="251">
        <f t="shared" si="62"/>
        <v>66184</v>
      </c>
      <c r="L117" s="251">
        <f t="shared" si="62"/>
        <v>67437</v>
      </c>
      <c r="M117" s="251">
        <f t="shared" si="62"/>
        <v>63102</v>
      </c>
      <c r="N117" s="251">
        <f t="shared" ref="N117:R117" si="63">N111+SUM(N113:N116)</f>
        <v>63646.628981770147</v>
      </c>
      <c r="O117" s="251">
        <f t="shared" si="63"/>
        <v>61893.277439444071</v>
      </c>
      <c r="P117" s="251">
        <f t="shared" si="63"/>
        <v>60311.474481028512</v>
      </c>
      <c r="Q117" s="251">
        <f t="shared" si="63"/>
        <v>59894.293874429546</v>
      </c>
      <c r="R117" s="251">
        <f t="shared" si="63"/>
        <v>59412.082402631204</v>
      </c>
    </row>
    <row r="119" spans="2:18" x14ac:dyDescent="0.2">
      <c r="B119" s="1" t="s">
        <v>469</v>
      </c>
      <c r="C119" s="239">
        <v>0</v>
      </c>
      <c r="D119" s="239">
        <v>0</v>
      </c>
      <c r="E119" s="239">
        <v>0</v>
      </c>
      <c r="F119" s="239">
        <v>0</v>
      </c>
      <c r="G119" s="239">
        <v>0</v>
      </c>
      <c r="H119" s="239">
        <v>0</v>
      </c>
      <c r="I119" s="239">
        <v>0</v>
      </c>
      <c r="J119" s="239">
        <v>0</v>
      </c>
      <c r="K119" s="239">
        <v>0</v>
      </c>
      <c r="L119" s="239">
        <v>0</v>
      </c>
      <c r="M119" s="239">
        <v>0</v>
      </c>
      <c r="N119" s="239">
        <f t="shared" ref="N119:R120" si="64">M119</f>
        <v>0</v>
      </c>
      <c r="O119" s="239">
        <f t="shared" si="64"/>
        <v>0</v>
      </c>
      <c r="P119" s="239">
        <f t="shared" si="64"/>
        <v>0</v>
      </c>
      <c r="Q119" s="239">
        <f t="shared" si="64"/>
        <v>0</v>
      </c>
      <c r="R119" s="239">
        <f t="shared" si="64"/>
        <v>0</v>
      </c>
    </row>
    <row r="120" spans="2:18" x14ac:dyDescent="0.2">
      <c r="B120" s="1" t="s">
        <v>470</v>
      </c>
      <c r="C120" s="239">
        <v>1788</v>
      </c>
      <c r="D120" s="239">
        <v>1788</v>
      </c>
      <c r="E120" s="239">
        <v>1788</v>
      </c>
      <c r="F120" s="239">
        <v>1788</v>
      </c>
      <c r="G120" s="239">
        <v>1788</v>
      </c>
      <c r="H120" s="239">
        <v>1788</v>
      </c>
      <c r="I120" s="239">
        <v>1788</v>
      </c>
      <c r="J120" s="239">
        <v>1788</v>
      </c>
      <c r="K120" s="239">
        <v>1788</v>
      </c>
      <c r="L120" s="239">
        <v>1788</v>
      </c>
      <c r="M120" s="239">
        <v>1788</v>
      </c>
      <c r="N120" s="241">
        <f t="shared" si="64"/>
        <v>1788</v>
      </c>
      <c r="O120" s="241">
        <f t="shared" si="64"/>
        <v>1788</v>
      </c>
      <c r="P120" s="241">
        <f t="shared" si="64"/>
        <v>1788</v>
      </c>
      <c r="Q120" s="241">
        <f t="shared" si="64"/>
        <v>1788</v>
      </c>
      <c r="R120" s="241">
        <f t="shared" si="64"/>
        <v>1788</v>
      </c>
    </row>
    <row r="121" spans="2:18" x14ac:dyDescent="0.2">
      <c r="B121" s="1" t="s">
        <v>471</v>
      </c>
      <c r="C121" s="239">
        <v>40646</v>
      </c>
      <c r="D121" s="239">
        <v>40508</v>
      </c>
      <c r="E121" s="239">
        <v>40423</v>
      </c>
      <c r="F121" s="239">
        <v>40222</v>
      </c>
      <c r="G121" s="239">
        <v>39939</v>
      </c>
      <c r="H121" s="239">
        <v>39902</v>
      </c>
      <c r="I121" s="239">
        <v>38808</v>
      </c>
      <c r="J121" s="239">
        <v>39660</v>
      </c>
      <c r="K121" s="239">
        <v>39588</v>
      </c>
      <c r="L121" s="239">
        <v>44238</v>
      </c>
      <c r="M121" s="239">
        <v>44379</v>
      </c>
      <c r="N121" s="241">
        <f t="shared" ref="N121:R121" si="65">IF(N177&gt;0,M121+N177,M121)</f>
        <v>44379</v>
      </c>
      <c r="O121" s="241">
        <f t="shared" si="65"/>
        <v>44379</v>
      </c>
      <c r="P121" s="241">
        <f t="shared" si="65"/>
        <v>44379</v>
      </c>
      <c r="Q121" s="241">
        <f t="shared" si="65"/>
        <v>44379</v>
      </c>
      <c r="R121" s="241">
        <f t="shared" si="65"/>
        <v>44379</v>
      </c>
    </row>
    <row r="122" spans="2:18" x14ac:dyDescent="0.2">
      <c r="B122" s="1" t="s">
        <v>472</v>
      </c>
      <c r="C122" s="239">
        <v>39985</v>
      </c>
      <c r="D122" s="239">
        <v>39257</v>
      </c>
      <c r="E122" s="239">
        <v>46021</v>
      </c>
      <c r="F122" s="239">
        <v>45348</v>
      </c>
      <c r="G122" s="239">
        <v>44133</v>
      </c>
      <c r="H122" s="239">
        <v>41350</v>
      </c>
      <c r="I122" s="239">
        <v>42579</v>
      </c>
      <c r="J122" s="239">
        <v>46602</v>
      </c>
      <c r="K122" s="239">
        <v>47362</v>
      </c>
      <c r="L122" s="239">
        <v>53696</v>
      </c>
      <c r="M122" s="239">
        <v>61081</v>
      </c>
      <c r="N122" s="241">
        <f>M122+N50+N180</f>
        <v>68896.835227083415</v>
      </c>
      <c r="O122" s="241">
        <f>N122+O50+O180</f>
        <v>78706.207895074549</v>
      </c>
      <c r="P122" s="241">
        <f>O122+P50+P180</f>
        <v>89748.669092875745</v>
      </c>
      <c r="Q122" s="241">
        <f>P122+Q50+Q180</f>
        <v>101443.28471118581</v>
      </c>
      <c r="R122" s="241">
        <f>Q122+R50+R180</f>
        <v>113940.88864764919</v>
      </c>
    </row>
    <row r="123" spans="2:18" x14ac:dyDescent="0.2">
      <c r="B123" s="1" t="s">
        <v>473</v>
      </c>
      <c r="C123" s="239">
        <v>-24717</v>
      </c>
      <c r="D123" s="239">
        <v>-29591</v>
      </c>
      <c r="E123" s="239">
        <v>-35262</v>
      </c>
      <c r="F123" s="239">
        <v>-38534</v>
      </c>
      <c r="G123" s="239">
        <v>-40546</v>
      </c>
      <c r="H123" s="239">
        <v>-43794</v>
      </c>
      <c r="I123" s="239">
        <v>-50929</v>
      </c>
      <c r="J123" s="239">
        <v>-55950</v>
      </c>
      <c r="K123" s="239">
        <v>-56787</v>
      </c>
      <c r="L123" s="239">
        <v>-57109</v>
      </c>
      <c r="M123" s="239">
        <v>-56489</v>
      </c>
      <c r="N123" s="241">
        <f t="shared" ref="N123:R123" si="66">IF(N177&lt;0,M123+N177,M123)</f>
        <v>-59942.854418544979</v>
      </c>
      <c r="O123" s="241">
        <f>IF(O177&lt;0,N123+O177,N123)</f>
        <v>-65143.752781690157</v>
      </c>
      <c r="P123" s="241">
        <f t="shared" si="66"/>
        <v>-70423.998493016494</v>
      </c>
      <c r="Q123" s="241">
        <f t="shared" si="66"/>
        <v>-75779.3355889339</v>
      </c>
      <c r="R123" s="241">
        <f t="shared" si="66"/>
        <v>-81202.639570267726</v>
      </c>
    </row>
    <row r="124" spans="2:18" x14ac:dyDescent="0.2">
      <c r="B124" s="1" t="s">
        <v>474</v>
      </c>
      <c r="C124" s="239">
        <v>-4682</v>
      </c>
      <c r="D124" s="239">
        <v>-2197</v>
      </c>
      <c r="E124" s="239">
        <v>-4323</v>
      </c>
      <c r="F124" s="239">
        <v>-4148</v>
      </c>
      <c r="G124" s="239">
        <v>-5226</v>
      </c>
      <c r="H124" s="239">
        <v>-4910</v>
      </c>
      <c r="I124" s="239">
        <v>-5545</v>
      </c>
      <c r="J124" s="239">
        <v>-6193</v>
      </c>
      <c r="K124" s="239">
        <v>-6634</v>
      </c>
      <c r="L124" s="239">
        <v>-4429</v>
      </c>
      <c r="M124" s="239">
        <v>-4768</v>
      </c>
      <c r="N124" s="239">
        <f t="shared" ref="N124:R124" si="67">M124</f>
        <v>-4768</v>
      </c>
      <c r="O124" s="239">
        <f t="shared" si="67"/>
        <v>-4768</v>
      </c>
      <c r="P124" s="239">
        <f t="shared" si="67"/>
        <v>-4768</v>
      </c>
      <c r="Q124" s="239">
        <f t="shared" si="67"/>
        <v>-4768</v>
      </c>
      <c r="R124" s="239">
        <f t="shared" si="67"/>
        <v>-4768</v>
      </c>
    </row>
    <row r="125" spans="2:18" x14ac:dyDescent="0.2">
      <c r="B125" s="250" t="s">
        <v>475</v>
      </c>
      <c r="C125" s="251">
        <f>SUM(C119:C124)</f>
        <v>53020</v>
      </c>
      <c r="D125" s="251">
        <f t="shared" ref="D125:R125" si="68">SUM(D119:D124)</f>
        <v>49765</v>
      </c>
      <c r="E125" s="251">
        <f t="shared" si="68"/>
        <v>48647</v>
      </c>
      <c r="F125" s="251">
        <f t="shared" si="68"/>
        <v>44676</v>
      </c>
      <c r="G125" s="251">
        <f t="shared" si="68"/>
        <v>40088</v>
      </c>
      <c r="H125" s="251">
        <f t="shared" si="68"/>
        <v>34336</v>
      </c>
      <c r="I125" s="251">
        <f t="shared" si="68"/>
        <v>26701</v>
      </c>
      <c r="J125" s="251">
        <f t="shared" si="68"/>
        <v>25907</v>
      </c>
      <c r="K125" s="251">
        <f t="shared" si="68"/>
        <v>25317</v>
      </c>
      <c r="L125" s="251">
        <f t="shared" si="68"/>
        <v>38184</v>
      </c>
      <c r="M125" s="251">
        <f t="shared" si="68"/>
        <v>45991</v>
      </c>
      <c r="N125" s="251">
        <f t="shared" si="68"/>
        <v>50352.980808538436</v>
      </c>
      <c r="O125" s="251">
        <f t="shared" si="68"/>
        <v>54961.455113384392</v>
      </c>
      <c r="P125" s="251">
        <f t="shared" si="68"/>
        <v>60723.670599859237</v>
      </c>
      <c r="Q125" s="251">
        <f t="shared" si="68"/>
        <v>67062.949122251914</v>
      </c>
      <c r="R125" s="251">
        <f t="shared" si="68"/>
        <v>74137.249077381479</v>
      </c>
    </row>
    <row r="126" spans="2:18" x14ac:dyDescent="0.2">
      <c r="B126" s="1" t="s">
        <v>476</v>
      </c>
      <c r="C126" s="239">
        <v>2443</v>
      </c>
      <c r="D126" s="239">
        <v>2561</v>
      </c>
      <c r="E126" s="239">
        <v>144</v>
      </c>
      <c r="F126" s="239">
        <v>91</v>
      </c>
      <c r="G126" s="239">
        <v>220</v>
      </c>
      <c r="H126" s="239">
        <v>233</v>
      </c>
      <c r="I126" s="239">
        <v>181</v>
      </c>
      <c r="J126" s="239">
        <v>94</v>
      </c>
      <c r="K126" s="239">
        <v>87</v>
      </c>
      <c r="L126" s="239">
        <v>73</v>
      </c>
      <c r="M126" s="239">
        <v>67</v>
      </c>
      <c r="N126" s="239">
        <f t="shared" ref="N126:R126" si="69">M126</f>
        <v>67</v>
      </c>
      <c r="O126" s="239">
        <f t="shared" si="69"/>
        <v>67</v>
      </c>
      <c r="P126" s="239">
        <f t="shared" si="69"/>
        <v>67</v>
      </c>
      <c r="Q126" s="239">
        <f t="shared" si="69"/>
        <v>67</v>
      </c>
      <c r="R126" s="239">
        <f t="shared" si="69"/>
        <v>67</v>
      </c>
    </row>
    <row r="127" spans="2:18" x14ac:dyDescent="0.2">
      <c r="B127" s="250" t="s">
        <v>477</v>
      </c>
      <c r="C127" s="251">
        <f>C125+C126</f>
        <v>55463</v>
      </c>
      <c r="D127" s="251">
        <f t="shared" ref="D127:R127" si="70">D125+D126</f>
        <v>52326</v>
      </c>
      <c r="E127" s="251">
        <f t="shared" si="70"/>
        <v>48791</v>
      </c>
      <c r="F127" s="251">
        <f t="shared" si="70"/>
        <v>44767</v>
      </c>
      <c r="G127" s="251">
        <f t="shared" si="70"/>
        <v>40308</v>
      </c>
      <c r="H127" s="251">
        <f t="shared" si="70"/>
        <v>34569</v>
      </c>
      <c r="I127" s="251">
        <f t="shared" si="70"/>
        <v>26882</v>
      </c>
      <c r="J127" s="251">
        <f t="shared" si="70"/>
        <v>26001</v>
      </c>
      <c r="K127" s="251">
        <f t="shared" si="70"/>
        <v>25404</v>
      </c>
      <c r="L127" s="251">
        <f t="shared" si="70"/>
        <v>38257</v>
      </c>
      <c r="M127" s="251">
        <f t="shared" si="70"/>
        <v>46058</v>
      </c>
      <c r="N127" s="251">
        <f t="shared" si="70"/>
        <v>50419.980808538436</v>
      </c>
      <c r="O127" s="251">
        <f t="shared" si="70"/>
        <v>55028.455113384392</v>
      </c>
      <c r="P127" s="251">
        <f t="shared" si="70"/>
        <v>60790.670599859237</v>
      </c>
      <c r="Q127" s="251">
        <f t="shared" si="70"/>
        <v>67129.949122251914</v>
      </c>
      <c r="R127" s="251">
        <f t="shared" si="70"/>
        <v>74204.249077381479</v>
      </c>
    </row>
    <row r="129" spans="2:18" x14ac:dyDescent="0.2">
      <c r="B129" s="1" t="s">
        <v>478</v>
      </c>
      <c r="C129" s="241">
        <f>C104-C117-C127</f>
        <v>0</v>
      </c>
      <c r="D129" s="241">
        <f t="shared" ref="D129:L129" si="71">D104-D117-D127</f>
        <v>0</v>
      </c>
      <c r="E129" s="241">
        <f t="shared" si="71"/>
        <v>0</v>
      </c>
      <c r="F129" s="241">
        <f t="shared" si="71"/>
        <v>0</v>
      </c>
      <c r="G129" s="241">
        <f t="shared" si="71"/>
        <v>0</v>
      </c>
      <c r="H129" s="241">
        <f t="shared" si="71"/>
        <v>0</v>
      </c>
      <c r="I129" s="241">
        <f t="shared" si="71"/>
        <v>0</v>
      </c>
      <c r="J129" s="241">
        <f t="shared" si="71"/>
        <v>0</v>
      </c>
      <c r="K129" s="241">
        <f t="shared" si="71"/>
        <v>0</v>
      </c>
      <c r="L129" s="241">
        <f t="shared" si="71"/>
        <v>0</v>
      </c>
      <c r="M129" s="241">
        <f>M104-M117-M127</f>
        <v>0</v>
      </c>
      <c r="N129" s="241">
        <f t="shared" ref="N129:R129" si="72">N104-N117-N127</f>
        <v>0</v>
      </c>
      <c r="O129" s="241">
        <f t="shared" si="72"/>
        <v>0</v>
      </c>
      <c r="P129" s="241">
        <f t="shared" si="72"/>
        <v>0</v>
      </c>
      <c r="Q129" s="241">
        <f t="shared" si="72"/>
        <v>0</v>
      </c>
      <c r="R129" s="241">
        <f t="shared" si="72"/>
        <v>0</v>
      </c>
    </row>
    <row r="132" spans="2:18" s="2" customFormat="1" ht="19" x14ac:dyDescent="0.25">
      <c r="B132" s="6" t="s">
        <v>524</v>
      </c>
    </row>
    <row r="134" spans="2:18" x14ac:dyDescent="0.2">
      <c r="B134" s="14"/>
      <c r="C134" s="247">
        <v>2012</v>
      </c>
      <c r="D134" s="247">
        <v>2013</v>
      </c>
      <c r="E134" s="247">
        <v>2014</v>
      </c>
      <c r="F134" s="247">
        <v>2015</v>
      </c>
      <c r="G134" s="247">
        <v>2016</v>
      </c>
      <c r="H134" s="247">
        <v>2017</v>
      </c>
      <c r="I134" s="11">
        <v>2018</v>
      </c>
      <c r="J134" s="11">
        <v>2019</v>
      </c>
      <c r="K134" s="11">
        <v>2020</v>
      </c>
      <c r="L134" s="11">
        <v>2021</v>
      </c>
      <c r="M134" s="11">
        <v>2022</v>
      </c>
      <c r="N134" s="13">
        <v>2023</v>
      </c>
      <c r="O134" s="13">
        <v>2024</v>
      </c>
      <c r="P134" s="13">
        <v>2025</v>
      </c>
      <c r="Q134" s="13">
        <v>2026</v>
      </c>
      <c r="R134" s="13">
        <v>2027</v>
      </c>
    </row>
    <row r="135" spans="2:18" x14ac:dyDescent="0.2">
      <c r="B135" s="1" t="s">
        <v>364</v>
      </c>
      <c r="C135" s="239">
        <v>6299</v>
      </c>
      <c r="D135" s="239">
        <v>4517</v>
      </c>
      <c r="E135" s="239">
        <v>11934</v>
      </c>
      <c r="F135" s="239">
        <v>4459</v>
      </c>
      <c r="G135" s="239">
        <v>3941</v>
      </c>
      <c r="H135" s="239">
        <v>2418</v>
      </c>
      <c r="I135" s="239">
        <v>6193</v>
      </c>
      <c r="J135" s="239">
        <v>9777</v>
      </c>
      <c r="K135" s="239">
        <v>7082</v>
      </c>
      <c r="L135" s="239">
        <v>12358</v>
      </c>
      <c r="M135" s="239">
        <v>14526</v>
      </c>
      <c r="N135" s="241">
        <f>N50-N48-N47</f>
        <v>15337.369539522164</v>
      </c>
      <c r="O135" s="241">
        <f>O50-O48-O47</f>
        <v>18791.083851250456</v>
      </c>
      <c r="P135" s="241">
        <f>P50-P48-P47</f>
        <v>20897.685899804303</v>
      </c>
      <c r="Q135" s="241">
        <f>Q50-Q48-Q47</f>
        <v>21970.032794352592</v>
      </c>
      <c r="R135" s="241">
        <f>R50-R48-R47</f>
        <v>23324.002000711476</v>
      </c>
    </row>
    <row r="136" spans="2:18" x14ac:dyDescent="0.2">
      <c r="N136" s="257"/>
    </row>
    <row r="137" spans="2:18" x14ac:dyDescent="0.2">
      <c r="B137" s="1" t="s">
        <v>479</v>
      </c>
      <c r="C137" s="239">
        <v>2000</v>
      </c>
      <c r="D137" s="239">
        <v>2225</v>
      </c>
      <c r="E137" s="239">
        <v>2471</v>
      </c>
      <c r="F137" s="239">
        <v>1593</v>
      </c>
      <c r="G137" s="239">
        <v>1611</v>
      </c>
      <c r="H137" s="239">
        <v>1455</v>
      </c>
      <c r="I137" s="239">
        <v>1416</v>
      </c>
      <c r="J137" s="239">
        <v>1679</v>
      </c>
      <c r="K137" s="239">
        <v>1726</v>
      </c>
      <c r="L137" s="239">
        <v>1578</v>
      </c>
      <c r="M137" s="239">
        <v>1824</v>
      </c>
      <c r="N137" s="239">
        <f>0.04*N5</f>
        <v>2299.2411999999999</v>
      </c>
      <c r="O137" s="239">
        <f>0.04*O5</f>
        <v>2455.5065089324003</v>
      </c>
      <c r="P137" s="239">
        <f>0.04*P5</f>
        <v>2582.6206746992802</v>
      </c>
      <c r="Q137" s="239">
        <f>0.04*Q5</f>
        <v>2640.9144704976161</v>
      </c>
      <c r="R137" s="239">
        <f>0.04*R5</f>
        <v>2711.5514166482913</v>
      </c>
    </row>
    <row r="138" spans="2:18" x14ac:dyDescent="0.2">
      <c r="B138" s="14" t="s">
        <v>480</v>
      </c>
      <c r="C138" s="248">
        <f t="shared" ref="C138:R138" si="73">C137/C5</f>
        <v>4.2312818668415596E-2</v>
      </c>
      <c r="D138" s="248">
        <f t="shared" si="73"/>
        <v>5.0530284105102991E-2</v>
      </c>
      <c r="E138" s="248">
        <f t="shared" si="73"/>
        <v>5.8503208087695623E-2</v>
      </c>
      <c r="F138" s="248">
        <f t="shared" si="73"/>
        <v>4.0331156007899133E-2</v>
      </c>
      <c r="G138" s="248">
        <f t="shared" si="73"/>
        <v>4.0470269048157356E-2</v>
      </c>
      <c r="H138" s="248">
        <f t="shared" si="73"/>
        <v>3.6264393599521459E-2</v>
      </c>
      <c r="I138" s="248">
        <f t="shared" si="73"/>
        <v>3.3481034507218753E-2</v>
      </c>
      <c r="J138" s="248">
        <f t="shared" si="73"/>
        <v>3.5845431255337318E-2</v>
      </c>
      <c r="K138" s="248">
        <f t="shared" si="73"/>
        <v>3.5962828686919197E-2</v>
      </c>
      <c r="L138" s="248">
        <f t="shared" si="73"/>
        <v>3.2399802890932985E-2</v>
      </c>
      <c r="M138" s="248">
        <f t="shared" si="73"/>
        <v>3.0767673700723648E-2</v>
      </c>
      <c r="N138" s="248">
        <f t="shared" si="73"/>
        <v>0.04</v>
      </c>
      <c r="O138" s="248">
        <f t="shared" si="73"/>
        <v>0.04</v>
      </c>
      <c r="P138" s="248">
        <f t="shared" si="73"/>
        <v>0.04</v>
      </c>
      <c r="Q138" s="248">
        <f t="shared" si="73"/>
        <v>0.04</v>
      </c>
      <c r="R138" s="248">
        <f t="shared" si="73"/>
        <v>0.04</v>
      </c>
    </row>
    <row r="139" spans="2:18" x14ac:dyDescent="0.2">
      <c r="B139" s="14" t="s">
        <v>481</v>
      </c>
      <c r="C139" s="14"/>
      <c r="D139" s="261">
        <f t="shared" ref="D139:R139" si="74">C98/D137</f>
        <v>7.2044943820224718</v>
      </c>
      <c r="E139" s="261">
        <f t="shared" si="74"/>
        <v>6.0594900849858355</v>
      </c>
      <c r="F139" s="261">
        <f t="shared" si="74"/>
        <v>8.2460765850596367</v>
      </c>
      <c r="G139" s="261">
        <f t="shared" si="74"/>
        <v>7.7635009310986964</v>
      </c>
      <c r="H139" s="261">
        <f t="shared" si="74"/>
        <v>8.2652920962199321</v>
      </c>
      <c r="I139" s="261">
        <f t="shared" si="74"/>
        <v>8.7846045197740121</v>
      </c>
      <c r="J139" s="261">
        <f t="shared" si="74"/>
        <v>7.9160214413341272</v>
      </c>
      <c r="K139" s="261">
        <f t="shared" si="74"/>
        <v>8.7213209733487833</v>
      </c>
      <c r="L139" s="261">
        <f t="shared" si="74"/>
        <v>11.397972116603295</v>
      </c>
      <c r="M139" s="261">
        <f t="shared" si="74"/>
        <v>10.569627192982455</v>
      </c>
      <c r="N139" s="261">
        <f t="shared" si="74"/>
        <v>9.3169868389623502</v>
      </c>
      <c r="O139" s="261">
        <f t="shared" si="74"/>
        <v>9.0752011322049739</v>
      </c>
      <c r="P139" s="261">
        <f t="shared" si="74"/>
        <v>8.8067996757104883</v>
      </c>
      <c r="Q139" s="261">
        <f t="shared" si="74"/>
        <v>8.7957654654957551</v>
      </c>
      <c r="R139" s="261">
        <f t="shared" si="74"/>
        <v>8.7492479819815383</v>
      </c>
    </row>
    <row r="140" spans="2:18" x14ac:dyDescent="0.2">
      <c r="B140" s="1" t="s">
        <v>482</v>
      </c>
      <c r="C140" s="239">
        <v>4978</v>
      </c>
      <c r="D140" s="239">
        <f>6988-D137</f>
        <v>4763</v>
      </c>
      <c r="E140" s="239">
        <f>6691-E137</f>
        <v>4220</v>
      </c>
      <c r="F140" s="239">
        <f>6375-F137</f>
        <v>4782</v>
      </c>
      <c r="G140" s="239">
        <f>5471-G137</f>
        <v>3860</v>
      </c>
      <c r="H140" s="239">
        <f>4637-H137</f>
        <v>3182</v>
      </c>
      <c r="I140" s="239">
        <f>4519-I137</f>
        <v>3103</v>
      </c>
      <c r="J140" s="239">
        <f>3652-J137</f>
        <v>1973</v>
      </c>
      <c r="K140" s="239">
        <v>1899</v>
      </c>
      <c r="L140" s="239">
        <v>1636</v>
      </c>
      <c r="M140" s="239">
        <v>2085</v>
      </c>
      <c r="N140" s="239">
        <v>1900</v>
      </c>
      <c r="O140" s="239">
        <f t="shared" ref="O140:R140" si="75">N140*0.9</f>
        <v>1710</v>
      </c>
      <c r="P140" s="239">
        <f t="shared" si="75"/>
        <v>1539</v>
      </c>
      <c r="Q140" s="239">
        <f t="shared" si="75"/>
        <v>1385.1000000000001</v>
      </c>
      <c r="R140" s="239">
        <f t="shared" si="75"/>
        <v>1246.5900000000001</v>
      </c>
    </row>
    <row r="141" spans="2:18" x14ac:dyDescent="0.2">
      <c r="B141" s="1" t="s">
        <v>483</v>
      </c>
      <c r="C141" s="239">
        <v>335</v>
      </c>
      <c r="D141" s="239">
        <v>276</v>
      </c>
      <c r="E141" s="239">
        <v>278</v>
      </c>
      <c r="F141" s="239">
        <v>299</v>
      </c>
      <c r="G141" s="239">
        <v>300</v>
      </c>
      <c r="H141" s="239">
        <v>312</v>
      </c>
      <c r="I141" s="239">
        <v>348</v>
      </c>
      <c r="J141" s="239">
        <v>417</v>
      </c>
      <c r="K141" s="239">
        <v>475</v>
      </c>
      <c r="L141" s="239">
        <v>479</v>
      </c>
      <c r="M141" s="239">
        <v>541</v>
      </c>
      <c r="N141" s="241">
        <f>N142*N14</f>
        <v>552.4375060844452</v>
      </c>
      <c r="O141" s="241">
        <f>O142*O14</f>
        <v>568.83537061635548</v>
      </c>
      <c r="P141" s="241">
        <f>P142*P14</f>
        <v>584.36872107664851</v>
      </c>
      <c r="Q141" s="241">
        <f>Q142*Q14</f>
        <v>597.55883886324273</v>
      </c>
      <c r="R141" s="241">
        <f>R142*R14</f>
        <v>613.54183717469095</v>
      </c>
    </row>
    <row r="142" spans="2:18" x14ac:dyDescent="0.2">
      <c r="B142" s="14" t="s">
        <v>484</v>
      </c>
      <c r="C142" s="248">
        <f t="shared" ref="C142:M142" si="76">C141/C14</f>
        <v>2.6221039448966813E-2</v>
      </c>
      <c r="D142" s="248">
        <f t="shared" si="76"/>
        <v>2.3171857946436069E-2</v>
      </c>
      <c r="E142" s="248">
        <f t="shared" si="76"/>
        <v>2.3953127692572806E-2</v>
      </c>
      <c r="F142" s="248">
        <f t="shared" si="76"/>
        <v>2.8992533695335984E-2</v>
      </c>
      <c r="G142" s="248">
        <f t="shared" si="76"/>
        <v>2.9949086552860139E-2</v>
      </c>
      <c r="H142" s="248">
        <f t="shared" si="76"/>
        <v>3.0970815961882073E-2</v>
      </c>
      <c r="I142" s="248">
        <f t="shared" si="76"/>
        <v>3.4448624034844583E-2</v>
      </c>
      <c r="J142" s="248">
        <f t="shared" si="76"/>
        <v>3.9284032030146021E-2</v>
      </c>
      <c r="K142" s="248">
        <f t="shared" si="76"/>
        <v>4.53763851738632E-2</v>
      </c>
      <c r="L142" s="248">
        <f t="shared" si="76"/>
        <v>4.9719742578368281E-2</v>
      </c>
      <c r="M142" s="248">
        <f t="shared" si="76"/>
        <v>5.3873730332603065E-2</v>
      </c>
      <c r="N142" s="263">
        <f t="shared" ref="N142:R142" si="77">M142</f>
        <v>5.3873730332603065E-2</v>
      </c>
      <c r="O142" s="263">
        <f t="shared" si="77"/>
        <v>5.3873730332603065E-2</v>
      </c>
      <c r="P142" s="263">
        <f t="shared" si="77"/>
        <v>5.3873730332603065E-2</v>
      </c>
      <c r="Q142" s="263">
        <f t="shared" si="77"/>
        <v>5.3873730332603065E-2</v>
      </c>
      <c r="R142" s="263">
        <f t="shared" si="77"/>
        <v>5.3873730332603065E-2</v>
      </c>
    </row>
    <row r="143" spans="2:18" x14ac:dyDescent="0.2">
      <c r="B143" s="1" t="s">
        <v>485</v>
      </c>
      <c r="C143" s="239">
        <v>0</v>
      </c>
      <c r="D143" s="239">
        <v>0</v>
      </c>
      <c r="E143" s="239">
        <v>0</v>
      </c>
      <c r="F143" s="239">
        <v>0</v>
      </c>
      <c r="G143" s="239">
        <v>0</v>
      </c>
      <c r="H143" s="239">
        <v>0</v>
      </c>
      <c r="I143" s="239">
        <v>0</v>
      </c>
      <c r="J143" s="239">
        <v>0</v>
      </c>
      <c r="K143" s="239">
        <v>0</v>
      </c>
      <c r="L143" s="239">
        <v>0</v>
      </c>
      <c r="M143" s="239">
        <v>0</v>
      </c>
      <c r="N143" s="239">
        <f>N29*0.5</f>
        <v>0</v>
      </c>
      <c r="O143" s="239">
        <f>O29*0.5</f>
        <v>0</v>
      </c>
      <c r="P143" s="239">
        <f>P29*0.5</f>
        <v>0</v>
      </c>
      <c r="Q143" s="239">
        <f>Q29*0.5</f>
        <v>0</v>
      </c>
      <c r="R143" s="239">
        <f>R29*0.5</f>
        <v>0</v>
      </c>
    </row>
    <row r="144" spans="2:18" x14ac:dyDescent="0.2">
      <c r="B144" s="1" t="s">
        <v>486</v>
      </c>
      <c r="C144" s="239"/>
      <c r="D144" s="239"/>
      <c r="E144" s="239"/>
      <c r="F144" s="239"/>
      <c r="G144" s="239"/>
      <c r="H144" s="239"/>
      <c r="I144" s="239"/>
      <c r="J144" s="239"/>
      <c r="K144" s="239"/>
      <c r="L144" s="239"/>
      <c r="M144" s="239"/>
      <c r="N144" s="239">
        <f>N29*0.5</f>
        <v>0</v>
      </c>
      <c r="O144" s="239">
        <f>O29*0.5</f>
        <v>0</v>
      </c>
      <c r="P144" s="239">
        <f>P29*0.5</f>
        <v>0</v>
      </c>
      <c r="Q144" s="239">
        <f>Q29*0.5</f>
        <v>0</v>
      </c>
      <c r="R144" s="239">
        <f>R29*0.5</f>
        <v>0</v>
      </c>
    </row>
    <row r="145" spans="2:18" x14ac:dyDescent="0.2">
      <c r="B145" s="1" t="s">
        <v>487</v>
      </c>
      <c r="C145" s="239">
        <v>669</v>
      </c>
      <c r="D145" s="239">
        <v>-330</v>
      </c>
      <c r="E145" s="239">
        <v>-2600</v>
      </c>
      <c r="F145" s="239">
        <v>-764</v>
      </c>
      <c r="G145" s="239">
        <v>-1521</v>
      </c>
      <c r="H145" s="239">
        <v>-2621</v>
      </c>
      <c r="I145" s="239">
        <v>-509</v>
      </c>
      <c r="J145" s="239">
        <v>-556</v>
      </c>
      <c r="K145" s="239">
        <v>-668</v>
      </c>
      <c r="L145" s="239">
        <v>187</v>
      </c>
      <c r="M145" s="239">
        <v>-1568</v>
      </c>
      <c r="N145" s="241">
        <f t="shared" ref="N145:R145" si="78">-(N94-M94+N101-M101)+(N109-M109+N114-M114)</f>
        <v>0</v>
      </c>
      <c r="O145" s="241">
        <f t="shared" si="78"/>
        <v>0</v>
      </c>
      <c r="P145" s="241">
        <f t="shared" si="78"/>
        <v>0</v>
      </c>
      <c r="Q145" s="241">
        <f t="shared" si="78"/>
        <v>0</v>
      </c>
      <c r="R145" s="241">
        <f t="shared" si="78"/>
        <v>0</v>
      </c>
    </row>
    <row r="146" spans="2:18" x14ac:dyDescent="0.2">
      <c r="B146" s="1" t="s">
        <v>488</v>
      </c>
      <c r="C146" s="239">
        <f>200+0+0+-642+291+28</f>
        <v>-123</v>
      </c>
      <c r="D146" s="239">
        <f>765-404+237+399</f>
        <v>997</v>
      </c>
      <c r="E146" s="239">
        <f>1222-11209-741+628-257+185-95</f>
        <v>-10267</v>
      </c>
      <c r="F146" s="239">
        <f>162+876+680-205+50+757</f>
        <v>2320</v>
      </c>
      <c r="G146" s="239">
        <f>3948+625+213</f>
        <v>4786</v>
      </c>
      <c r="H146" s="239">
        <f>646+5347+500-42+2+269</f>
        <v>6722</v>
      </c>
      <c r="I146" s="239">
        <f>296+650+978</f>
        <v>1924</v>
      </c>
      <c r="J146" s="239">
        <f>1040+993+184</f>
        <v>2217</v>
      </c>
      <c r="K146" s="239">
        <f>1718+0+-49+2660</f>
        <v>4329</v>
      </c>
      <c r="L146" s="239">
        <f>302+805+1556-1940</f>
        <v>723</v>
      </c>
      <c r="M146" s="239">
        <f>19095-14841</f>
        <v>4254</v>
      </c>
      <c r="N146" s="241">
        <f>N30-N46</f>
        <v>0</v>
      </c>
      <c r="O146" s="241">
        <f>O30-O46</f>
        <v>0</v>
      </c>
      <c r="P146" s="241">
        <f>P30-P46</f>
        <v>0</v>
      </c>
      <c r="Q146" s="241">
        <f>Q30-Q46</f>
        <v>0</v>
      </c>
      <c r="R146" s="241">
        <f>R30-R46</f>
        <v>0</v>
      </c>
    </row>
    <row r="148" spans="2:18" x14ac:dyDescent="0.2">
      <c r="B148" s="241" t="s">
        <v>489</v>
      </c>
      <c r="C148" s="239">
        <v>349</v>
      </c>
      <c r="D148" s="239">
        <v>436</v>
      </c>
      <c r="E148" s="239">
        <v>-554</v>
      </c>
      <c r="F148" s="239">
        <v>-480</v>
      </c>
      <c r="G148" s="239">
        <v>-619</v>
      </c>
      <c r="H148" s="239">
        <v>297</v>
      </c>
      <c r="I148" s="239">
        <v>-418</v>
      </c>
      <c r="J148" s="239">
        <v>294</v>
      </c>
      <c r="K148" s="239">
        <v>-1002</v>
      </c>
      <c r="L148" s="239">
        <v>-2033</v>
      </c>
      <c r="M148" s="239">
        <v>-644</v>
      </c>
      <c r="N148" s="241">
        <f t="shared" ref="N148:R148" si="79">M90-N90</f>
        <v>1.0635616438357829</v>
      </c>
      <c r="O148" s="241">
        <f t="shared" si="79"/>
        <v>-642.18620109205403</v>
      </c>
      <c r="P148" s="241">
        <f t="shared" si="79"/>
        <v>-522.38698260361889</v>
      </c>
      <c r="Q148" s="241">
        <f t="shared" si="79"/>
        <v>-239.56354437672235</v>
      </c>
      <c r="R148" s="241">
        <f t="shared" si="79"/>
        <v>-290.2888197972934</v>
      </c>
    </row>
    <row r="149" spans="2:18" x14ac:dyDescent="0.2">
      <c r="B149" s="241" t="s">
        <v>490</v>
      </c>
      <c r="C149" s="239">
        <v>-482</v>
      </c>
      <c r="D149" s="239">
        <v>-365</v>
      </c>
      <c r="E149" s="239">
        <v>79</v>
      </c>
      <c r="F149" s="239">
        <v>805</v>
      </c>
      <c r="G149" s="239">
        <v>206</v>
      </c>
      <c r="H149" s="239">
        <v>-145</v>
      </c>
      <c r="I149" s="239">
        <v>-911</v>
      </c>
      <c r="J149" s="239">
        <v>-508</v>
      </c>
      <c r="K149" s="239">
        <v>-855</v>
      </c>
      <c r="L149" s="239">
        <v>-674</v>
      </c>
      <c r="M149" s="239">
        <v>-161</v>
      </c>
      <c r="N149" s="241">
        <f t="shared" ref="N149:R149" si="80">M92-N92</f>
        <v>1422.6199692206092</v>
      </c>
      <c r="O149" s="241">
        <f t="shared" si="80"/>
        <v>111.7721613249123</v>
      </c>
      <c r="P149" s="241">
        <f t="shared" si="80"/>
        <v>-116.96446365422526</v>
      </c>
      <c r="Q149" s="241">
        <f t="shared" si="80"/>
        <v>10.646184377613281</v>
      </c>
      <c r="R149" s="241">
        <f t="shared" si="80"/>
        <v>110.23606699608354</v>
      </c>
    </row>
    <row r="150" spans="2:18" x14ac:dyDescent="0.2">
      <c r="B150" s="241" t="s">
        <v>491</v>
      </c>
      <c r="C150" s="239"/>
      <c r="D150" s="239"/>
      <c r="E150" s="239"/>
      <c r="F150" s="239"/>
      <c r="G150" s="239"/>
      <c r="H150" s="239"/>
      <c r="I150" s="239"/>
      <c r="J150" s="239"/>
      <c r="K150" s="239"/>
      <c r="L150" s="239"/>
      <c r="M150" s="239"/>
      <c r="N150" s="241">
        <f t="shared" ref="N150:R150" si="81">M95-N95-N160*N164</f>
        <v>0</v>
      </c>
      <c r="O150" s="241">
        <f t="shared" si="81"/>
        <v>0</v>
      </c>
      <c r="P150" s="241">
        <f t="shared" si="81"/>
        <v>0</v>
      </c>
      <c r="Q150" s="241">
        <f t="shared" si="81"/>
        <v>0</v>
      </c>
      <c r="R150" s="241">
        <f t="shared" si="81"/>
        <v>0</v>
      </c>
    </row>
    <row r="151" spans="2:18" x14ac:dyDescent="0.2">
      <c r="B151" s="241" t="s">
        <v>492</v>
      </c>
      <c r="C151" s="239">
        <f>-302</f>
        <v>-302</v>
      </c>
      <c r="D151" s="239">
        <v>522</v>
      </c>
      <c r="E151" s="239">
        <v>593</v>
      </c>
      <c r="F151" s="239">
        <v>-37</v>
      </c>
      <c r="G151" s="239">
        <v>278</v>
      </c>
      <c r="H151" s="239">
        <v>254</v>
      </c>
      <c r="I151" s="239">
        <v>230</v>
      </c>
      <c r="J151" s="239">
        <v>399</v>
      </c>
      <c r="K151" s="239">
        <v>724</v>
      </c>
      <c r="L151" s="239">
        <v>405</v>
      </c>
      <c r="M151" s="239">
        <v>-289</v>
      </c>
      <c r="N151" s="241">
        <f t="shared" ref="N151:R151" si="82">N106-M106</f>
        <v>-1026.2310182298552</v>
      </c>
      <c r="O151" s="241">
        <f t="shared" si="82"/>
        <v>-80.628742326075553</v>
      </c>
      <c r="P151" s="241">
        <f t="shared" si="82"/>
        <v>84.374297584439319</v>
      </c>
      <c r="Q151" s="241">
        <f t="shared" si="82"/>
        <v>-7.679805478961498</v>
      </c>
      <c r="R151" s="241">
        <f t="shared" si="82"/>
        <v>-79.520654655947055</v>
      </c>
    </row>
    <row r="152" spans="2:18" x14ac:dyDescent="0.2">
      <c r="B152" s="241" t="s">
        <v>493</v>
      </c>
      <c r="C152" s="239">
        <f>-717-34-1747-1203</f>
        <v>-3701</v>
      </c>
      <c r="D152" s="239">
        <f>-397-1421-132+563</f>
        <v>-1387</v>
      </c>
      <c r="E152" s="239">
        <f>1635-21+190-98</f>
        <v>1706</v>
      </c>
      <c r="F152" s="239">
        <f>-8-266-277-5</f>
        <v>-556</v>
      </c>
      <c r="G152" s="239">
        <f>-2018-809+124+237</f>
        <v>-2466</v>
      </c>
      <c r="H152" s="239">
        <f>-922-3291-123-1087</f>
        <v>-5423</v>
      </c>
      <c r="I152" s="239">
        <f>-341+827-266-674</f>
        <v>-454</v>
      </c>
      <c r="J152" s="239">
        <f>376-2359-237-32</f>
        <v>-2252</v>
      </c>
      <c r="K152" s="239">
        <f>-1138+560-453-2426</f>
        <v>-3457</v>
      </c>
      <c r="L152" s="239">
        <f>277-540+484-1758</f>
        <v>-1537</v>
      </c>
      <c r="M152" s="239">
        <v>-1473</v>
      </c>
      <c r="N152" s="241">
        <f t="shared" ref="N152:R152" si="83">N110-M110</f>
        <v>320.86000000000058</v>
      </c>
      <c r="O152" s="241">
        <f t="shared" si="83"/>
        <v>327.27720000000045</v>
      </c>
      <c r="P152" s="241">
        <f t="shared" si="83"/>
        <v>333.82274400000097</v>
      </c>
      <c r="Q152" s="241">
        <f t="shared" si="83"/>
        <v>340.49919887999931</v>
      </c>
      <c r="R152" s="241">
        <f t="shared" si="83"/>
        <v>347.30918285759981</v>
      </c>
    </row>
    <row r="154" spans="2:18" x14ac:dyDescent="0.2">
      <c r="B154" s="251" t="s">
        <v>494</v>
      </c>
      <c r="C154" s="251">
        <f t="shared" ref="C154:R154" si="84">C135+C137+C140+C141+C143+C144+C145+C146+C148+C149+C150+C151+C152</f>
        <v>10022</v>
      </c>
      <c r="D154" s="251">
        <f t="shared" si="84"/>
        <v>11654</v>
      </c>
      <c r="E154" s="251">
        <f t="shared" si="84"/>
        <v>7860</v>
      </c>
      <c r="F154" s="251">
        <f t="shared" si="84"/>
        <v>12421</v>
      </c>
      <c r="G154" s="251">
        <f t="shared" si="84"/>
        <v>10376</v>
      </c>
      <c r="H154" s="251">
        <f t="shared" si="84"/>
        <v>6451</v>
      </c>
      <c r="I154" s="251">
        <f t="shared" si="84"/>
        <v>10922</v>
      </c>
      <c r="J154" s="251">
        <f t="shared" si="84"/>
        <v>13440</v>
      </c>
      <c r="K154" s="251">
        <f t="shared" si="84"/>
        <v>10253</v>
      </c>
      <c r="L154" s="251">
        <f t="shared" si="84"/>
        <v>13122</v>
      </c>
      <c r="M154" s="251">
        <f t="shared" si="84"/>
        <v>19095</v>
      </c>
      <c r="N154" s="251">
        <f t="shared" si="84"/>
        <v>20807.360758241201</v>
      </c>
      <c r="O154" s="251">
        <f t="shared" si="84"/>
        <v>23241.660148705992</v>
      </c>
      <c r="P154" s="251">
        <f t="shared" si="84"/>
        <v>25382.520890906828</v>
      </c>
      <c r="Q154" s="251">
        <f t="shared" si="84"/>
        <v>26697.508137115376</v>
      </c>
      <c r="R154" s="251">
        <f t="shared" si="84"/>
        <v>27983.421029934903</v>
      </c>
    </row>
    <row r="155" spans="2:18" x14ac:dyDescent="0.2">
      <c r="B155" s="14" t="s">
        <v>495</v>
      </c>
      <c r="C155" s="258">
        <f t="shared" ref="C155:M155" si="85">C154/C135</f>
        <v>1.5910461978091761</v>
      </c>
      <c r="D155" s="258">
        <f t="shared" si="85"/>
        <v>2.5800309940225814</v>
      </c>
      <c r="E155" s="258">
        <f t="shared" si="85"/>
        <v>0.65862242332830567</v>
      </c>
      <c r="F155" s="258">
        <f t="shared" si="85"/>
        <v>2.7856021529490915</v>
      </c>
      <c r="G155" s="258">
        <f t="shared" si="85"/>
        <v>2.6328343060137023</v>
      </c>
      <c r="H155" s="258">
        <f t="shared" si="85"/>
        <v>2.6679073614557485</v>
      </c>
      <c r="I155" s="258">
        <f t="shared" si="85"/>
        <v>1.7636040691102859</v>
      </c>
      <c r="J155" s="258">
        <f t="shared" si="85"/>
        <v>1.3746548020865297</v>
      </c>
      <c r="K155" s="258">
        <f t="shared" si="85"/>
        <v>1.4477548715052244</v>
      </c>
      <c r="L155" s="258">
        <f t="shared" si="85"/>
        <v>1.0618223013432595</v>
      </c>
      <c r="M155" s="258">
        <f t="shared" si="85"/>
        <v>1.3145394465097067</v>
      </c>
      <c r="N155" s="258">
        <f>N154/N135</f>
        <v>1.3566446778649799</v>
      </c>
      <c r="O155" s="258">
        <f t="shared" ref="O155:R155" si="86">O154/O135</f>
        <v>1.2368451087061363</v>
      </c>
      <c r="P155" s="258">
        <f t="shared" si="86"/>
        <v>1.2146091683359315</v>
      </c>
      <c r="Q155" s="258">
        <f t="shared" si="86"/>
        <v>1.2151783471155302</v>
      </c>
      <c r="R155" s="258">
        <f t="shared" si="86"/>
        <v>1.1997692775485655</v>
      </c>
    </row>
    <row r="157" spans="2:18" x14ac:dyDescent="0.2">
      <c r="B157" s="1" t="s">
        <v>496</v>
      </c>
      <c r="C157" s="239">
        <v>-1954</v>
      </c>
      <c r="D157" s="239">
        <v>-1548</v>
      </c>
      <c r="E157" s="239">
        <v>-1317</v>
      </c>
      <c r="F157" s="239">
        <v>-1283</v>
      </c>
      <c r="G157" s="239">
        <v>-1614</v>
      </c>
      <c r="H157" s="239">
        <v>-1888</v>
      </c>
      <c r="I157" s="239">
        <v>-2615</v>
      </c>
      <c r="J157" s="239">
        <v>-3473</v>
      </c>
      <c r="K157" s="239">
        <v>-4684</v>
      </c>
      <c r="L157" s="239">
        <f>-4448</f>
        <v>-4448</v>
      </c>
      <c r="M157" s="239">
        <v>-4388</v>
      </c>
      <c r="N157" s="239">
        <f>N5*0.055*-1</f>
        <v>-3161.4566500000001</v>
      </c>
      <c r="O157" s="239">
        <f>O5*0.0475*-1</f>
        <v>-2915.9139793572249</v>
      </c>
      <c r="P157" s="239">
        <f>P5*0.0475*-1</f>
        <v>-3066.8620512053953</v>
      </c>
      <c r="Q157" s="239">
        <f>Q5*0.0475*-1</f>
        <v>-3136.0859337159191</v>
      </c>
      <c r="R157" s="239">
        <f>R5*0.0475*-1</f>
        <v>-3219.9673072698456</v>
      </c>
    </row>
    <row r="158" spans="2:18" x14ac:dyDescent="0.2">
      <c r="B158" s="14" t="s">
        <v>497</v>
      </c>
      <c r="C158" s="248">
        <f t="shared" ref="C158:R158" si="87">-C157/C5</f>
        <v>4.1339623839042036E-2</v>
      </c>
      <c r="D158" s="248">
        <f t="shared" si="87"/>
        <v>3.5155451593123339E-2</v>
      </c>
      <c r="E158" s="248">
        <f t="shared" si="87"/>
        <v>3.1181191846011792E-2</v>
      </c>
      <c r="F158" s="248">
        <f t="shared" si="87"/>
        <v>3.2482657349739229E-2</v>
      </c>
      <c r="G158" s="248">
        <f t="shared" si="87"/>
        <v>4.0545632677669759E-2</v>
      </c>
      <c r="H158" s="248">
        <f t="shared" si="87"/>
        <v>4.7056477742884205E-2</v>
      </c>
      <c r="I158" s="248">
        <f t="shared" si="87"/>
        <v>6.1831147765802993E-2</v>
      </c>
      <c r="J158" s="248">
        <f t="shared" si="87"/>
        <v>7.4146029035012814E-2</v>
      </c>
      <c r="K158" s="248">
        <f t="shared" si="87"/>
        <v>9.7595532774930202E-2</v>
      </c>
      <c r="L158" s="248">
        <f t="shared" si="87"/>
        <v>9.1327201051248363E-2</v>
      </c>
      <c r="M158" s="248">
        <f t="shared" si="87"/>
        <v>7.4017846600205786E-2</v>
      </c>
      <c r="N158" s="248">
        <f t="shared" si="87"/>
        <v>5.5E-2</v>
      </c>
      <c r="O158" s="248">
        <f t="shared" si="87"/>
        <v>4.7500000000000001E-2</v>
      </c>
      <c r="P158" s="248">
        <f t="shared" si="87"/>
        <v>4.7500000000000001E-2</v>
      </c>
      <c r="Q158" s="248">
        <f t="shared" si="87"/>
        <v>4.7500000000000001E-2</v>
      </c>
      <c r="R158" s="248">
        <f t="shared" si="87"/>
        <v>4.7500000000000001E-2</v>
      </c>
    </row>
    <row r="159" spans="2:18" x14ac:dyDescent="0.2">
      <c r="B159" s="14" t="s">
        <v>498</v>
      </c>
      <c r="C159" s="14"/>
      <c r="D159" s="261">
        <f t="shared" ref="D159:R159" si="88">-C98/D157</f>
        <v>10.355297157622738</v>
      </c>
      <c r="E159" s="261">
        <f t="shared" si="88"/>
        <v>11.369020501138952</v>
      </c>
      <c r="F159" s="261">
        <f t="shared" si="88"/>
        <v>10.23850350740452</v>
      </c>
      <c r="G159" s="261">
        <f t="shared" si="88"/>
        <v>7.7490706319702598</v>
      </c>
      <c r="H159" s="261">
        <f t="shared" si="88"/>
        <v>6.3697033898305087</v>
      </c>
      <c r="I159" s="261">
        <f t="shared" si="88"/>
        <v>4.7567877629063098</v>
      </c>
      <c r="J159" s="261">
        <f t="shared" si="88"/>
        <v>3.8269507630290813</v>
      </c>
      <c r="K159" s="261">
        <f t="shared" si="88"/>
        <v>3.2137062339880442</v>
      </c>
      <c r="L159" s="261">
        <f t="shared" si="88"/>
        <v>4.0436151079136691</v>
      </c>
      <c r="M159" s="261">
        <f t="shared" si="88"/>
        <v>4.393573381950775</v>
      </c>
      <c r="N159" s="261">
        <f t="shared" si="88"/>
        <v>6.7759904283362546</v>
      </c>
      <c r="O159" s="261">
        <f t="shared" si="88"/>
        <v>7.6422746376462944</v>
      </c>
      <c r="P159" s="261">
        <f t="shared" si="88"/>
        <v>7.4162523584930424</v>
      </c>
      <c r="Q159" s="261">
        <f t="shared" si="88"/>
        <v>7.4069603919964253</v>
      </c>
      <c r="R159" s="261">
        <f t="shared" si="88"/>
        <v>7.3677877743002433</v>
      </c>
    </row>
    <row r="160" spans="2:18" x14ac:dyDescent="0.2">
      <c r="B160" s="1" t="s">
        <v>499</v>
      </c>
      <c r="C160" s="239">
        <v>0</v>
      </c>
      <c r="D160" s="239">
        <v>0</v>
      </c>
      <c r="E160" s="239">
        <f>13951+1169-3700-181-1000</f>
        <v>10239</v>
      </c>
      <c r="F160" s="239">
        <f>316-7598-146</f>
        <v>-7428</v>
      </c>
      <c r="G160" s="239">
        <f>-780</f>
        <v>-780</v>
      </c>
      <c r="H160" s="239">
        <v>-396</v>
      </c>
      <c r="I160" s="239">
        <v>-431</v>
      </c>
      <c r="J160" s="239">
        <f>-294-1040-3620</f>
        <v>-4954</v>
      </c>
      <c r="K160" s="239">
        <f>-1365-2696-2545</f>
        <v>-6606</v>
      </c>
      <c r="L160" s="239">
        <f>-179-11174-1554</f>
        <v>-12907</v>
      </c>
      <c r="M160" s="239">
        <v>-121</v>
      </c>
      <c r="N160" s="239"/>
      <c r="O160" s="239"/>
      <c r="P160" s="239"/>
      <c r="Q160" s="239"/>
      <c r="R160" s="239"/>
    </row>
    <row r="161" spans="2:18" x14ac:dyDescent="0.2">
      <c r="B161" s="14" t="s">
        <v>500</v>
      </c>
      <c r="C161" s="14"/>
      <c r="D161" s="14"/>
      <c r="E161" s="14"/>
      <c r="F161" s="14"/>
      <c r="G161" s="14"/>
      <c r="H161" s="14"/>
      <c r="I161" s="14"/>
      <c r="J161" s="14"/>
      <c r="K161" s="14"/>
      <c r="L161" s="14"/>
      <c r="M161" s="14"/>
      <c r="N161" s="14"/>
      <c r="O161" s="14"/>
      <c r="P161" s="14"/>
      <c r="Q161" s="14"/>
      <c r="R161" s="14"/>
    </row>
    <row r="162" spans="2:18" x14ac:dyDescent="0.2">
      <c r="B162" s="14" t="s">
        <v>501</v>
      </c>
      <c r="C162" s="14"/>
      <c r="D162" s="14"/>
      <c r="E162" s="264"/>
      <c r="F162" s="264"/>
      <c r="G162" s="264"/>
      <c r="H162" s="264"/>
      <c r="I162" s="264"/>
      <c r="J162" s="264"/>
      <c r="K162" s="264"/>
      <c r="L162" s="264"/>
      <c r="M162" s="264"/>
      <c r="N162" s="265"/>
      <c r="O162" s="265"/>
      <c r="P162" s="265"/>
      <c r="Q162" s="265"/>
      <c r="R162" s="265"/>
    </row>
    <row r="163" spans="2:18" x14ac:dyDescent="0.2">
      <c r="B163" s="14" t="s">
        <v>502</v>
      </c>
      <c r="C163" s="14"/>
      <c r="D163" s="14"/>
      <c r="E163" s="264"/>
      <c r="F163" s="264"/>
      <c r="G163" s="264"/>
      <c r="H163" s="264"/>
      <c r="I163" s="264"/>
      <c r="J163" s="264"/>
      <c r="K163" s="264"/>
      <c r="L163" s="264"/>
      <c r="M163" s="264"/>
      <c r="N163" s="265"/>
      <c r="O163" s="265"/>
      <c r="P163" s="265"/>
      <c r="Q163" s="265"/>
      <c r="R163" s="265"/>
    </row>
    <row r="164" spans="2:18" x14ac:dyDescent="0.2">
      <c r="B164" s="14" t="s">
        <v>503</v>
      </c>
      <c r="C164" s="14"/>
      <c r="D164" s="14"/>
      <c r="E164" s="264"/>
      <c r="F164" s="264"/>
      <c r="G164" s="264"/>
      <c r="H164" s="264"/>
      <c r="I164" s="264"/>
      <c r="J164" s="264"/>
      <c r="K164" s="264"/>
      <c r="L164" s="264"/>
      <c r="M164" s="264"/>
      <c r="N164" s="265"/>
      <c r="O164" s="265"/>
      <c r="P164" s="265"/>
      <c r="Q164" s="265"/>
      <c r="R164" s="265"/>
    </row>
    <row r="165" spans="2:18" x14ac:dyDescent="0.2">
      <c r="B165" s="14" t="s">
        <v>504</v>
      </c>
      <c r="C165" s="14"/>
      <c r="D165" s="14"/>
      <c r="E165" s="264"/>
      <c r="F165" s="264"/>
      <c r="G165" s="264"/>
      <c r="H165" s="264"/>
      <c r="I165" s="264"/>
      <c r="J165" s="264"/>
      <c r="K165" s="264"/>
      <c r="L165" s="264"/>
      <c r="M165" s="264"/>
      <c r="N165" s="258">
        <f t="shared" ref="N165:R165" si="89">1-N164-N163-N162</f>
        <v>1</v>
      </c>
      <c r="O165" s="258">
        <f t="shared" si="89"/>
        <v>1</v>
      </c>
      <c r="P165" s="258">
        <f t="shared" si="89"/>
        <v>1</v>
      </c>
      <c r="Q165" s="258">
        <f t="shared" si="89"/>
        <v>1</v>
      </c>
      <c r="R165" s="258">
        <f t="shared" si="89"/>
        <v>1</v>
      </c>
    </row>
    <row r="166" spans="2:18" x14ac:dyDescent="0.2">
      <c r="B166" s="14"/>
      <c r="C166" s="14"/>
      <c r="D166" s="14"/>
      <c r="E166" s="264"/>
      <c r="F166" s="264"/>
      <c r="G166" s="264"/>
      <c r="H166" s="264"/>
      <c r="I166" s="264"/>
      <c r="J166" s="264"/>
      <c r="K166" s="264"/>
      <c r="L166" s="264"/>
      <c r="M166" s="264"/>
      <c r="N166" s="264"/>
      <c r="O166" s="264"/>
      <c r="P166" s="264"/>
      <c r="Q166" s="264"/>
      <c r="R166" s="264"/>
    </row>
    <row r="167" spans="2:18" x14ac:dyDescent="0.2">
      <c r="B167" s="14" t="s">
        <v>505</v>
      </c>
      <c r="C167" s="14"/>
      <c r="D167" s="14"/>
      <c r="E167" s="264"/>
      <c r="F167" s="264"/>
      <c r="G167" s="264"/>
      <c r="H167" s="264"/>
      <c r="I167" s="264"/>
      <c r="J167" s="264"/>
      <c r="K167" s="264"/>
      <c r="L167" s="264"/>
      <c r="M167" s="264"/>
      <c r="N167" s="266">
        <f t="shared" ref="N167:R167" si="90">-N160*N162</f>
        <v>0</v>
      </c>
      <c r="O167" s="266">
        <f t="shared" si="90"/>
        <v>0</v>
      </c>
      <c r="P167" s="266">
        <f t="shared" si="90"/>
        <v>0</v>
      </c>
      <c r="Q167" s="266">
        <f t="shared" si="90"/>
        <v>0</v>
      </c>
      <c r="R167" s="266">
        <f t="shared" si="90"/>
        <v>0</v>
      </c>
    </row>
    <row r="168" spans="2:18" x14ac:dyDescent="0.2">
      <c r="B168" s="14" t="s">
        <v>506</v>
      </c>
      <c r="C168" s="14"/>
      <c r="D168" s="14"/>
      <c r="E168" s="264"/>
      <c r="F168" s="264"/>
      <c r="G168" s="264"/>
      <c r="H168" s="264"/>
      <c r="I168" s="264"/>
      <c r="J168" s="264"/>
      <c r="K168" s="264"/>
      <c r="L168" s="264"/>
      <c r="M168" s="264"/>
      <c r="N168" s="266">
        <f t="shared" ref="N168:R168" si="91">-N160*N163</f>
        <v>0</v>
      </c>
      <c r="O168" s="266">
        <f t="shared" si="91"/>
        <v>0</v>
      </c>
      <c r="P168" s="266">
        <f t="shared" si="91"/>
        <v>0</v>
      </c>
      <c r="Q168" s="266">
        <f t="shared" si="91"/>
        <v>0</v>
      </c>
      <c r="R168" s="266">
        <f t="shared" si="91"/>
        <v>0</v>
      </c>
    </row>
    <row r="169" spans="2:18" x14ac:dyDescent="0.2">
      <c r="B169" s="14" t="s">
        <v>507</v>
      </c>
      <c r="C169" s="14"/>
      <c r="D169" s="14"/>
      <c r="E169" s="264"/>
      <c r="F169" s="264"/>
      <c r="G169" s="264"/>
      <c r="H169" s="264"/>
      <c r="I169" s="264"/>
      <c r="J169" s="264"/>
      <c r="K169" s="264"/>
      <c r="L169" s="264"/>
      <c r="M169" s="264"/>
      <c r="N169" s="266">
        <f t="shared" ref="N169:R169" si="92">-N160*N164</f>
        <v>0</v>
      </c>
      <c r="O169" s="266">
        <f t="shared" si="92"/>
        <v>0</v>
      </c>
      <c r="P169" s="266">
        <f t="shared" si="92"/>
        <v>0</v>
      </c>
      <c r="Q169" s="266">
        <f t="shared" si="92"/>
        <v>0</v>
      </c>
      <c r="R169" s="266">
        <f t="shared" si="92"/>
        <v>0</v>
      </c>
    </row>
    <row r="170" spans="2:18" x14ac:dyDescent="0.2">
      <c r="B170" s="14" t="s">
        <v>508</v>
      </c>
      <c r="C170" s="14"/>
      <c r="D170" s="14"/>
      <c r="E170" s="264"/>
      <c r="F170" s="264"/>
      <c r="G170" s="264"/>
      <c r="H170" s="264"/>
      <c r="I170" s="264"/>
      <c r="J170" s="264"/>
      <c r="K170" s="264"/>
      <c r="L170" s="264"/>
      <c r="M170" s="264"/>
      <c r="N170" s="266">
        <f t="shared" ref="N170:R170" si="93">-N160*N165</f>
        <v>0</v>
      </c>
      <c r="O170" s="266">
        <f t="shared" si="93"/>
        <v>0</v>
      </c>
      <c r="P170" s="266">
        <f t="shared" si="93"/>
        <v>0</v>
      </c>
      <c r="Q170" s="266">
        <f t="shared" si="93"/>
        <v>0</v>
      </c>
      <c r="R170" s="266">
        <f t="shared" si="93"/>
        <v>0</v>
      </c>
    </row>
    <row r="171" spans="2:18" x14ac:dyDescent="0.2">
      <c r="B171" s="14"/>
      <c r="C171" s="14"/>
      <c r="D171" s="14"/>
      <c r="E171" s="264"/>
      <c r="F171" s="264"/>
      <c r="G171" s="264"/>
      <c r="H171" s="264"/>
      <c r="I171" s="264"/>
      <c r="J171" s="264"/>
      <c r="K171" s="264"/>
      <c r="L171" s="264"/>
      <c r="M171" s="264"/>
      <c r="N171" s="264"/>
      <c r="O171" s="264"/>
      <c r="P171" s="264"/>
      <c r="Q171" s="264"/>
      <c r="R171" s="264"/>
    </row>
    <row r="172" spans="2:18" x14ac:dyDescent="0.2">
      <c r="B172" s="1" t="s">
        <v>509</v>
      </c>
      <c r="C172" s="239">
        <v>7783</v>
      </c>
      <c r="D172" s="239">
        <f>-17991+16298</f>
        <v>-1693</v>
      </c>
      <c r="E172" s="239">
        <f>-24944+15114</f>
        <v>-9830</v>
      </c>
      <c r="F172" s="239">
        <f>-16681+20413</f>
        <v>3732</v>
      </c>
      <c r="G172" s="239">
        <f>14353-15651</f>
        <v>-1298</v>
      </c>
      <c r="H172" s="239">
        <f>15664-10739</f>
        <v>4925</v>
      </c>
      <c r="I172" s="239">
        <f>15252-7994</f>
        <v>7258</v>
      </c>
      <c r="J172" s="239">
        <f>8622-3202</f>
        <v>5420</v>
      </c>
      <c r="K172" s="239">
        <f>2812-95-1000</f>
        <v>1717</v>
      </c>
      <c r="L172" s="239">
        <f>1026-1</f>
        <v>1025</v>
      </c>
      <c r="M172" s="239">
        <f>-1204+721</f>
        <v>-483</v>
      </c>
      <c r="N172" s="241">
        <f t="shared" ref="N172:R172" si="94">M89-N89</f>
        <v>0</v>
      </c>
      <c r="O172" s="241">
        <f t="shared" si="94"/>
        <v>0</v>
      </c>
      <c r="P172" s="241">
        <f t="shared" si="94"/>
        <v>0</v>
      </c>
      <c r="Q172" s="241">
        <f t="shared" si="94"/>
        <v>0</v>
      </c>
      <c r="R172" s="241">
        <f t="shared" si="94"/>
        <v>0</v>
      </c>
    </row>
    <row r="173" spans="2:18" x14ac:dyDescent="0.2">
      <c r="B173" s="1" t="s">
        <v>510</v>
      </c>
      <c r="C173" s="239">
        <f>-12841+34+173</f>
        <v>-12634</v>
      </c>
      <c r="D173" s="239">
        <f>-246+46+350-57</f>
        <v>93</v>
      </c>
      <c r="E173" s="239">
        <f>419+195-80</f>
        <v>534</v>
      </c>
      <c r="F173" s="239">
        <f>139+82</f>
        <v>221</v>
      </c>
      <c r="G173" s="239">
        <f>453+29</f>
        <v>482</v>
      </c>
      <c r="H173" s="239">
        <v>38</v>
      </c>
      <c r="I173" s="239">
        <v>102</v>
      </c>
      <c r="J173" s="239">
        <v>378</v>
      </c>
      <c r="K173" s="239">
        <v>130</v>
      </c>
      <c r="L173" s="239">
        <v>-91</v>
      </c>
      <c r="M173" s="239">
        <v>32</v>
      </c>
      <c r="N173" s="241">
        <f t="shared" ref="N173:R173" si="95">M102-N102+N115-M115</f>
        <v>0</v>
      </c>
      <c r="O173" s="241">
        <f t="shared" si="95"/>
        <v>0</v>
      </c>
      <c r="P173" s="241">
        <f t="shared" si="95"/>
        <v>0</v>
      </c>
      <c r="Q173" s="241">
        <f t="shared" si="95"/>
        <v>0</v>
      </c>
      <c r="R173" s="241">
        <f t="shared" si="95"/>
        <v>0</v>
      </c>
    </row>
    <row r="175" spans="2:18" x14ac:dyDescent="0.2">
      <c r="B175" s="250" t="s">
        <v>511</v>
      </c>
      <c r="C175" s="251">
        <f t="shared" ref="C175:R175" si="96">C157+C160+C172+C173</f>
        <v>-6805</v>
      </c>
      <c r="D175" s="251">
        <f t="shared" si="96"/>
        <v>-3148</v>
      </c>
      <c r="E175" s="251">
        <f t="shared" si="96"/>
        <v>-374</v>
      </c>
      <c r="F175" s="251">
        <f t="shared" si="96"/>
        <v>-4758</v>
      </c>
      <c r="G175" s="251">
        <f t="shared" si="96"/>
        <v>-3210</v>
      </c>
      <c r="H175" s="251">
        <f t="shared" si="96"/>
        <v>2679</v>
      </c>
      <c r="I175" s="251">
        <f t="shared" si="96"/>
        <v>4314</v>
      </c>
      <c r="J175" s="251">
        <f t="shared" si="96"/>
        <v>-2629</v>
      </c>
      <c r="K175" s="251">
        <f t="shared" si="96"/>
        <v>-9443</v>
      </c>
      <c r="L175" s="251">
        <f t="shared" si="96"/>
        <v>-16421</v>
      </c>
      <c r="M175" s="251">
        <f t="shared" si="96"/>
        <v>-4960</v>
      </c>
      <c r="N175" s="251">
        <f t="shared" si="96"/>
        <v>-3161.4566500000001</v>
      </c>
      <c r="O175" s="251">
        <f t="shared" si="96"/>
        <v>-2915.9139793572249</v>
      </c>
      <c r="P175" s="251">
        <f t="shared" si="96"/>
        <v>-3066.8620512053953</v>
      </c>
      <c r="Q175" s="251">
        <f t="shared" si="96"/>
        <v>-3136.0859337159191</v>
      </c>
      <c r="R175" s="251">
        <f t="shared" si="96"/>
        <v>-3219.9673072698456</v>
      </c>
    </row>
    <row r="177" spans="2:19" x14ac:dyDescent="0.2">
      <c r="B177" s="241" t="s">
        <v>512</v>
      </c>
      <c r="C177" s="239">
        <v>-2591</v>
      </c>
      <c r="D177" s="239">
        <v>-6516</v>
      </c>
      <c r="E177" s="239">
        <v>-7703</v>
      </c>
      <c r="F177" s="239">
        <v>-4186</v>
      </c>
      <c r="G177" s="239">
        <v>-3434</v>
      </c>
      <c r="H177" s="239">
        <v>-4014</v>
      </c>
      <c r="I177" s="239">
        <v>-9091</v>
      </c>
      <c r="J177" s="239">
        <v>-4780</v>
      </c>
      <c r="K177" s="239">
        <v>-1281</v>
      </c>
      <c r="L177" s="239">
        <v>-840</v>
      </c>
      <c r="M177" s="239">
        <v>0</v>
      </c>
      <c r="N177" s="239">
        <f>(N53-M53)*N178</f>
        <v>-3453.8544185449809</v>
      </c>
      <c r="O177" s="269">
        <f>(O53-N53)*O178</f>
        <v>-5200.8983631451802</v>
      </c>
      <c r="P177" s="269">
        <f>(P53-O53)*P178</f>
        <v>-5280.2457113263345</v>
      </c>
      <c r="Q177" s="269">
        <f>(Q53-P53)*Q178</f>
        <v>-5355.3370959174053</v>
      </c>
      <c r="R177" s="269">
        <f>(R53-Q53)*R178</f>
        <v>-5423.303981333831</v>
      </c>
    </row>
    <row r="178" spans="2:19" x14ac:dyDescent="0.2">
      <c r="B178" s="266" t="s">
        <v>525</v>
      </c>
      <c r="C178" s="266"/>
      <c r="D178" s="266"/>
      <c r="E178" s="266"/>
      <c r="F178" s="266"/>
      <c r="G178" s="266"/>
      <c r="H178" s="266"/>
      <c r="I178" s="266"/>
      <c r="J178" s="266"/>
      <c r="K178" s="266"/>
      <c r="L178" s="266"/>
      <c r="M178" s="266"/>
      <c r="N178" s="245">
        <v>92</v>
      </c>
      <c r="O178" s="245">
        <v>103.83280827367051</v>
      </c>
      <c r="P178" s="245">
        <v>107.56829629060124</v>
      </c>
      <c r="Q178" s="245">
        <v>111.32453634125679</v>
      </c>
      <c r="R178" s="245">
        <v>115.0381672366268</v>
      </c>
      <c r="S178" s="245"/>
    </row>
    <row r="179" spans="2:19" x14ac:dyDescent="0.2">
      <c r="B179" s="266" t="s">
        <v>513</v>
      </c>
      <c r="C179" s="266"/>
      <c r="D179" s="266"/>
      <c r="E179" s="266"/>
      <c r="F179" s="266"/>
      <c r="G179" s="266"/>
      <c r="H179" s="266"/>
      <c r="I179" s="266"/>
      <c r="J179" s="266"/>
      <c r="K179" s="266"/>
      <c r="L179" s="266"/>
      <c r="M179" s="266"/>
      <c r="N179" s="266">
        <f>N177/N178</f>
        <v>-37.541895853749793</v>
      </c>
      <c r="O179" s="266">
        <f>O177/O178</f>
        <v>-50.089162082925213</v>
      </c>
      <c r="P179" s="266">
        <f>P177/P178</f>
        <v>-49.0873788412664</v>
      </c>
      <c r="Q179" s="266">
        <f>Q177/Q178</f>
        <v>-48.105631264441399</v>
      </c>
      <c r="R179" s="266">
        <f>R177/R178</f>
        <v>-47.143518639152262</v>
      </c>
    </row>
    <row r="180" spans="2:19" x14ac:dyDescent="0.2">
      <c r="B180" s="241" t="s">
        <v>514</v>
      </c>
      <c r="C180" s="239">
        <v>-5116</v>
      </c>
      <c r="D180" s="239">
        <v>-5157</v>
      </c>
      <c r="E180" s="239">
        <v>-5170</v>
      </c>
      <c r="F180" s="239">
        <v>-5117</v>
      </c>
      <c r="G180" s="239">
        <v>-5124</v>
      </c>
      <c r="H180" s="239">
        <v>-5167</v>
      </c>
      <c r="I180" s="239">
        <v>-5172</v>
      </c>
      <c r="J180" s="239">
        <v>-5695</v>
      </c>
      <c r="K180" s="239">
        <v>-6215</v>
      </c>
      <c r="L180" s="239">
        <v>-6610</v>
      </c>
      <c r="M180" s="239">
        <v>-7012</v>
      </c>
      <c r="N180" s="241">
        <f>N75</f>
        <v>-7513.3743124387511</v>
      </c>
      <c r="O180" s="241">
        <f>O75</f>
        <v>-8973.3879832593175</v>
      </c>
      <c r="P180" s="241">
        <f>P75</f>
        <v>-9846.7350380031094</v>
      </c>
      <c r="Q180" s="241">
        <f>Q75</f>
        <v>-10266.757718762534</v>
      </c>
      <c r="R180" s="241">
        <f>R75</f>
        <v>-10817.56541782249</v>
      </c>
    </row>
    <row r="181" spans="2:19" x14ac:dyDescent="0.2">
      <c r="B181" s="241" t="s">
        <v>515</v>
      </c>
      <c r="C181" s="239">
        <v>624</v>
      </c>
      <c r="D181" s="239">
        <v>-159</v>
      </c>
      <c r="E181" s="239">
        <v>-460</v>
      </c>
      <c r="F181" s="239">
        <v>-1540</v>
      </c>
      <c r="G181" s="239">
        <v>0</v>
      </c>
      <c r="H181" s="239">
        <v>0</v>
      </c>
      <c r="I181" s="239">
        <v>0</v>
      </c>
      <c r="J181" s="239">
        <v>-3710</v>
      </c>
      <c r="K181" s="239">
        <v>2549</v>
      </c>
      <c r="L181" s="239">
        <v>-3986</v>
      </c>
      <c r="M181" s="239">
        <v>0</v>
      </c>
      <c r="N181" s="241">
        <f>N108-M108</f>
        <v>0</v>
      </c>
      <c r="O181" s="241">
        <f>O108-N108</f>
        <v>0</v>
      </c>
      <c r="P181" s="241">
        <f>P108-O108</f>
        <v>0</v>
      </c>
      <c r="Q181" s="241">
        <f>Q108-P108</f>
        <v>0</v>
      </c>
      <c r="R181" s="241">
        <f>R108-Q108</f>
        <v>0</v>
      </c>
    </row>
    <row r="182" spans="2:19" x14ac:dyDescent="0.2">
      <c r="B182" s="241" t="s">
        <v>516</v>
      </c>
      <c r="C182" s="239">
        <f>-22+2562</f>
        <v>2540</v>
      </c>
      <c r="D182" s="239">
        <f>-1775+6467</f>
        <v>4692</v>
      </c>
      <c r="E182" s="239">
        <f>-6617+3146</f>
        <v>-3471</v>
      </c>
      <c r="F182" s="239">
        <f>-2906+7938</f>
        <v>5032</v>
      </c>
      <c r="G182" s="239">
        <f>-2386+1079</f>
        <v>-1307</v>
      </c>
      <c r="H182" s="239">
        <v>-1103</v>
      </c>
      <c r="I182" s="239">
        <v>-4287</v>
      </c>
      <c r="J182" s="239">
        <f>4958</f>
        <v>4958</v>
      </c>
      <c r="K182" s="239">
        <f>4419-1957</f>
        <v>2462</v>
      </c>
      <c r="L182" s="239">
        <f>7936-2319</f>
        <v>5617</v>
      </c>
      <c r="M182" s="239">
        <v>-2251</v>
      </c>
      <c r="N182" s="241">
        <f>N113-M113</f>
        <v>1250</v>
      </c>
      <c r="O182" s="241">
        <f>O113-N113</f>
        <v>-2000</v>
      </c>
      <c r="P182" s="241">
        <f>P113-O113</f>
        <v>-2000</v>
      </c>
      <c r="Q182" s="241">
        <f>Q113-P113</f>
        <v>-750</v>
      </c>
      <c r="R182" s="241">
        <f>R113-Q113</f>
        <v>-750</v>
      </c>
    </row>
    <row r="183" spans="2:19" x14ac:dyDescent="0.2">
      <c r="B183" s="241" t="s">
        <v>517</v>
      </c>
      <c r="C183" s="239">
        <f>-120+1310+86</f>
        <v>1276</v>
      </c>
      <c r="D183" s="239">
        <f>-120+1210+60</f>
        <v>1150</v>
      </c>
      <c r="E183" s="239">
        <f>-77+1560+208</f>
        <v>1691</v>
      </c>
      <c r="F183" s="239">
        <f>485+56</f>
        <v>541</v>
      </c>
      <c r="G183" s="239">
        <f>939-118</f>
        <v>821</v>
      </c>
      <c r="H183" s="239">
        <f>499-195-26</f>
        <v>278</v>
      </c>
      <c r="I183" s="239">
        <f>591-325+5124</f>
        <v>5390</v>
      </c>
      <c r="J183" s="239">
        <f>361+5</f>
        <v>366</v>
      </c>
      <c r="K183" s="239">
        <f>89-436</f>
        <v>-347</v>
      </c>
      <c r="L183" s="239">
        <f>202-286+9000</f>
        <v>8916</v>
      </c>
      <c r="M183" s="239">
        <f>384-240</f>
        <v>144</v>
      </c>
      <c r="N183" s="241">
        <f>N126-M126+N119-M119+N48-N141+N47</f>
        <v>-560.59750608444517</v>
      </c>
      <c r="O183" s="241">
        <f>O126-N126+O119-N119+O48-O141+O47</f>
        <v>-577.15857061635552</v>
      </c>
      <c r="P183" s="241">
        <f>P126-O126+P119-O119+P48-P141+P47</f>
        <v>-592.85838507664846</v>
      </c>
      <c r="Q183" s="241">
        <f>Q126-P126+Q119-P119+Q48-Q141+Q47</f>
        <v>-606.2182961432427</v>
      </c>
      <c r="R183" s="241">
        <f>R126-Q126+R119-Q119+R48-R141+R47</f>
        <v>-622.374483600291</v>
      </c>
    </row>
    <row r="185" spans="2:19" x14ac:dyDescent="0.2">
      <c r="B185" s="251" t="s">
        <v>518</v>
      </c>
      <c r="C185" s="251">
        <f t="shared" ref="C185:R185" si="97">C177+C180+C181+C182+C183</f>
        <v>-3267</v>
      </c>
      <c r="D185" s="251">
        <f t="shared" si="97"/>
        <v>-5990</v>
      </c>
      <c r="E185" s="251">
        <f t="shared" si="97"/>
        <v>-15113</v>
      </c>
      <c r="F185" s="251">
        <f t="shared" si="97"/>
        <v>-5270</v>
      </c>
      <c r="G185" s="251">
        <f t="shared" si="97"/>
        <v>-9044</v>
      </c>
      <c r="H185" s="251">
        <f t="shared" si="97"/>
        <v>-10006</v>
      </c>
      <c r="I185" s="251">
        <f t="shared" si="97"/>
        <v>-13160</v>
      </c>
      <c r="J185" s="251">
        <f t="shared" si="97"/>
        <v>-8861</v>
      </c>
      <c r="K185" s="251">
        <f t="shared" si="97"/>
        <v>-2832</v>
      </c>
      <c r="L185" s="251">
        <f t="shared" si="97"/>
        <v>3097</v>
      </c>
      <c r="M185" s="251">
        <f t="shared" si="97"/>
        <v>-9119</v>
      </c>
      <c r="N185" s="251">
        <f t="shared" si="97"/>
        <v>-10277.826237068177</v>
      </c>
      <c r="O185" s="251">
        <f t="shared" si="97"/>
        <v>-16751.444917020854</v>
      </c>
      <c r="P185" s="251">
        <f t="shared" si="97"/>
        <v>-17719.839134406091</v>
      </c>
      <c r="Q185" s="251">
        <f t="shared" si="97"/>
        <v>-16978.313110823183</v>
      </c>
      <c r="R185" s="251">
        <f t="shared" si="97"/>
        <v>-17613.243882756611</v>
      </c>
    </row>
    <row r="187" spans="2:19" x14ac:dyDescent="0.2">
      <c r="B187" s="1" t="s">
        <v>519</v>
      </c>
      <c r="C187" s="239">
        <v>-30</v>
      </c>
      <c r="D187" s="239">
        <v>-346</v>
      </c>
      <c r="E187" s="239">
        <v>-553</v>
      </c>
      <c r="F187" s="239">
        <v>-1310</v>
      </c>
      <c r="G187" s="239">
        <v>-131</v>
      </c>
      <c r="H187" s="239">
        <v>457</v>
      </c>
      <c r="I187" s="239">
        <v>-205</v>
      </c>
      <c r="J187" s="239">
        <v>17</v>
      </c>
      <c r="K187" s="239">
        <v>253</v>
      </c>
      <c r="L187" s="239">
        <f>-133+349</f>
        <v>216</v>
      </c>
      <c r="M187" s="239">
        <v>-410</v>
      </c>
      <c r="N187" s="241">
        <f>N124-M124</f>
        <v>0</v>
      </c>
      <c r="O187" s="241">
        <f>O124-N124</f>
        <v>0</v>
      </c>
      <c r="P187" s="241">
        <f>P124-O124</f>
        <v>0</v>
      </c>
      <c r="Q187" s="241">
        <f>Q124-P124</f>
        <v>0</v>
      </c>
      <c r="R187" s="241">
        <f>R124-Q124</f>
        <v>0</v>
      </c>
    </row>
    <row r="188" spans="2:19" ht="17" thickBot="1" x14ac:dyDescent="0.25"/>
    <row r="189" spans="2:19" x14ac:dyDescent="0.2">
      <c r="B189" s="267" t="s">
        <v>520</v>
      </c>
      <c r="C189" s="268">
        <f t="shared" ref="C189:R189" si="98">C154+C175+C185+C187</f>
        <v>-80</v>
      </c>
      <c r="D189" s="268">
        <f t="shared" si="98"/>
        <v>2170</v>
      </c>
      <c r="E189" s="268">
        <f t="shared" si="98"/>
        <v>-8180</v>
      </c>
      <c r="F189" s="268">
        <f t="shared" si="98"/>
        <v>1083</v>
      </c>
      <c r="G189" s="268">
        <f t="shared" si="98"/>
        <v>-2009</v>
      </c>
      <c r="H189" s="268">
        <f t="shared" si="98"/>
        <v>-419</v>
      </c>
      <c r="I189" s="268">
        <f t="shared" si="98"/>
        <v>1871</v>
      </c>
      <c r="J189" s="268">
        <f t="shared" si="98"/>
        <v>1967</v>
      </c>
      <c r="K189" s="268">
        <f t="shared" si="98"/>
        <v>-1769</v>
      </c>
      <c r="L189" s="268">
        <f t="shared" si="98"/>
        <v>14</v>
      </c>
      <c r="M189" s="268">
        <f t="shared" si="98"/>
        <v>4606</v>
      </c>
      <c r="N189" s="268">
        <f t="shared" si="98"/>
        <v>7368.0778711730236</v>
      </c>
      <c r="O189" s="268">
        <f t="shared" si="98"/>
        <v>3574.301252327914</v>
      </c>
      <c r="P189" s="268">
        <f t="shared" si="98"/>
        <v>4595.8197052953401</v>
      </c>
      <c r="Q189" s="268">
        <f t="shared" si="98"/>
        <v>6583.1090925762728</v>
      </c>
      <c r="R189" s="268">
        <f t="shared" si="98"/>
        <v>7150.2098399084462</v>
      </c>
    </row>
    <row r="191" spans="2:19" x14ac:dyDescent="0.2">
      <c r="B191" s="1" t="s">
        <v>521</v>
      </c>
      <c r="D191" s="241">
        <f t="shared" ref="D191:R191" si="99">D88-C88</f>
        <v>1345</v>
      </c>
      <c r="E191" s="241">
        <f t="shared" si="99"/>
        <v>-1767</v>
      </c>
      <c r="F191" s="241">
        <f t="shared" si="99"/>
        <v>-2292</v>
      </c>
      <c r="G191" s="241">
        <f t="shared" si="99"/>
        <v>914</v>
      </c>
      <c r="H191" s="241">
        <f t="shared" si="99"/>
        <v>-5843</v>
      </c>
      <c r="I191" s="241">
        <f t="shared" si="99"/>
        <v>366</v>
      </c>
      <c r="J191" s="241">
        <f t="shared" si="99"/>
        <v>1586</v>
      </c>
      <c r="K191" s="241">
        <f t="shared" si="99"/>
        <v>-2388</v>
      </c>
      <c r="L191" s="241">
        <f t="shared" si="99"/>
        <v>34</v>
      </c>
      <c r="M191" s="241">
        <f t="shared" si="99"/>
        <v>5096</v>
      </c>
      <c r="N191" s="241">
        <f t="shared" si="99"/>
        <v>7368.0778711730236</v>
      </c>
      <c r="O191" s="241">
        <f t="shared" si="99"/>
        <v>3574.3012523279322</v>
      </c>
      <c r="P191" s="241">
        <f t="shared" si="99"/>
        <v>4595.8197052953037</v>
      </c>
      <c r="Q191" s="241">
        <f t="shared" si="99"/>
        <v>6583.1090925762983</v>
      </c>
      <c r="R191" s="241">
        <f t="shared" si="99"/>
        <v>7150.2098399084643</v>
      </c>
    </row>
    <row r="192" spans="2:19" x14ac:dyDescent="0.2">
      <c r="B192" s="1" t="s">
        <v>522</v>
      </c>
      <c r="D192" s="241">
        <f t="shared" ref="D192:R192" si="100">D189-D191</f>
        <v>825</v>
      </c>
      <c r="E192" s="241">
        <f t="shared" si="100"/>
        <v>-6413</v>
      </c>
      <c r="F192" s="241">
        <f t="shared" si="100"/>
        <v>3375</v>
      </c>
      <c r="G192" s="241">
        <f t="shared" si="100"/>
        <v>-2923</v>
      </c>
      <c r="H192" s="241">
        <f t="shared" si="100"/>
        <v>5424</v>
      </c>
      <c r="I192" s="241">
        <f t="shared" si="100"/>
        <v>1505</v>
      </c>
      <c r="J192" s="241">
        <f t="shared" si="100"/>
        <v>381</v>
      </c>
      <c r="K192" s="241">
        <f t="shared" si="100"/>
        <v>619</v>
      </c>
      <c r="L192" s="241">
        <f t="shared" si="100"/>
        <v>-20</v>
      </c>
      <c r="M192" s="241">
        <f t="shared" si="100"/>
        <v>-490</v>
      </c>
      <c r="N192" s="241">
        <f t="shared" si="100"/>
        <v>0</v>
      </c>
      <c r="O192" s="241">
        <f t="shared" si="100"/>
        <v>-1.8189894035458565E-11</v>
      </c>
      <c r="P192" s="241">
        <f t="shared" si="100"/>
        <v>3.637978807091713E-11</v>
      </c>
      <c r="Q192" s="241">
        <f t="shared" si="100"/>
        <v>-2.5465851649641991E-11</v>
      </c>
      <c r="R192" s="241">
        <f t="shared" si="100"/>
        <v>-1.8189894035458565E-11</v>
      </c>
    </row>
  </sheetData>
  <conditionalFormatting sqref="P140:R140">
    <cfRule type="expression" dxfId="8" priority="1" stopIfTrue="1">
      <formula>$N$468=5</formula>
    </cfRule>
  </conditionalFormatting>
  <dataValidations count="1">
    <dataValidation type="list" allowBlank="1" showInputMessage="1" showErrorMessage="1" sqref="B17 B983024 B917488 B851952 B786416 B720880 B655344 B589808 B524272 B458736 B393200 B327664 B262128 B196592 B131056 B65520 B19 B983022 B917486 B851950 B786414 B720878 B655342 B589806 B524270 B458734 B393198 B327662 B262126 B196590 B131054 B65518" xr:uid="{ABCAEC6F-E738-744D-89B2-95243741A2FB}">
      <formula1>$E$528:$E$537</formula1>
    </dataValidation>
  </dataValidations>
  <pageMargins left="0.7" right="0.7" top="0.75" bottom="0.75" header="0.3" footer="0.3"/>
  <ignoredErrors>
    <ignoredError sqref="I19:R19"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49273-DCB1-8E4B-A9FE-5D2BF2BA7EBD}">
  <dimension ref="A2:G255"/>
  <sheetViews>
    <sheetView zoomScale="140" workbookViewId="0">
      <selection activeCell="F17" sqref="F17"/>
    </sheetView>
  </sheetViews>
  <sheetFormatPr baseColWidth="10" defaultRowHeight="16" x14ac:dyDescent="0.2"/>
  <cols>
    <col min="1" max="2" width="10.83203125" style="1"/>
    <col min="3" max="3" width="19.1640625" style="1" bestFit="1" customWidth="1"/>
    <col min="4" max="5" width="10.83203125" style="1"/>
    <col min="6" max="6" width="25.1640625" style="1" bestFit="1" customWidth="1"/>
    <col min="7" max="7" width="12.83203125" style="1" bestFit="1" customWidth="1"/>
    <col min="8" max="16384" width="10.83203125" style="1"/>
  </cols>
  <sheetData>
    <row r="2" spans="1:7" s="2" customFormat="1" ht="19" x14ac:dyDescent="0.25">
      <c r="A2" s="6" t="s">
        <v>526</v>
      </c>
    </row>
    <row r="4" spans="1:7" x14ac:dyDescent="0.2">
      <c r="B4" s="280" t="s">
        <v>531</v>
      </c>
      <c r="C4" s="280" t="s">
        <v>527</v>
      </c>
      <c r="F4" s="246" t="s">
        <v>528</v>
      </c>
      <c r="G4" s="274">
        <f>AVERAGE(C5:C255)</f>
        <v>87.72505029880476</v>
      </c>
    </row>
    <row r="5" spans="1:7" x14ac:dyDescent="0.2">
      <c r="B5" s="271">
        <v>44564</v>
      </c>
      <c r="C5" s="272">
        <v>73.961723000000006</v>
      </c>
      <c r="F5" s="246" t="s">
        <v>529</v>
      </c>
      <c r="G5" s="300">
        <v>2540</v>
      </c>
    </row>
    <row r="6" spans="1:7" x14ac:dyDescent="0.2">
      <c r="B6" s="271">
        <v>44565</v>
      </c>
      <c r="C6" s="272">
        <v>74.096419999999995</v>
      </c>
      <c r="F6" s="246" t="s">
        <v>530</v>
      </c>
      <c r="G6" s="273">
        <f>G4*G5</f>
        <v>222821.62775896408</v>
      </c>
    </row>
    <row r="7" spans="1:7" x14ac:dyDescent="0.2">
      <c r="B7" s="271">
        <v>44566</v>
      </c>
      <c r="C7" s="272">
        <v>75.895668000000001</v>
      </c>
    </row>
    <row r="8" spans="1:7" x14ac:dyDescent="0.2">
      <c r="B8" s="271">
        <v>44567</v>
      </c>
      <c r="C8" s="272">
        <v>75.847572</v>
      </c>
      <c r="F8" s="14" t="s">
        <v>532</v>
      </c>
    </row>
    <row r="9" spans="1:7" x14ac:dyDescent="0.2">
      <c r="B9" s="271">
        <v>44568</v>
      </c>
      <c r="C9" s="272">
        <v>77.261948000000004</v>
      </c>
      <c r="F9" s="301" t="s">
        <v>557</v>
      </c>
    </row>
    <row r="10" spans="1:7" x14ac:dyDescent="0.2">
      <c r="B10" s="271">
        <v>44571</v>
      </c>
      <c r="C10" s="272">
        <v>79.253631999999996</v>
      </c>
    </row>
    <row r="11" spans="1:7" x14ac:dyDescent="0.2">
      <c r="B11" s="271">
        <v>44572</v>
      </c>
      <c r="C11" s="272">
        <v>78.580116000000004</v>
      </c>
    </row>
    <row r="12" spans="1:7" x14ac:dyDescent="0.2">
      <c r="B12" s="271">
        <v>44573</v>
      </c>
      <c r="C12" s="272">
        <v>78.127898999999999</v>
      </c>
    </row>
    <row r="13" spans="1:7" x14ac:dyDescent="0.2">
      <c r="B13" s="271">
        <v>44574</v>
      </c>
      <c r="C13" s="272">
        <v>78.243362000000005</v>
      </c>
    </row>
    <row r="14" spans="1:7" x14ac:dyDescent="0.2">
      <c r="B14" s="271">
        <v>44575</v>
      </c>
      <c r="C14" s="272">
        <v>78.301085999999998</v>
      </c>
    </row>
    <row r="15" spans="1:7" x14ac:dyDescent="0.2">
      <c r="B15" s="271">
        <v>44579</v>
      </c>
      <c r="C15" s="272">
        <v>78.455048000000005</v>
      </c>
    </row>
    <row r="16" spans="1:7" x14ac:dyDescent="0.2">
      <c r="B16" s="271">
        <v>44580</v>
      </c>
      <c r="C16" s="272">
        <v>78.214493000000004</v>
      </c>
    </row>
    <row r="17" spans="2:3" x14ac:dyDescent="0.2">
      <c r="B17" s="271">
        <v>44581</v>
      </c>
      <c r="C17" s="272">
        <v>77.694930999999997</v>
      </c>
    </row>
    <row r="18" spans="2:3" x14ac:dyDescent="0.2">
      <c r="B18" s="271">
        <v>44582</v>
      </c>
      <c r="C18" s="272">
        <v>76.954063000000005</v>
      </c>
    </row>
    <row r="19" spans="2:3" x14ac:dyDescent="0.2">
      <c r="B19" s="271">
        <v>44585</v>
      </c>
      <c r="C19" s="272">
        <v>75.847572</v>
      </c>
    </row>
    <row r="20" spans="2:3" x14ac:dyDescent="0.2">
      <c r="B20" s="271">
        <v>44586</v>
      </c>
      <c r="C20" s="272">
        <v>76.453727999999998</v>
      </c>
    </row>
    <row r="21" spans="2:3" x14ac:dyDescent="0.2">
      <c r="B21" s="271">
        <v>44587</v>
      </c>
      <c r="C21" s="272">
        <v>76.145843999999997</v>
      </c>
    </row>
    <row r="22" spans="2:3" x14ac:dyDescent="0.2">
      <c r="B22" s="271">
        <v>44588</v>
      </c>
      <c r="C22" s="272">
        <v>77.531357</v>
      </c>
    </row>
    <row r="23" spans="2:3" x14ac:dyDescent="0.2">
      <c r="B23" s="271">
        <v>44589</v>
      </c>
      <c r="C23" s="272">
        <v>77.839256000000006</v>
      </c>
    </row>
    <row r="24" spans="2:3" x14ac:dyDescent="0.2">
      <c r="B24" s="271">
        <v>44592</v>
      </c>
      <c r="C24" s="272">
        <v>78.397316000000004</v>
      </c>
    </row>
    <row r="25" spans="2:3" x14ac:dyDescent="0.2">
      <c r="B25" s="271">
        <v>44593</v>
      </c>
      <c r="C25" s="272">
        <v>78.820656</v>
      </c>
    </row>
    <row r="26" spans="2:3" x14ac:dyDescent="0.2">
      <c r="B26" s="271">
        <v>44594</v>
      </c>
      <c r="C26" s="272">
        <v>78.907264999999995</v>
      </c>
    </row>
    <row r="27" spans="2:3" x14ac:dyDescent="0.2">
      <c r="B27" s="271">
        <v>44595</v>
      </c>
      <c r="C27" s="272">
        <v>76.020759999999996</v>
      </c>
    </row>
    <row r="28" spans="2:3" x14ac:dyDescent="0.2">
      <c r="B28" s="271">
        <v>44596</v>
      </c>
      <c r="C28" s="272">
        <v>75.587776000000005</v>
      </c>
    </row>
    <row r="29" spans="2:3" x14ac:dyDescent="0.2">
      <c r="B29" s="271">
        <v>44599</v>
      </c>
      <c r="C29" s="272">
        <v>74.644858999999997</v>
      </c>
    </row>
    <row r="30" spans="2:3" x14ac:dyDescent="0.2">
      <c r="B30" s="271">
        <v>44600</v>
      </c>
      <c r="C30" s="272">
        <v>74.000206000000006</v>
      </c>
    </row>
    <row r="31" spans="2:3" x14ac:dyDescent="0.2">
      <c r="B31" s="271">
        <v>44601</v>
      </c>
      <c r="C31" s="272">
        <v>73.634590000000003</v>
      </c>
    </row>
    <row r="32" spans="2:3" x14ac:dyDescent="0.2">
      <c r="B32" s="271">
        <v>44602</v>
      </c>
      <c r="C32" s="272">
        <v>73.663452000000007</v>
      </c>
    </row>
    <row r="33" spans="2:3" x14ac:dyDescent="0.2">
      <c r="B33" s="271">
        <v>44603</v>
      </c>
      <c r="C33" s="272">
        <v>73.740416999999994</v>
      </c>
    </row>
    <row r="34" spans="2:3" x14ac:dyDescent="0.2">
      <c r="B34" s="271">
        <v>44606</v>
      </c>
      <c r="C34" s="272">
        <v>73.576865999999995</v>
      </c>
    </row>
    <row r="35" spans="2:3" x14ac:dyDescent="0.2">
      <c r="B35" s="271">
        <v>44607</v>
      </c>
      <c r="C35" s="272">
        <v>74.866150000000005</v>
      </c>
    </row>
    <row r="36" spans="2:3" x14ac:dyDescent="0.2">
      <c r="B36" s="271">
        <v>44608</v>
      </c>
      <c r="C36" s="272">
        <v>74.298477000000005</v>
      </c>
    </row>
    <row r="37" spans="2:3" x14ac:dyDescent="0.2">
      <c r="B37" s="271">
        <v>44609</v>
      </c>
      <c r="C37" s="272">
        <v>73.471007999999998</v>
      </c>
    </row>
    <row r="38" spans="2:3" x14ac:dyDescent="0.2">
      <c r="B38" s="271">
        <v>44610</v>
      </c>
      <c r="C38" s="272">
        <v>73.480637000000002</v>
      </c>
    </row>
    <row r="39" spans="2:3" x14ac:dyDescent="0.2">
      <c r="B39" s="271">
        <v>44614</v>
      </c>
      <c r="C39" s="272">
        <v>73.076522999999995</v>
      </c>
    </row>
    <row r="40" spans="2:3" x14ac:dyDescent="0.2">
      <c r="B40" s="271">
        <v>44615</v>
      </c>
      <c r="C40" s="272">
        <v>72.970687999999996</v>
      </c>
    </row>
    <row r="41" spans="2:3" x14ac:dyDescent="0.2">
      <c r="B41" s="271">
        <v>44616</v>
      </c>
      <c r="C41" s="272">
        <v>70.728851000000006</v>
      </c>
    </row>
    <row r="42" spans="2:3" x14ac:dyDescent="0.2">
      <c r="B42" s="271">
        <v>44617</v>
      </c>
      <c r="C42" s="272">
        <v>73.432518000000002</v>
      </c>
    </row>
    <row r="43" spans="2:3" x14ac:dyDescent="0.2">
      <c r="B43" s="271">
        <v>44620</v>
      </c>
      <c r="C43" s="272">
        <v>73.682693</v>
      </c>
    </row>
    <row r="44" spans="2:3" x14ac:dyDescent="0.2">
      <c r="B44" s="271">
        <v>44621</v>
      </c>
      <c r="C44" s="272">
        <v>73.451767000000004</v>
      </c>
    </row>
    <row r="45" spans="2:3" x14ac:dyDescent="0.2">
      <c r="B45" s="271">
        <v>44622</v>
      </c>
      <c r="C45" s="272">
        <v>73.769295</v>
      </c>
    </row>
    <row r="46" spans="2:3" x14ac:dyDescent="0.2">
      <c r="B46" s="271">
        <v>44623</v>
      </c>
      <c r="C46" s="272">
        <v>74.231125000000006</v>
      </c>
    </row>
    <row r="47" spans="2:3" x14ac:dyDescent="0.2">
      <c r="B47" s="271">
        <v>44624</v>
      </c>
      <c r="C47" s="272">
        <v>74.885406000000003</v>
      </c>
    </row>
    <row r="48" spans="2:3" x14ac:dyDescent="0.2">
      <c r="B48" s="271">
        <v>44627</v>
      </c>
      <c r="C48" s="272">
        <v>74.789192</v>
      </c>
    </row>
    <row r="49" spans="2:3" x14ac:dyDescent="0.2">
      <c r="B49" s="271">
        <v>44628</v>
      </c>
      <c r="C49" s="272">
        <v>74.038689000000005</v>
      </c>
    </row>
    <row r="50" spans="2:3" x14ac:dyDescent="0.2">
      <c r="B50" s="271">
        <v>44629</v>
      </c>
      <c r="C50" s="272">
        <v>74.846915999999993</v>
      </c>
    </row>
    <row r="51" spans="2:3" x14ac:dyDescent="0.2">
      <c r="B51" s="271">
        <v>44630</v>
      </c>
      <c r="C51" s="272">
        <v>74.943129999999996</v>
      </c>
    </row>
    <row r="52" spans="2:3" x14ac:dyDescent="0.2">
      <c r="B52" s="271">
        <v>44631</v>
      </c>
      <c r="C52" s="272">
        <v>75.299132999999998</v>
      </c>
    </row>
    <row r="53" spans="2:3" x14ac:dyDescent="0.2">
      <c r="B53" s="271">
        <v>44634</v>
      </c>
      <c r="C53" s="272">
        <v>75.502983</v>
      </c>
    </row>
    <row r="54" spans="2:3" x14ac:dyDescent="0.2">
      <c r="B54" s="271">
        <v>44635</v>
      </c>
      <c r="C54" s="272">
        <v>76.337813999999995</v>
      </c>
    </row>
    <row r="55" spans="2:3" x14ac:dyDescent="0.2">
      <c r="B55" s="271">
        <v>44636</v>
      </c>
      <c r="C55" s="272">
        <v>75.833031000000005</v>
      </c>
    </row>
    <row r="56" spans="2:3" x14ac:dyDescent="0.2">
      <c r="B56" s="271">
        <v>44637</v>
      </c>
      <c r="C56" s="272">
        <v>76.629020999999995</v>
      </c>
    </row>
    <row r="57" spans="2:3" x14ac:dyDescent="0.2">
      <c r="B57" s="271">
        <v>44638</v>
      </c>
      <c r="C57" s="272">
        <v>76.794051999999994</v>
      </c>
    </row>
    <row r="58" spans="2:3" x14ac:dyDescent="0.2">
      <c r="B58" s="271">
        <v>44641</v>
      </c>
      <c r="C58" s="272">
        <v>76.745506000000006</v>
      </c>
    </row>
    <row r="59" spans="2:3" x14ac:dyDescent="0.2">
      <c r="B59" s="271">
        <v>44642</v>
      </c>
      <c r="C59" s="272">
        <v>76.978493</v>
      </c>
    </row>
    <row r="60" spans="2:3" x14ac:dyDescent="0.2">
      <c r="B60" s="271">
        <v>44643</v>
      </c>
      <c r="C60" s="272">
        <v>77.395904999999999</v>
      </c>
    </row>
    <row r="61" spans="2:3" x14ac:dyDescent="0.2">
      <c r="B61" s="271">
        <v>44644</v>
      </c>
      <c r="C61" s="272">
        <v>78.055992000000003</v>
      </c>
    </row>
    <row r="62" spans="2:3" x14ac:dyDescent="0.2">
      <c r="B62" s="271">
        <v>44645</v>
      </c>
      <c r="C62" s="272">
        <v>78.958763000000005</v>
      </c>
    </row>
    <row r="63" spans="2:3" x14ac:dyDescent="0.2">
      <c r="B63" s="271">
        <v>44648</v>
      </c>
      <c r="C63" s="272">
        <v>78.832572999999996</v>
      </c>
    </row>
    <row r="64" spans="2:3" x14ac:dyDescent="0.2">
      <c r="B64" s="271">
        <v>44649</v>
      </c>
      <c r="C64" s="272">
        <v>79.182036999999994</v>
      </c>
    </row>
    <row r="65" spans="2:3" x14ac:dyDescent="0.2">
      <c r="B65" s="271">
        <v>44650</v>
      </c>
      <c r="C65" s="272">
        <v>79.987731999999994</v>
      </c>
    </row>
    <row r="66" spans="2:3" x14ac:dyDescent="0.2">
      <c r="B66" s="271">
        <v>44651</v>
      </c>
      <c r="C66" s="272">
        <v>79.647980000000004</v>
      </c>
    </row>
    <row r="67" spans="2:3" x14ac:dyDescent="0.2">
      <c r="B67" s="271">
        <v>44652</v>
      </c>
      <c r="C67" s="272">
        <v>81.074935999999994</v>
      </c>
    </row>
    <row r="68" spans="2:3" x14ac:dyDescent="0.2">
      <c r="B68" s="271">
        <v>44655</v>
      </c>
      <c r="C68" s="272">
        <v>81.045822000000001</v>
      </c>
    </row>
    <row r="69" spans="2:3" x14ac:dyDescent="0.2">
      <c r="B69" s="271">
        <v>44656</v>
      </c>
      <c r="C69" s="272">
        <v>81.269088999999994</v>
      </c>
    </row>
    <row r="70" spans="2:3" x14ac:dyDescent="0.2">
      <c r="B70" s="271">
        <v>44657</v>
      </c>
      <c r="C70" s="272">
        <v>82.482498000000007</v>
      </c>
    </row>
    <row r="71" spans="2:3" x14ac:dyDescent="0.2">
      <c r="B71" s="271">
        <v>44658</v>
      </c>
      <c r="C71" s="272">
        <v>84.258926000000002</v>
      </c>
    </row>
    <row r="72" spans="2:3" x14ac:dyDescent="0.2">
      <c r="B72" s="271">
        <v>44659</v>
      </c>
      <c r="C72" s="272">
        <v>85.113158999999996</v>
      </c>
    </row>
    <row r="73" spans="2:3" x14ac:dyDescent="0.2">
      <c r="B73" s="271">
        <v>44662</v>
      </c>
      <c r="C73" s="272">
        <v>84.093902999999997</v>
      </c>
    </row>
    <row r="74" spans="2:3" x14ac:dyDescent="0.2">
      <c r="B74" s="271">
        <v>44663</v>
      </c>
      <c r="C74" s="272">
        <v>83.123176999999998</v>
      </c>
    </row>
    <row r="75" spans="2:3" x14ac:dyDescent="0.2">
      <c r="B75" s="271">
        <v>44664</v>
      </c>
      <c r="C75" s="272">
        <v>83.608528000000007</v>
      </c>
    </row>
    <row r="76" spans="2:3" x14ac:dyDescent="0.2">
      <c r="B76" s="271">
        <v>44665</v>
      </c>
      <c r="C76" s="272">
        <v>84.365700000000004</v>
      </c>
    </row>
    <row r="77" spans="2:3" x14ac:dyDescent="0.2">
      <c r="B77" s="271">
        <v>44669</v>
      </c>
      <c r="C77" s="272">
        <v>83.550292999999996</v>
      </c>
    </row>
    <row r="78" spans="2:3" x14ac:dyDescent="0.2">
      <c r="B78" s="271">
        <v>44670</v>
      </c>
      <c r="C78" s="272">
        <v>83.278496000000004</v>
      </c>
    </row>
    <row r="79" spans="2:3" x14ac:dyDescent="0.2">
      <c r="B79" s="271">
        <v>44671</v>
      </c>
      <c r="C79" s="272">
        <v>83.928878999999995</v>
      </c>
    </row>
    <row r="80" spans="2:3" x14ac:dyDescent="0.2">
      <c r="B80" s="271">
        <v>44672</v>
      </c>
      <c r="C80" s="272">
        <v>83.705612000000002</v>
      </c>
    </row>
    <row r="81" spans="2:3" x14ac:dyDescent="0.2">
      <c r="B81" s="271">
        <v>44673</v>
      </c>
      <c r="C81" s="272">
        <v>82.113624999999999</v>
      </c>
    </row>
    <row r="82" spans="2:3" x14ac:dyDescent="0.2">
      <c r="B82" s="271">
        <v>44676</v>
      </c>
      <c r="C82" s="272">
        <v>82.938744</v>
      </c>
    </row>
    <row r="83" spans="2:3" x14ac:dyDescent="0.2">
      <c r="B83" s="271">
        <v>44677</v>
      </c>
      <c r="C83" s="272">
        <v>82.006844000000001</v>
      </c>
    </row>
    <row r="84" spans="2:3" x14ac:dyDescent="0.2">
      <c r="B84" s="271">
        <v>44678</v>
      </c>
      <c r="C84" s="272">
        <v>81.938896</v>
      </c>
    </row>
    <row r="85" spans="2:3" x14ac:dyDescent="0.2">
      <c r="B85" s="271">
        <v>44679</v>
      </c>
      <c r="C85" s="272">
        <v>85.986808999999994</v>
      </c>
    </row>
    <row r="86" spans="2:3" x14ac:dyDescent="0.2">
      <c r="B86" s="271">
        <v>44680</v>
      </c>
      <c r="C86" s="272">
        <v>86.093604999999997</v>
      </c>
    </row>
    <row r="87" spans="2:3" x14ac:dyDescent="0.2">
      <c r="B87" s="271">
        <v>44683</v>
      </c>
      <c r="C87" s="272">
        <v>85.084045000000003</v>
      </c>
    </row>
    <row r="88" spans="2:3" x14ac:dyDescent="0.2">
      <c r="B88" s="271">
        <v>44684</v>
      </c>
      <c r="C88" s="272">
        <v>84.550139999999999</v>
      </c>
    </row>
    <row r="89" spans="2:3" x14ac:dyDescent="0.2">
      <c r="B89" s="271">
        <v>44685</v>
      </c>
      <c r="C89" s="272">
        <v>85.928573999999998</v>
      </c>
    </row>
    <row r="90" spans="2:3" x14ac:dyDescent="0.2">
      <c r="B90" s="271">
        <v>44686</v>
      </c>
      <c r="C90" s="272">
        <v>85.433502000000004</v>
      </c>
    </row>
    <row r="91" spans="2:3" x14ac:dyDescent="0.2">
      <c r="B91" s="271">
        <v>44687</v>
      </c>
      <c r="C91" s="272">
        <v>85.802375999999995</v>
      </c>
    </row>
    <row r="92" spans="2:3" x14ac:dyDescent="0.2">
      <c r="B92" s="271">
        <v>44690</v>
      </c>
      <c r="C92" s="272">
        <v>85.074341000000004</v>
      </c>
    </row>
    <row r="93" spans="2:3" x14ac:dyDescent="0.2">
      <c r="B93" s="271">
        <v>44691</v>
      </c>
      <c r="C93" s="272">
        <v>85.239356999999998</v>
      </c>
    </row>
    <row r="94" spans="2:3" x14ac:dyDescent="0.2">
      <c r="B94" s="271">
        <v>44692</v>
      </c>
      <c r="C94" s="272">
        <v>86.578963999999999</v>
      </c>
    </row>
    <row r="95" spans="2:3" x14ac:dyDescent="0.2">
      <c r="B95" s="271">
        <v>44693</v>
      </c>
      <c r="C95" s="272">
        <v>88.170952</v>
      </c>
    </row>
    <row r="96" spans="2:3" x14ac:dyDescent="0.2">
      <c r="B96" s="271">
        <v>44694</v>
      </c>
      <c r="C96" s="272">
        <v>87.763244999999998</v>
      </c>
    </row>
    <row r="97" spans="2:3" x14ac:dyDescent="0.2">
      <c r="B97" s="271">
        <v>44697</v>
      </c>
      <c r="C97" s="272">
        <v>89.617324999999994</v>
      </c>
    </row>
    <row r="98" spans="2:3" x14ac:dyDescent="0.2">
      <c r="B98" s="271">
        <v>44698</v>
      </c>
      <c r="C98" s="272">
        <v>90.277428</v>
      </c>
    </row>
    <row r="99" spans="2:3" x14ac:dyDescent="0.2">
      <c r="B99" s="271">
        <v>44699</v>
      </c>
      <c r="C99" s="272">
        <v>89.403762999999998</v>
      </c>
    </row>
    <row r="100" spans="2:3" x14ac:dyDescent="0.2">
      <c r="B100" s="271">
        <v>44700</v>
      </c>
      <c r="C100" s="272">
        <v>89.394058000000001</v>
      </c>
    </row>
    <row r="101" spans="2:3" x14ac:dyDescent="0.2">
      <c r="B101" s="271">
        <v>44701</v>
      </c>
      <c r="C101" s="272">
        <v>90.811317000000003</v>
      </c>
    </row>
    <row r="102" spans="2:3" x14ac:dyDescent="0.2">
      <c r="B102" s="271">
        <v>44704</v>
      </c>
      <c r="C102" s="272">
        <v>91.083122000000003</v>
      </c>
    </row>
    <row r="103" spans="2:3" x14ac:dyDescent="0.2">
      <c r="B103" s="271">
        <v>44705</v>
      </c>
      <c r="C103" s="272">
        <v>91.869408000000007</v>
      </c>
    </row>
    <row r="104" spans="2:3" x14ac:dyDescent="0.2">
      <c r="B104" s="271">
        <v>44706</v>
      </c>
      <c r="C104" s="272">
        <v>91.005470000000003</v>
      </c>
    </row>
    <row r="105" spans="2:3" x14ac:dyDescent="0.2">
      <c r="B105" s="271">
        <v>44707</v>
      </c>
      <c r="C105" s="272">
        <v>89.607613000000001</v>
      </c>
    </row>
    <row r="106" spans="2:3" x14ac:dyDescent="0.2">
      <c r="B106" s="271">
        <v>44708</v>
      </c>
      <c r="C106" s="272">
        <v>90.355080000000001</v>
      </c>
    </row>
    <row r="107" spans="2:3" x14ac:dyDescent="0.2">
      <c r="B107" s="271">
        <v>44712</v>
      </c>
      <c r="C107" s="272">
        <v>89.335814999999997</v>
      </c>
    </row>
    <row r="108" spans="2:3" x14ac:dyDescent="0.2">
      <c r="B108" s="271">
        <v>44713</v>
      </c>
      <c r="C108" s="272">
        <v>88.471869999999996</v>
      </c>
    </row>
    <row r="109" spans="2:3" x14ac:dyDescent="0.2">
      <c r="B109" s="271">
        <v>44714</v>
      </c>
      <c r="C109" s="272">
        <v>87.365250000000003</v>
      </c>
    </row>
    <row r="110" spans="2:3" x14ac:dyDescent="0.2">
      <c r="B110" s="271">
        <v>44715</v>
      </c>
      <c r="C110" s="272">
        <v>87.277878000000001</v>
      </c>
    </row>
    <row r="111" spans="2:3" x14ac:dyDescent="0.2">
      <c r="B111" s="271">
        <v>44718</v>
      </c>
      <c r="C111" s="272">
        <v>87.209923000000003</v>
      </c>
    </row>
    <row r="112" spans="2:3" x14ac:dyDescent="0.2">
      <c r="B112" s="271">
        <v>44719</v>
      </c>
      <c r="C112" s="272">
        <v>87.831199999999995</v>
      </c>
    </row>
    <row r="113" spans="2:3" x14ac:dyDescent="0.2">
      <c r="B113" s="271">
        <v>44720</v>
      </c>
      <c r="C113" s="272">
        <v>86.860466000000002</v>
      </c>
    </row>
    <row r="114" spans="2:3" x14ac:dyDescent="0.2">
      <c r="B114" s="271">
        <v>44721</v>
      </c>
      <c r="C114" s="272">
        <v>85.423789999999997</v>
      </c>
    </row>
    <row r="115" spans="2:3" x14ac:dyDescent="0.2">
      <c r="B115" s="271">
        <v>44722</v>
      </c>
      <c r="C115" s="272">
        <v>84.627799999999993</v>
      </c>
    </row>
    <row r="116" spans="2:3" x14ac:dyDescent="0.2">
      <c r="B116" s="271">
        <v>44725</v>
      </c>
      <c r="C116" s="272">
        <v>82.511619999999994</v>
      </c>
    </row>
    <row r="117" spans="2:3" x14ac:dyDescent="0.2">
      <c r="B117" s="271">
        <v>44726</v>
      </c>
      <c r="C117" s="272">
        <v>82.697570999999996</v>
      </c>
    </row>
    <row r="118" spans="2:3" x14ac:dyDescent="0.2">
      <c r="B118" s="271">
        <v>44727</v>
      </c>
      <c r="C118" s="272">
        <v>82.824791000000005</v>
      </c>
    </row>
    <row r="119" spans="2:3" x14ac:dyDescent="0.2">
      <c r="B119" s="271">
        <v>44728</v>
      </c>
      <c r="C119" s="272">
        <v>83.079246999999995</v>
      </c>
    </row>
    <row r="120" spans="2:3" x14ac:dyDescent="0.2">
      <c r="B120" s="271">
        <v>44729</v>
      </c>
      <c r="C120" s="272">
        <v>82.815017999999995</v>
      </c>
    </row>
    <row r="121" spans="2:3" x14ac:dyDescent="0.2">
      <c r="B121" s="271">
        <v>44733</v>
      </c>
      <c r="C121" s="272">
        <v>86.152266999999995</v>
      </c>
    </row>
    <row r="122" spans="2:3" x14ac:dyDescent="0.2">
      <c r="B122" s="271">
        <v>44734</v>
      </c>
      <c r="C122" s="272">
        <v>87.258171000000004</v>
      </c>
    </row>
    <row r="123" spans="2:3" x14ac:dyDescent="0.2">
      <c r="B123" s="271">
        <v>44735</v>
      </c>
      <c r="C123" s="272">
        <v>90.037589999999994</v>
      </c>
    </row>
    <row r="124" spans="2:3" x14ac:dyDescent="0.2">
      <c r="B124" s="271">
        <v>44736</v>
      </c>
      <c r="C124" s="272">
        <v>91.143478000000002</v>
      </c>
    </row>
    <row r="125" spans="2:3" x14ac:dyDescent="0.2">
      <c r="B125" s="271">
        <v>44739</v>
      </c>
      <c r="C125" s="272">
        <v>92.396186999999998</v>
      </c>
    </row>
    <row r="126" spans="2:3" x14ac:dyDescent="0.2">
      <c r="B126" s="271">
        <v>44740</v>
      </c>
      <c r="C126" s="272">
        <v>89.929939000000005</v>
      </c>
    </row>
    <row r="127" spans="2:3" x14ac:dyDescent="0.2">
      <c r="B127" s="271">
        <v>44741</v>
      </c>
      <c r="C127" s="272">
        <v>90.536704999999998</v>
      </c>
    </row>
    <row r="128" spans="2:3" x14ac:dyDescent="0.2">
      <c r="B128" s="271">
        <v>44742</v>
      </c>
      <c r="C128" s="272">
        <v>89.225288000000006</v>
      </c>
    </row>
    <row r="129" spans="2:3" x14ac:dyDescent="0.2">
      <c r="B129" s="271">
        <v>44743</v>
      </c>
      <c r="C129" s="272">
        <v>90.448623999999995</v>
      </c>
    </row>
    <row r="130" spans="2:3" x14ac:dyDescent="0.2">
      <c r="B130" s="271">
        <v>44747</v>
      </c>
      <c r="C130" s="272">
        <v>90.663933</v>
      </c>
    </row>
    <row r="131" spans="2:3" x14ac:dyDescent="0.2">
      <c r="B131" s="271">
        <v>44748</v>
      </c>
      <c r="C131" s="272">
        <v>91.143478000000002</v>
      </c>
    </row>
    <row r="132" spans="2:3" x14ac:dyDescent="0.2">
      <c r="B132" s="271">
        <v>44749</v>
      </c>
      <c r="C132" s="272">
        <v>91.026047000000005</v>
      </c>
    </row>
    <row r="133" spans="2:3" x14ac:dyDescent="0.2">
      <c r="B133" s="271">
        <v>44750</v>
      </c>
      <c r="C133" s="272">
        <v>90.800949000000003</v>
      </c>
    </row>
    <row r="134" spans="2:3" x14ac:dyDescent="0.2">
      <c r="B134" s="271">
        <v>44753</v>
      </c>
      <c r="C134" s="272">
        <v>92.288527999999999</v>
      </c>
    </row>
    <row r="135" spans="2:3" x14ac:dyDescent="0.2">
      <c r="B135" s="271">
        <v>44754</v>
      </c>
      <c r="C135" s="272">
        <v>91.603454999999997</v>
      </c>
    </row>
    <row r="136" spans="2:3" x14ac:dyDescent="0.2">
      <c r="B136" s="271">
        <v>44755</v>
      </c>
      <c r="C136" s="272">
        <v>91.769829000000001</v>
      </c>
    </row>
    <row r="137" spans="2:3" x14ac:dyDescent="0.2">
      <c r="B137" s="271">
        <v>44756</v>
      </c>
      <c r="C137" s="272">
        <v>91.877487000000002</v>
      </c>
    </row>
    <row r="138" spans="2:3" x14ac:dyDescent="0.2">
      <c r="B138" s="271">
        <v>44757</v>
      </c>
      <c r="C138" s="272">
        <v>92.934455999999997</v>
      </c>
    </row>
    <row r="139" spans="2:3" x14ac:dyDescent="0.2">
      <c r="B139" s="271">
        <v>44760</v>
      </c>
      <c r="C139" s="272">
        <v>90.370330999999993</v>
      </c>
    </row>
    <row r="140" spans="2:3" x14ac:dyDescent="0.2">
      <c r="B140" s="271">
        <v>44761</v>
      </c>
      <c r="C140" s="272">
        <v>90.389908000000005</v>
      </c>
    </row>
    <row r="141" spans="2:3" x14ac:dyDescent="0.2">
      <c r="B141" s="271">
        <v>44762</v>
      </c>
      <c r="C141" s="272">
        <v>87.737724</v>
      </c>
    </row>
    <row r="142" spans="2:3" x14ac:dyDescent="0.2">
      <c r="B142" s="271">
        <v>44763</v>
      </c>
      <c r="C142" s="272">
        <v>88.217262000000005</v>
      </c>
    </row>
    <row r="143" spans="2:3" x14ac:dyDescent="0.2">
      <c r="B143" s="271">
        <v>44764</v>
      </c>
      <c r="C143" s="272">
        <v>88.187904000000003</v>
      </c>
    </row>
    <row r="144" spans="2:3" x14ac:dyDescent="0.2">
      <c r="B144" s="271">
        <v>44767</v>
      </c>
      <c r="C144" s="272">
        <v>88.598938000000004</v>
      </c>
    </row>
    <row r="145" spans="2:3" x14ac:dyDescent="0.2">
      <c r="B145" s="271">
        <v>44768</v>
      </c>
      <c r="C145" s="272">
        <v>89.342735000000005</v>
      </c>
    </row>
    <row r="146" spans="2:3" x14ac:dyDescent="0.2">
      <c r="B146" s="271">
        <v>44769</v>
      </c>
      <c r="C146" s="272">
        <v>89.284019000000001</v>
      </c>
    </row>
    <row r="147" spans="2:3" x14ac:dyDescent="0.2">
      <c r="B147" s="271">
        <v>44770</v>
      </c>
      <c r="C147" s="272">
        <v>88.021529999999998</v>
      </c>
    </row>
    <row r="148" spans="2:3" x14ac:dyDescent="0.2">
      <c r="B148" s="271">
        <v>44771</v>
      </c>
      <c r="C148" s="272">
        <v>87.434325999999999</v>
      </c>
    </row>
    <row r="149" spans="2:3" x14ac:dyDescent="0.2">
      <c r="B149" s="271">
        <v>44774</v>
      </c>
      <c r="C149" s="272">
        <v>86.641602000000006</v>
      </c>
    </row>
    <row r="150" spans="2:3" x14ac:dyDescent="0.2">
      <c r="B150" s="271">
        <v>44775</v>
      </c>
      <c r="C150" s="272">
        <v>85.741241000000002</v>
      </c>
    </row>
    <row r="151" spans="2:3" x14ac:dyDescent="0.2">
      <c r="B151" s="271">
        <v>44776</v>
      </c>
      <c r="C151" s="272">
        <v>85.751022000000006</v>
      </c>
    </row>
    <row r="152" spans="2:3" x14ac:dyDescent="0.2">
      <c r="B152" s="271">
        <v>44777</v>
      </c>
      <c r="C152" s="272">
        <v>84.968086</v>
      </c>
    </row>
    <row r="153" spans="2:3" x14ac:dyDescent="0.2">
      <c r="B153" s="271">
        <v>44778</v>
      </c>
      <c r="C153" s="272">
        <v>85.545494000000005</v>
      </c>
    </row>
    <row r="154" spans="2:3" x14ac:dyDescent="0.2">
      <c r="B154" s="271">
        <v>44781</v>
      </c>
      <c r="C154" s="272">
        <v>86.602455000000006</v>
      </c>
    </row>
    <row r="155" spans="2:3" x14ac:dyDescent="0.2">
      <c r="B155" s="271">
        <v>44782</v>
      </c>
      <c r="C155" s="272">
        <v>87.610480999999993</v>
      </c>
    </row>
    <row r="156" spans="2:3" x14ac:dyDescent="0.2">
      <c r="B156" s="271">
        <v>44783</v>
      </c>
      <c r="C156" s="272">
        <v>87.287537</v>
      </c>
    </row>
    <row r="157" spans="2:3" x14ac:dyDescent="0.2">
      <c r="B157" s="271">
        <v>44784</v>
      </c>
      <c r="C157" s="272">
        <v>87.033080999999996</v>
      </c>
    </row>
    <row r="158" spans="2:3" x14ac:dyDescent="0.2">
      <c r="B158" s="271">
        <v>44785</v>
      </c>
      <c r="C158" s="272">
        <v>89.078491</v>
      </c>
    </row>
    <row r="159" spans="2:3" x14ac:dyDescent="0.2">
      <c r="B159" s="271">
        <v>44788</v>
      </c>
      <c r="C159" s="272">
        <v>88.667450000000002</v>
      </c>
    </row>
    <row r="160" spans="2:3" x14ac:dyDescent="0.2">
      <c r="B160" s="271">
        <v>44789</v>
      </c>
      <c r="C160" s="272">
        <v>88.657661000000004</v>
      </c>
    </row>
    <row r="161" spans="2:3" x14ac:dyDescent="0.2">
      <c r="B161" s="271">
        <v>44790</v>
      </c>
      <c r="C161" s="272">
        <v>89.098076000000006</v>
      </c>
    </row>
    <row r="162" spans="2:3" x14ac:dyDescent="0.2">
      <c r="B162" s="271">
        <v>44791</v>
      </c>
      <c r="C162" s="272">
        <v>89.450385999999995</v>
      </c>
    </row>
    <row r="163" spans="2:3" x14ac:dyDescent="0.2">
      <c r="B163" s="271">
        <v>44792</v>
      </c>
      <c r="C163" s="272">
        <v>90.115882999999997</v>
      </c>
    </row>
    <row r="164" spans="2:3" x14ac:dyDescent="0.2">
      <c r="B164" s="271">
        <v>44795</v>
      </c>
      <c r="C164" s="272">
        <v>89.215508</v>
      </c>
    </row>
    <row r="165" spans="2:3" x14ac:dyDescent="0.2">
      <c r="B165" s="271">
        <v>44796</v>
      </c>
      <c r="C165" s="272">
        <v>88.275977999999995</v>
      </c>
    </row>
    <row r="166" spans="2:3" x14ac:dyDescent="0.2">
      <c r="B166" s="271">
        <v>44797</v>
      </c>
      <c r="C166" s="272">
        <v>88.090041999999997</v>
      </c>
    </row>
    <row r="167" spans="2:3" x14ac:dyDescent="0.2">
      <c r="B167" s="271">
        <v>44798</v>
      </c>
      <c r="C167" s="272">
        <v>88.344489999999993</v>
      </c>
    </row>
    <row r="168" spans="2:3" x14ac:dyDescent="0.2">
      <c r="B168" s="271">
        <v>44799</v>
      </c>
      <c r="C168" s="272">
        <v>87.356032999999996</v>
      </c>
    </row>
    <row r="169" spans="2:3" x14ac:dyDescent="0.2">
      <c r="B169" s="271">
        <v>44802</v>
      </c>
      <c r="C169" s="272">
        <v>85.721656999999993</v>
      </c>
    </row>
    <row r="170" spans="2:3" x14ac:dyDescent="0.2">
      <c r="B170" s="271">
        <v>44803</v>
      </c>
      <c r="C170" s="272">
        <v>85.026793999999995</v>
      </c>
    </row>
    <row r="171" spans="2:3" x14ac:dyDescent="0.2">
      <c r="B171" s="271">
        <v>44804</v>
      </c>
      <c r="C171" s="272">
        <v>83.539223000000007</v>
      </c>
    </row>
    <row r="172" spans="2:3" x14ac:dyDescent="0.2">
      <c r="B172" s="271">
        <v>44805</v>
      </c>
      <c r="C172" s="272">
        <v>85.291038999999998</v>
      </c>
    </row>
    <row r="173" spans="2:3" x14ac:dyDescent="0.2">
      <c r="B173" s="271">
        <v>44806</v>
      </c>
      <c r="C173" s="272">
        <v>84.390670999999998</v>
      </c>
    </row>
    <row r="174" spans="2:3" x14ac:dyDescent="0.2">
      <c r="B174" s="271">
        <v>44810</v>
      </c>
      <c r="C174" s="272">
        <v>84.576606999999996</v>
      </c>
    </row>
    <row r="175" spans="2:3" x14ac:dyDescent="0.2">
      <c r="B175" s="271">
        <v>44811</v>
      </c>
      <c r="C175" s="272">
        <v>85.017021</v>
      </c>
    </row>
    <row r="176" spans="2:3" x14ac:dyDescent="0.2">
      <c r="B176" s="271">
        <v>44812</v>
      </c>
      <c r="C176" s="272">
        <v>85.555274999999995</v>
      </c>
    </row>
    <row r="177" spans="2:3" x14ac:dyDescent="0.2">
      <c r="B177" s="271">
        <v>44813</v>
      </c>
      <c r="C177" s="272">
        <v>85.476990000000001</v>
      </c>
    </row>
    <row r="178" spans="2:3" x14ac:dyDescent="0.2">
      <c r="B178" s="271">
        <v>44816</v>
      </c>
      <c r="C178" s="272">
        <v>86.279503000000005</v>
      </c>
    </row>
    <row r="179" spans="2:3" x14ac:dyDescent="0.2">
      <c r="B179" s="271">
        <v>44817</v>
      </c>
      <c r="C179" s="272">
        <v>84.439598000000004</v>
      </c>
    </row>
    <row r="180" spans="2:3" x14ac:dyDescent="0.2">
      <c r="B180" s="271">
        <v>44818</v>
      </c>
      <c r="C180" s="272">
        <v>85.781318999999996</v>
      </c>
    </row>
    <row r="181" spans="2:3" x14ac:dyDescent="0.2">
      <c r="B181" s="271">
        <v>44819</v>
      </c>
      <c r="C181" s="272">
        <v>85.584014999999994</v>
      </c>
    </row>
    <row r="182" spans="2:3" x14ac:dyDescent="0.2">
      <c r="B182" s="271">
        <v>44820</v>
      </c>
      <c r="C182" s="272">
        <v>86.540976999999998</v>
      </c>
    </row>
    <row r="183" spans="2:3" x14ac:dyDescent="0.2">
      <c r="B183" s="271">
        <v>44823</v>
      </c>
      <c r="C183" s="272">
        <v>85.475487000000001</v>
      </c>
    </row>
    <row r="184" spans="2:3" x14ac:dyDescent="0.2">
      <c r="B184" s="271">
        <v>44824</v>
      </c>
      <c r="C184" s="272">
        <v>84.844093000000001</v>
      </c>
    </row>
    <row r="185" spans="2:3" x14ac:dyDescent="0.2">
      <c r="B185" s="271">
        <v>44825</v>
      </c>
      <c r="C185" s="272">
        <v>83.393844999999999</v>
      </c>
    </row>
    <row r="186" spans="2:3" x14ac:dyDescent="0.2">
      <c r="B186" s="271">
        <v>44826</v>
      </c>
      <c r="C186" s="272">
        <v>86.333793999999997</v>
      </c>
    </row>
    <row r="187" spans="2:3" x14ac:dyDescent="0.2">
      <c r="B187" s="271">
        <v>44827</v>
      </c>
      <c r="C187" s="272">
        <v>85.613608999999997</v>
      </c>
    </row>
    <row r="188" spans="2:3" x14ac:dyDescent="0.2">
      <c r="B188" s="271">
        <v>44830</v>
      </c>
      <c r="C188" s="272">
        <v>85.021666999999994</v>
      </c>
    </row>
    <row r="189" spans="2:3" x14ac:dyDescent="0.2">
      <c r="B189" s="271">
        <v>44831</v>
      </c>
      <c r="C189" s="272">
        <v>84.686240999999995</v>
      </c>
    </row>
    <row r="190" spans="2:3" x14ac:dyDescent="0.2">
      <c r="B190" s="271">
        <v>44832</v>
      </c>
      <c r="C190" s="272">
        <v>85.613608999999997</v>
      </c>
    </row>
    <row r="191" spans="2:3" x14ac:dyDescent="0.2">
      <c r="B191" s="271">
        <v>44833</v>
      </c>
      <c r="C191" s="272">
        <v>85.475487000000001</v>
      </c>
    </row>
    <row r="192" spans="2:3" x14ac:dyDescent="0.2">
      <c r="B192" s="271">
        <v>44834</v>
      </c>
      <c r="C192" s="272">
        <v>84.962479000000002</v>
      </c>
    </row>
    <row r="193" spans="2:3" x14ac:dyDescent="0.2">
      <c r="B193" s="271">
        <v>44837</v>
      </c>
      <c r="C193" s="272">
        <v>86.373253000000005</v>
      </c>
    </row>
    <row r="194" spans="2:3" x14ac:dyDescent="0.2">
      <c r="B194" s="271">
        <v>44838</v>
      </c>
      <c r="C194" s="272">
        <v>87.201965000000001</v>
      </c>
    </row>
    <row r="195" spans="2:3" x14ac:dyDescent="0.2">
      <c r="B195" s="271">
        <v>44839</v>
      </c>
      <c r="C195" s="272">
        <v>87.201965000000001</v>
      </c>
    </row>
    <row r="196" spans="2:3" x14ac:dyDescent="0.2">
      <c r="B196" s="271">
        <v>44840</v>
      </c>
      <c r="C196" s="272">
        <v>86.264731999999995</v>
      </c>
    </row>
    <row r="197" spans="2:3" x14ac:dyDescent="0.2">
      <c r="B197" s="271">
        <v>44841</v>
      </c>
      <c r="C197" s="272">
        <v>86.422584999999998</v>
      </c>
    </row>
    <row r="198" spans="2:3" x14ac:dyDescent="0.2">
      <c r="B198" s="271">
        <v>44844</v>
      </c>
      <c r="C198" s="272">
        <v>89.263878000000005</v>
      </c>
    </row>
    <row r="199" spans="2:3" x14ac:dyDescent="0.2">
      <c r="B199" s="271">
        <v>44845</v>
      </c>
      <c r="C199" s="272">
        <v>89.826217999999997</v>
      </c>
    </row>
    <row r="200" spans="2:3" x14ac:dyDescent="0.2">
      <c r="B200" s="271">
        <v>44846</v>
      </c>
      <c r="C200" s="272">
        <v>89.204673999999997</v>
      </c>
    </row>
    <row r="201" spans="2:3" x14ac:dyDescent="0.2">
      <c r="B201" s="271">
        <v>44847</v>
      </c>
      <c r="C201" s="272">
        <v>91.246857000000006</v>
      </c>
    </row>
    <row r="202" spans="2:3" x14ac:dyDescent="0.2">
      <c r="B202" s="271">
        <v>44848</v>
      </c>
      <c r="C202" s="272">
        <v>90.941024999999996</v>
      </c>
    </row>
    <row r="203" spans="2:3" x14ac:dyDescent="0.2">
      <c r="B203" s="271">
        <v>44851</v>
      </c>
      <c r="C203" s="272">
        <v>92.854950000000002</v>
      </c>
    </row>
    <row r="204" spans="2:3" x14ac:dyDescent="0.2">
      <c r="B204" s="271">
        <v>44852</v>
      </c>
      <c r="C204" s="272">
        <v>93.338363999999999</v>
      </c>
    </row>
    <row r="205" spans="2:3" x14ac:dyDescent="0.2">
      <c r="B205" s="271">
        <v>44853</v>
      </c>
      <c r="C205" s="272">
        <v>92.006507999999997</v>
      </c>
    </row>
    <row r="206" spans="2:3" x14ac:dyDescent="0.2">
      <c r="B206" s="271">
        <v>44854</v>
      </c>
      <c r="C206" s="272">
        <v>91.690810999999997</v>
      </c>
    </row>
    <row r="207" spans="2:3" x14ac:dyDescent="0.2">
      <c r="B207" s="271">
        <v>44855</v>
      </c>
      <c r="C207" s="272">
        <v>94.384108999999995</v>
      </c>
    </row>
    <row r="208" spans="2:3" x14ac:dyDescent="0.2">
      <c r="B208" s="271">
        <v>44858</v>
      </c>
      <c r="C208" s="272">
        <v>96.061272000000002</v>
      </c>
    </row>
    <row r="209" spans="2:3" x14ac:dyDescent="0.2">
      <c r="B209" s="271">
        <v>44859</v>
      </c>
      <c r="C209" s="272">
        <v>96.396698000000001</v>
      </c>
    </row>
    <row r="210" spans="2:3" x14ac:dyDescent="0.2">
      <c r="B210" s="271">
        <v>44860</v>
      </c>
      <c r="C210" s="272">
        <v>97.087288000000001</v>
      </c>
    </row>
    <row r="211" spans="2:3" x14ac:dyDescent="0.2">
      <c r="B211" s="271">
        <v>44861</v>
      </c>
      <c r="C211" s="272">
        <v>98.399413999999993</v>
      </c>
    </row>
    <row r="212" spans="2:3" x14ac:dyDescent="0.2">
      <c r="B212" s="271">
        <v>44862</v>
      </c>
      <c r="C212" s="272">
        <v>99.415565000000001</v>
      </c>
    </row>
    <row r="213" spans="2:3" x14ac:dyDescent="0.2">
      <c r="B213" s="271">
        <v>44865</v>
      </c>
      <c r="C213" s="272">
        <v>99.839782999999997</v>
      </c>
    </row>
    <row r="214" spans="2:3" x14ac:dyDescent="0.2">
      <c r="B214" s="271">
        <v>44866</v>
      </c>
      <c r="C214" s="272">
        <v>98.419150999999999</v>
      </c>
    </row>
    <row r="215" spans="2:3" x14ac:dyDescent="0.2">
      <c r="B215" s="271">
        <v>44867</v>
      </c>
      <c r="C215" s="272">
        <v>98.063980000000001</v>
      </c>
    </row>
    <row r="216" spans="2:3" x14ac:dyDescent="0.2">
      <c r="B216" s="271">
        <v>44868</v>
      </c>
      <c r="C216" s="272">
        <v>97.422721999999993</v>
      </c>
    </row>
    <row r="217" spans="2:3" x14ac:dyDescent="0.2">
      <c r="B217" s="271">
        <v>44869</v>
      </c>
      <c r="C217" s="272">
        <v>97.866669000000002</v>
      </c>
    </row>
    <row r="218" spans="2:3" x14ac:dyDescent="0.2">
      <c r="B218" s="271">
        <v>44872</v>
      </c>
      <c r="C218" s="272">
        <v>98.724975999999998</v>
      </c>
    </row>
    <row r="219" spans="2:3" x14ac:dyDescent="0.2">
      <c r="B219" s="271">
        <v>44873</v>
      </c>
      <c r="C219" s="272">
        <v>100.135757</v>
      </c>
    </row>
    <row r="220" spans="2:3" x14ac:dyDescent="0.2">
      <c r="B220" s="271">
        <v>44874</v>
      </c>
      <c r="C220" s="272">
        <v>100.224541</v>
      </c>
    </row>
    <row r="221" spans="2:3" x14ac:dyDescent="0.2">
      <c r="B221" s="271">
        <v>44875</v>
      </c>
      <c r="C221" s="272">
        <v>100.520515</v>
      </c>
    </row>
    <row r="222" spans="2:3" x14ac:dyDescent="0.2">
      <c r="B222" s="271">
        <v>44876</v>
      </c>
      <c r="C222" s="272">
        <v>96.643341000000007</v>
      </c>
    </row>
    <row r="223" spans="2:3" x14ac:dyDescent="0.2">
      <c r="B223" s="271">
        <v>44879</v>
      </c>
      <c r="C223" s="272">
        <v>99.001213000000007</v>
      </c>
    </row>
    <row r="224" spans="2:3" x14ac:dyDescent="0.2">
      <c r="B224" s="271">
        <v>44880</v>
      </c>
      <c r="C224" s="272">
        <v>98.261291999999997</v>
      </c>
    </row>
    <row r="225" spans="2:3" x14ac:dyDescent="0.2">
      <c r="B225" s="271">
        <v>44881</v>
      </c>
      <c r="C225" s="272">
        <v>98.586860999999999</v>
      </c>
    </row>
    <row r="226" spans="2:3" x14ac:dyDescent="0.2">
      <c r="B226" s="271">
        <v>44882</v>
      </c>
      <c r="C226" s="272">
        <v>100.93486799999999</v>
      </c>
    </row>
    <row r="227" spans="2:3" x14ac:dyDescent="0.2">
      <c r="B227" s="271">
        <v>44883</v>
      </c>
      <c r="C227" s="272">
        <v>102.829063</v>
      </c>
    </row>
    <row r="228" spans="2:3" x14ac:dyDescent="0.2">
      <c r="B228" s="271">
        <v>44886</v>
      </c>
      <c r="C228" s="272">
        <v>104.19051399999999</v>
      </c>
    </row>
    <row r="229" spans="2:3" x14ac:dyDescent="0.2">
      <c r="B229" s="271">
        <v>44887</v>
      </c>
      <c r="C229" s="272">
        <v>105.46318100000001</v>
      </c>
    </row>
    <row r="230" spans="2:3" x14ac:dyDescent="0.2">
      <c r="B230" s="271">
        <v>44888</v>
      </c>
      <c r="C230" s="272">
        <v>105.384254</v>
      </c>
    </row>
    <row r="231" spans="2:3" x14ac:dyDescent="0.2">
      <c r="B231" s="271">
        <v>44890</v>
      </c>
      <c r="C231" s="272">
        <v>106.05510700000001</v>
      </c>
    </row>
    <row r="232" spans="2:3" x14ac:dyDescent="0.2">
      <c r="B232" s="271">
        <v>44893</v>
      </c>
      <c r="C232" s="272">
        <v>106.99234</v>
      </c>
    </row>
    <row r="233" spans="2:3" x14ac:dyDescent="0.2">
      <c r="B233" s="271">
        <v>44894</v>
      </c>
      <c r="C233" s="272">
        <v>107.377098</v>
      </c>
    </row>
    <row r="234" spans="2:3" x14ac:dyDescent="0.2">
      <c r="B234" s="271">
        <v>44895</v>
      </c>
      <c r="C234" s="272">
        <v>108.6399</v>
      </c>
    </row>
    <row r="235" spans="2:3" x14ac:dyDescent="0.2">
      <c r="B235" s="271">
        <v>44896</v>
      </c>
      <c r="C235" s="272">
        <v>108.324196</v>
      </c>
    </row>
    <row r="236" spans="2:3" x14ac:dyDescent="0.2">
      <c r="B236" s="271">
        <v>44897</v>
      </c>
      <c r="C236" s="272">
        <v>108.560974</v>
      </c>
    </row>
    <row r="237" spans="2:3" x14ac:dyDescent="0.2">
      <c r="B237" s="271">
        <v>44900</v>
      </c>
      <c r="C237" s="272">
        <v>108.53138</v>
      </c>
    </row>
    <row r="238" spans="2:3" x14ac:dyDescent="0.2">
      <c r="B238" s="271">
        <v>44901</v>
      </c>
      <c r="C238" s="272">
        <v>107.465897</v>
      </c>
    </row>
    <row r="239" spans="2:3" x14ac:dyDescent="0.2">
      <c r="B239" s="271">
        <v>44902</v>
      </c>
      <c r="C239" s="272">
        <v>108.610298</v>
      </c>
    </row>
    <row r="240" spans="2:3" x14ac:dyDescent="0.2">
      <c r="B240" s="271">
        <v>44903</v>
      </c>
      <c r="C240" s="272">
        <v>109.360077</v>
      </c>
    </row>
    <row r="241" spans="2:3" x14ac:dyDescent="0.2">
      <c r="B241" s="271">
        <v>44904</v>
      </c>
      <c r="C241" s="272">
        <v>107.317902</v>
      </c>
    </row>
    <row r="242" spans="2:3" x14ac:dyDescent="0.2">
      <c r="B242" s="271">
        <v>44907</v>
      </c>
      <c r="C242" s="272">
        <v>107.50535600000001</v>
      </c>
    </row>
    <row r="243" spans="2:3" x14ac:dyDescent="0.2">
      <c r="B243" s="271">
        <v>44908</v>
      </c>
      <c r="C243" s="272">
        <v>109.41928900000001</v>
      </c>
    </row>
    <row r="244" spans="2:3" x14ac:dyDescent="0.2">
      <c r="B244" s="271">
        <v>44909</v>
      </c>
      <c r="C244" s="272">
        <v>110.77982299999999</v>
      </c>
    </row>
    <row r="245" spans="2:3" x14ac:dyDescent="0.2">
      <c r="B245" s="271">
        <v>44910</v>
      </c>
      <c r="C245" s="272">
        <v>108.87307</v>
      </c>
    </row>
    <row r="246" spans="2:3" x14ac:dyDescent="0.2">
      <c r="B246" s="271">
        <v>44911</v>
      </c>
      <c r="C246" s="272">
        <v>108.446037</v>
      </c>
    </row>
    <row r="247" spans="2:3" x14ac:dyDescent="0.2">
      <c r="B247" s="271">
        <v>44914</v>
      </c>
      <c r="C247" s="272">
        <v>108.684387</v>
      </c>
    </row>
    <row r="248" spans="2:3" x14ac:dyDescent="0.2">
      <c r="B248" s="271">
        <v>44915</v>
      </c>
      <c r="C248" s="272">
        <v>108.952522</v>
      </c>
    </row>
    <row r="249" spans="2:3" x14ac:dyDescent="0.2">
      <c r="B249" s="271">
        <v>44916</v>
      </c>
      <c r="C249" s="272">
        <v>110.342857</v>
      </c>
    </row>
    <row r="250" spans="2:3" x14ac:dyDescent="0.2">
      <c r="B250" s="271">
        <v>44917</v>
      </c>
      <c r="C250" s="272">
        <v>110.471954</v>
      </c>
    </row>
    <row r="251" spans="2:3" x14ac:dyDescent="0.2">
      <c r="B251" s="271">
        <v>44918</v>
      </c>
      <c r="C251" s="272">
        <v>111.087677</v>
      </c>
    </row>
    <row r="252" spans="2:3" x14ac:dyDescent="0.2">
      <c r="B252" s="271">
        <v>44922</v>
      </c>
      <c r="C252" s="272">
        <v>111.34588599999999</v>
      </c>
    </row>
    <row r="253" spans="2:3" x14ac:dyDescent="0.2">
      <c r="B253" s="271">
        <v>44923</v>
      </c>
      <c r="C253" s="272">
        <v>110.31306499999999</v>
      </c>
    </row>
    <row r="254" spans="2:3" x14ac:dyDescent="0.2">
      <c r="B254" s="271">
        <v>44924</v>
      </c>
      <c r="C254" s="272">
        <v>110.054855</v>
      </c>
    </row>
    <row r="255" spans="2:3" x14ac:dyDescent="0.2">
      <c r="B255" s="271">
        <v>44925</v>
      </c>
      <c r="C255" s="272">
        <v>110.18396</v>
      </c>
    </row>
  </sheetData>
  <hyperlinks>
    <hyperlink ref="F9" r:id="rId1" xr:uid="{4D9EF24F-39CA-8E41-92A3-8D53F28439F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8C5B3-2F22-7441-804B-61194EF09EB0}">
  <dimension ref="A2:N70"/>
  <sheetViews>
    <sheetView workbookViewId="0">
      <selection activeCell="M24" sqref="M24:M25"/>
    </sheetView>
  </sheetViews>
  <sheetFormatPr baseColWidth="10" defaultRowHeight="16" x14ac:dyDescent="0.2"/>
  <cols>
    <col min="1" max="3" width="10.83203125" style="1"/>
    <col min="4" max="4" width="11.6640625" style="1" bestFit="1" customWidth="1"/>
    <col min="5" max="16384" width="10.83203125" style="1"/>
  </cols>
  <sheetData>
    <row r="2" spans="1:14" s="2" customFormat="1" ht="19" x14ac:dyDescent="0.25">
      <c r="A2" s="6" t="s">
        <v>533</v>
      </c>
    </row>
    <row r="4" spans="1:14" x14ac:dyDescent="0.2">
      <c r="B4" s="279" t="s">
        <v>534</v>
      </c>
      <c r="H4" s="279" t="s">
        <v>535</v>
      </c>
    </row>
    <row r="5" spans="1:14" x14ac:dyDescent="0.2">
      <c r="B5" s="280" t="s">
        <v>540</v>
      </c>
      <c r="C5" s="282" t="s">
        <v>539</v>
      </c>
      <c r="D5" s="281"/>
      <c r="E5" s="280" t="s">
        <v>541</v>
      </c>
      <c r="F5" s="280"/>
      <c r="H5" s="293" t="s">
        <v>693</v>
      </c>
      <c r="I5" s="285"/>
      <c r="J5" s="285"/>
      <c r="K5" s="285"/>
      <c r="L5" s="285"/>
      <c r="N5" s="14" t="s">
        <v>560</v>
      </c>
    </row>
    <row r="6" spans="1:14" x14ac:dyDescent="0.2">
      <c r="B6" s="1" t="s">
        <v>536</v>
      </c>
      <c r="C6" s="283" t="s">
        <v>537</v>
      </c>
      <c r="D6" s="246" t="s">
        <v>538</v>
      </c>
      <c r="E6" s="1" t="s">
        <v>537</v>
      </c>
      <c r="F6" s="1" t="s">
        <v>538</v>
      </c>
      <c r="H6" s="286" t="s">
        <v>692</v>
      </c>
      <c r="I6" s="286"/>
      <c r="J6" s="286"/>
      <c r="K6" s="287"/>
      <c r="L6" s="288">
        <v>3.8399999999999997E-2</v>
      </c>
      <c r="N6" s="301" t="s">
        <v>561</v>
      </c>
    </row>
    <row r="7" spans="1:14" x14ac:dyDescent="0.2">
      <c r="B7" s="271">
        <v>43101</v>
      </c>
      <c r="C7" s="284">
        <v>257.83767699999999</v>
      </c>
      <c r="D7" s="246"/>
      <c r="E7" s="272">
        <v>48.053649999999998</v>
      </c>
      <c r="H7" s="286" t="s">
        <v>542</v>
      </c>
      <c r="I7" s="286"/>
      <c r="J7" s="286"/>
      <c r="K7" s="287"/>
      <c r="L7" s="288">
        <v>5.9400000000000001E-2</v>
      </c>
      <c r="N7" s="301" t="s">
        <v>562</v>
      </c>
    </row>
    <row r="8" spans="1:14" x14ac:dyDescent="0.2">
      <c r="B8" s="271">
        <v>43132</v>
      </c>
      <c r="C8" s="284">
        <v>248.462616</v>
      </c>
      <c r="D8" s="435">
        <f>C8/C7-1</f>
        <v>-3.6360322157261704E-2</v>
      </c>
      <c r="E8" s="272">
        <v>43.974162999999997</v>
      </c>
      <c r="F8" s="392">
        <f>E8/E7-1</f>
        <v>-8.4894425293396081E-2</v>
      </c>
      <c r="H8" s="286" t="s">
        <v>543</v>
      </c>
      <c r="I8" s="286"/>
      <c r="J8" s="286"/>
      <c r="K8" s="287"/>
      <c r="L8" s="288">
        <f>L7-L6</f>
        <v>2.1000000000000005E-2</v>
      </c>
    </row>
    <row r="9" spans="1:14" x14ac:dyDescent="0.2">
      <c r="B9" s="271">
        <v>43160</v>
      </c>
      <c r="C9" s="284">
        <v>240.68817100000001</v>
      </c>
      <c r="D9" s="435">
        <f t="shared" ref="D9:D66" si="0">C9/C8-1</f>
        <v>-3.1290200212654828E-2</v>
      </c>
      <c r="E9" s="272">
        <v>44.176913999999996</v>
      </c>
      <c r="F9" s="392">
        <f t="shared" ref="F9:F66" si="1">E9/E8-1</f>
        <v>4.6106846877336238E-3</v>
      </c>
      <c r="H9" s="286" t="s">
        <v>691</v>
      </c>
      <c r="I9" s="286"/>
      <c r="J9" s="286"/>
      <c r="K9" s="287"/>
      <c r="L9" s="289">
        <f>SLOPE(F8:F66,D8:D66)</f>
        <v>0.39842290569347988</v>
      </c>
    </row>
    <row r="10" spans="1:14" x14ac:dyDescent="0.2">
      <c r="B10" s="271">
        <v>43191</v>
      </c>
      <c r="C10" s="284">
        <v>242.901093</v>
      </c>
      <c r="D10" s="435">
        <f t="shared" si="0"/>
        <v>9.1941452328374584E-3</v>
      </c>
      <c r="E10" s="272">
        <v>48.162982999999997</v>
      </c>
      <c r="F10" s="392">
        <f t="shared" si="1"/>
        <v>9.0229684219228279E-2</v>
      </c>
      <c r="H10" s="286" t="s">
        <v>544</v>
      </c>
      <c r="I10" s="286"/>
      <c r="J10" s="286"/>
      <c r="K10" s="286"/>
      <c r="L10" s="290">
        <f>L9/(1+(1-L17)*L18/L19)</f>
        <v>0.35596271820988956</v>
      </c>
    </row>
    <row r="11" spans="1:14" x14ac:dyDescent="0.2">
      <c r="B11" s="271">
        <v>43221</v>
      </c>
      <c r="C11" s="284">
        <v>248.80573999999999</v>
      </c>
      <c r="D11" s="435">
        <f t="shared" si="0"/>
        <v>2.4308853151187693E-2</v>
      </c>
      <c r="E11" s="272">
        <v>48.702950000000001</v>
      </c>
      <c r="F11" s="392">
        <f t="shared" si="1"/>
        <v>1.1211244951335519E-2</v>
      </c>
      <c r="H11" s="285" t="s">
        <v>545</v>
      </c>
      <c r="I11" s="285"/>
      <c r="J11" s="285"/>
      <c r="K11" s="291"/>
      <c r="L11" s="292">
        <f>L8*L9</f>
        <v>8.3668810195630799E-3</v>
      </c>
    </row>
    <row r="12" spans="1:14" x14ac:dyDescent="0.2">
      <c r="B12" s="271">
        <v>43252</v>
      </c>
      <c r="C12" s="284">
        <v>249.117874</v>
      </c>
      <c r="D12" s="435">
        <f t="shared" si="0"/>
        <v>1.2545289349032984E-3</v>
      </c>
      <c r="E12" s="272">
        <v>49.660156000000001</v>
      </c>
      <c r="F12" s="392">
        <f t="shared" si="1"/>
        <v>1.9653963466278679E-2</v>
      </c>
      <c r="H12" s="297" t="s">
        <v>546</v>
      </c>
      <c r="I12" s="286"/>
      <c r="J12" s="286"/>
      <c r="K12" s="286"/>
      <c r="L12" s="298">
        <f>L6+L11</f>
        <v>4.6766881019563077E-2</v>
      </c>
    </row>
    <row r="13" spans="1:14" x14ac:dyDescent="0.2">
      <c r="B13" s="271">
        <v>43282</v>
      </c>
      <c r="C13" s="284">
        <v>259.506958</v>
      </c>
      <c r="D13" s="435">
        <f t="shared" si="0"/>
        <v>4.1703486920412702E-2</v>
      </c>
      <c r="E13" s="272">
        <v>54.306331999999998</v>
      </c>
      <c r="F13" s="392">
        <f t="shared" si="1"/>
        <v>9.3559432233760953E-2</v>
      </c>
      <c r="H13" s="286"/>
      <c r="I13" s="286"/>
      <c r="J13" s="286"/>
      <c r="K13" s="286"/>
      <c r="L13" s="286"/>
    </row>
    <row r="14" spans="1:14" x14ac:dyDescent="0.2">
      <c r="B14" s="271">
        <v>43313</v>
      </c>
      <c r="C14" s="284">
        <v>267.79040500000002</v>
      </c>
      <c r="D14" s="435">
        <f t="shared" si="0"/>
        <v>3.1919941815201858E-2</v>
      </c>
      <c r="E14" s="272">
        <v>56.548828</v>
      </c>
      <c r="F14" s="392">
        <f t="shared" si="1"/>
        <v>4.1293453588432394E-2</v>
      </c>
      <c r="H14" s="293" t="s">
        <v>547</v>
      </c>
      <c r="I14" s="285"/>
      <c r="J14" s="285"/>
      <c r="K14" s="285"/>
      <c r="L14" s="293"/>
    </row>
    <row r="15" spans="1:14" x14ac:dyDescent="0.2">
      <c r="B15" s="271">
        <v>43344</v>
      </c>
      <c r="C15" s="284">
        <v>268.16854899999998</v>
      </c>
      <c r="D15" s="435">
        <f t="shared" si="0"/>
        <v>1.4120894286706598E-3</v>
      </c>
      <c r="E15" s="272">
        <v>58.486286</v>
      </c>
      <c r="F15" s="392">
        <f t="shared" si="1"/>
        <v>3.4261682664758375E-2</v>
      </c>
      <c r="H15" s="286" t="s">
        <v>556</v>
      </c>
      <c r="I15" s="286"/>
      <c r="J15" s="286"/>
      <c r="K15" s="286"/>
      <c r="L15" s="299">
        <f>Equity!C255</f>
        <v>110.18396</v>
      </c>
    </row>
    <row r="16" spans="1:14" x14ac:dyDescent="0.2">
      <c r="B16" s="271">
        <v>43374</v>
      </c>
      <c r="C16" s="284">
        <v>250.76709</v>
      </c>
      <c r="D16" s="435">
        <f t="shared" si="0"/>
        <v>-6.4890006918745691E-2</v>
      </c>
      <c r="E16" s="272">
        <v>61.101624000000001</v>
      </c>
      <c r="F16" s="392">
        <f t="shared" si="1"/>
        <v>4.4717115393512863E-2</v>
      </c>
      <c r="H16" s="286" t="s">
        <v>548</v>
      </c>
      <c r="I16" s="286"/>
      <c r="J16" s="286"/>
      <c r="K16" s="286"/>
      <c r="L16" s="294">
        <f>Equity!G5</f>
        <v>2540</v>
      </c>
    </row>
    <row r="17" spans="2:14" x14ac:dyDescent="0.2">
      <c r="B17" s="271">
        <v>43405</v>
      </c>
      <c r="C17" s="284">
        <v>255.418564</v>
      </c>
      <c r="D17" s="435">
        <f t="shared" si="0"/>
        <v>1.8548981048509994E-2</v>
      </c>
      <c r="E17" s="272">
        <v>65.857933000000003</v>
      </c>
      <c r="F17" s="392">
        <f t="shared" si="1"/>
        <v>7.7842595476676824E-2</v>
      </c>
      <c r="H17" s="285" t="s">
        <v>549</v>
      </c>
      <c r="I17" s="285"/>
      <c r="J17" s="285"/>
      <c r="K17" s="285"/>
      <c r="L17" s="303">
        <v>0.14099999999999999</v>
      </c>
      <c r="N17" s="301" t="s">
        <v>563</v>
      </c>
    </row>
    <row r="18" spans="2:14" x14ac:dyDescent="0.2">
      <c r="B18" s="271">
        <v>43435</v>
      </c>
      <c r="C18" s="284">
        <v>231.577057</v>
      </c>
      <c r="D18" s="435">
        <f t="shared" si="0"/>
        <v>-9.334289029986087E-2</v>
      </c>
      <c r="E18" s="272">
        <v>63.425815999999998</v>
      </c>
      <c r="F18" s="392">
        <f t="shared" si="1"/>
        <v>-3.692974998167653E-2</v>
      </c>
      <c r="H18" s="286" t="s">
        <v>550</v>
      </c>
      <c r="I18" s="286"/>
      <c r="J18" s="286"/>
      <c r="K18" s="286"/>
      <c r="L18" s="294">
        <f>'Financial Statements'!M117-'Financial Statements'!M111</f>
        <v>38863</v>
      </c>
    </row>
    <row r="19" spans="2:14" x14ac:dyDescent="0.2">
      <c r="B19" s="271">
        <v>43466</v>
      </c>
      <c r="C19" s="284">
        <v>251.57904099999999</v>
      </c>
      <c r="D19" s="435">
        <f t="shared" si="0"/>
        <v>8.6372908694491324E-2</v>
      </c>
      <c r="E19" s="272">
        <v>62.215366000000003</v>
      </c>
      <c r="F19" s="392">
        <f t="shared" si="1"/>
        <v>-1.9084500229370249E-2</v>
      </c>
      <c r="H19" s="286" t="s">
        <v>551</v>
      </c>
      <c r="I19" s="286"/>
      <c r="J19" s="286"/>
      <c r="K19" s="286"/>
      <c r="L19" s="294">
        <f>L15*L16</f>
        <v>279867.25839999999</v>
      </c>
    </row>
    <row r="20" spans="2:14" x14ac:dyDescent="0.2">
      <c r="B20" s="271">
        <v>43497</v>
      </c>
      <c r="C20" s="284">
        <v>259.73419200000001</v>
      </c>
      <c r="D20" s="435">
        <f t="shared" si="0"/>
        <v>3.2415860111335792E-2</v>
      </c>
      <c r="E20" s="272">
        <v>67.949577000000005</v>
      </c>
      <c r="F20" s="392">
        <f t="shared" si="1"/>
        <v>9.2167118328934983E-2</v>
      </c>
      <c r="H20" s="285" t="s">
        <v>552</v>
      </c>
      <c r="I20" s="285"/>
      <c r="J20" s="285"/>
      <c r="K20" s="285"/>
      <c r="L20" s="295">
        <f>SUM(L18:L19)</f>
        <v>318730.25839999999</v>
      </c>
    </row>
    <row r="21" spans="2:14" x14ac:dyDescent="0.2">
      <c r="B21" s="271">
        <v>43525</v>
      </c>
      <c r="C21" s="284">
        <v>263.27581800000002</v>
      </c>
      <c r="D21" s="435">
        <f t="shared" si="0"/>
        <v>1.3635578638025558E-2</v>
      </c>
      <c r="E21" s="272">
        <v>69.521072000000004</v>
      </c>
      <c r="F21" s="392">
        <f t="shared" si="1"/>
        <v>2.3127369873104486E-2</v>
      </c>
      <c r="H21" s="286" t="s">
        <v>553</v>
      </c>
      <c r="I21" s="286"/>
      <c r="J21" s="286"/>
      <c r="K21" s="286"/>
      <c r="L21" s="288">
        <v>3.0159999999999999E-2</v>
      </c>
      <c r="N21" s="301" t="s">
        <v>564</v>
      </c>
    </row>
    <row r="22" spans="2:14" x14ac:dyDescent="0.2">
      <c r="B22" s="271">
        <v>43556</v>
      </c>
      <c r="C22" s="284">
        <v>275.23834199999999</v>
      </c>
      <c r="D22" s="435">
        <f t="shared" si="0"/>
        <v>4.5437230395386941E-2</v>
      </c>
      <c r="E22" s="272">
        <v>66.239463999999998</v>
      </c>
      <c r="F22" s="392">
        <f t="shared" si="1"/>
        <v>-4.720306959593501E-2</v>
      </c>
      <c r="H22" s="285" t="s">
        <v>554</v>
      </c>
      <c r="I22" s="285"/>
      <c r="J22" s="285"/>
      <c r="K22" s="285"/>
      <c r="L22" s="296">
        <f>L12</f>
        <v>4.6766881019563077E-2</v>
      </c>
    </row>
    <row r="23" spans="2:14" x14ac:dyDescent="0.2">
      <c r="B23" s="271">
        <v>43586</v>
      </c>
      <c r="C23" s="284">
        <v>257.686035</v>
      </c>
      <c r="D23" s="435">
        <f t="shared" si="0"/>
        <v>-6.3771300438948186E-2</v>
      </c>
      <c r="E23" s="272">
        <v>66.660233000000005</v>
      </c>
      <c r="F23" s="392">
        <f t="shared" si="1"/>
        <v>6.3522404106410857E-3</v>
      </c>
      <c r="H23" s="297" t="s">
        <v>555</v>
      </c>
      <c r="I23" s="286"/>
      <c r="J23" s="286"/>
      <c r="K23" s="286"/>
      <c r="L23" s="298">
        <f>L21*(1-L17)*L18/L20+L22*L19/L20</f>
        <v>4.4223475004669069E-2</v>
      </c>
    </row>
    <row r="24" spans="2:14" x14ac:dyDescent="0.2">
      <c r="B24" s="271">
        <v>43617</v>
      </c>
      <c r="C24" s="284">
        <v>274.28341699999999</v>
      </c>
      <c r="D24" s="435">
        <f t="shared" si="0"/>
        <v>6.4409318882957534E-2</v>
      </c>
      <c r="E24" s="272">
        <v>70.565085999999994</v>
      </c>
      <c r="F24" s="392">
        <f t="shared" si="1"/>
        <v>5.8578448113135062E-2</v>
      </c>
    </row>
    <row r="25" spans="2:14" x14ac:dyDescent="0.2">
      <c r="B25" s="271">
        <v>43647</v>
      </c>
      <c r="C25" s="284">
        <v>279.78469799999999</v>
      </c>
      <c r="D25" s="435">
        <f t="shared" si="0"/>
        <v>2.0056921632998437E-2</v>
      </c>
      <c r="E25" s="272">
        <v>70.307807999999994</v>
      </c>
      <c r="F25" s="392">
        <f t="shared" si="1"/>
        <v>-3.645967355584312E-3</v>
      </c>
    </row>
    <row r="26" spans="2:14" x14ac:dyDescent="0.2">
      <c r="B26" s="271">
        <v>43678</v>
      </c>
      <c r="C26" s="284">
        <v>275.10012799999998</v>
      </c>
      <c r="D26" s="435">
        <f t="shared" si="0"/>
        <v>-1.6743481803997762E-2</v>
      </c>
      <c r="E26" s="272">
        <v>73.256004000000004</v>
      </c>
      <c r="F26" s="392">
        <f t="shared" si="1"/>
        <v>4.1932696863483665E-2</v>
      </c>
    </row>
    <row r="27" spans="2:14" x14ac:dyDescent="0.2">
      <c r="B27" s="271">
        <v>43709</v>
      </c>
      <c r="C27" s="284">
        <v>279.16381799999999</v>
      </c>
      <c r="D27" s="435">
        <f t="shared" si="0"/>
        <v>1.4771676151310364E-2</v>
      </c>
      <c r="E27" s="272">
        <v>71.315948000000006</v>
      </c>
      <c r="F27" s="392">
        <f t="shared" si="1"/>
        <v>-2.6483235421904783E-2</v>
      </c>
    </row>
    <row r="28" spans="2:14" x14ac:dyDescent="0.2">
      <c r="B28" s="271">
        <v>43739</v>
      </c>
      <c r="C28" s="284">
        <v>286.65231299999999</v>
      </c>
      <c r="D28" s="435">
        <f t="shared" si="0"/>
        <v>2.6824733425876879E-2</v>
      </c>
      <c r="E28" s="272">
        <v>73.904883999999996</v>
      </c>
      <c r="F28" s="392">
        <f t="shared" si="1"/>
        <v>3.6302342920548236E-2</v>
      </c>
    </row>
    <row r="29" spans="2:14" x14ac:dyDescent="0.2">
      <c r="B29" s="271">
        <v>43770</v>
      </c>
      <c r="C29" s="284">
        <v>297.02862499999998</v>
      </c>
      <c r="D29" s="435">
        <f t="shared" si="0"/>
        <v>3.6198249689336937E-2</v>
      </c>
      <c r="E29" s="272">
        <v>74.348335000000006</v>
      </c>
      <c r="F29" s="392">
        <f t="shared" si="1"/>
        <v>6.0002935665255386E-3</v>
      </c>
    </row>
    <row r="30" spans="2:14" x14ac:dyDescent="0.2">
      <c r="B30" s="271">
        <v>43800</v>
      </c>
      <c r="C30" s="284">
        <v>304.16357399999998</v>
      </c>
      <c r="D30" s="435">
        <f t="shared" si="0"/>
        <v>2.4021082143177219E-2</v>
      </c>
      <c r="E30" s="272">
        <v>77.563453999999993</v>
      </c>
      <c r="F30" s="392">
        <f t="shared" si="1"/>
        <v>4.3243994636867011E-2</v>
      </c>
    </row>
    <row r="31" spans="2:14" x14ac:dyDescent="0.2">
      <c r="B31" s="271">
        <v>43831</v>
      </c>
      <c r="C31" s="284">
        <v>305.53555299999999</v>
      </c>
      <c r="D31" s="435">
        <f t="shared" si="0"/>
        <v>4.5106617533368087E-3</v>
      </c>
      <c r="E31" s="272">
        <v>73.364081999999996</v>
      </c>
      <c r="F31" s="392">
        <f t="shared" si="1"/>
        <v>-5.4141116510876386E-2</v>
      </c>
    </row>
    <row r="32" spans="2:14" x14ac:dyDescent="0.2">
      <c r="B32" s="271">
        <v>43862</v>
      </c>
      <c r="C32" s="284">
        <v>281.34759500000001</v>
      </c>
      <c r="D32" s="435">
        <f t="shared" si="0"/>
        <v>-7.9165772239933041E-2</v>
      </c>
      <c r="E32" s="272">
        <v>65.739151000000007</v>
      </c>
      <c r="F32" s="392">
        <f t="shared" si="1"/>
        <v>-0.10393275281492642</v>
      </c>
    </row>
    <row r="33" spans="2:6" x14ac:dyDescent="0.2">
      <c r="B33" s="271">
        <v>43891</v>
      </c>
      <c r="C33" s="284">
        <v>244.77598599999999</v>
      </c>
      <c r="D33" s="435">
        <f t="shared" si="0"/>
        <v>-0.12998728139119164</v>
      </c>
      <c r="E33" s="272">
        <v>66.065453000000005</v>
      </c>
      <c r="F33" s="392">
        <f t="shared" si="1"/>
        <v>4.963587071576292E-3</v>
      </c>
    </row>
    <row r="34" spans="2:6" x14ac:dyDescent="0.2">
      <c r="B34" s="271">
        <v>43922</v>
      </c>
      <c r="C34" s="284">
        <v>277.480591</v>
      </c>
      <c r="D34" s="435">
        <f t="shared" si="0"/>
        <v>0.13361034934203064</v>
      </c>
      <c r="E34" s="272">
        <v>68.689034000000007</v>
      </c>
      <c r="F34" s="392">
        <f t="shared" si="1"/>
        <v>3.971184455512633E-2</v>
      </c>
    </row>
    <row r="35" spans="2:6" x14ac:dyDescent="0.2">
      <c r="B35" s="271">
        <v>43952</v>
      </c>
      <c r="C35" s="284">
        <v>290.70126299999998</v>
      </c>
      <c r="D35" s="435">
        <f t="shared" si="0"/>
        <v>4.7645393691697846E-2</v>
      </c>
      <c r="E35" s="272">
        <v>69.883780999999999</v>
      </c>
      <c r="F35" s="392">
        <f t="shared" si="1"/>
        <v>1.7393562413470454E-2</v>
      </c>
    </row>
    <row r="36" spans="2:6" x14ac:dyDescent="0.2">
      <c r="B36" s="271">
        <v>43983</v>
      </c>
      <c r="C36" s="284">
        <v>294.56042500000001</v>
      </c>
      <c r="D36" s="435">
        <f t="shared" si="0"/>
        <v>1.3275353399479384E-2</v>
      </c>
      <c r="E36" s="272">
        <v>66.948875000000001</v>
      </c>
      <c r="F36" s="392">
        <f t="shared" si="1"/>
        <v>-4.1996954915762164E-2</v>
      </c>
    </row>
    <row r="37" spans="2:6" x14ac:dyDescent="0.2">
      <c r="B37" s="271">
        <v>44013</v>
      </c>
      <c r="C37" s="284">
        <v>313.28033399999998</v>
      </c>
      <c r="D37" s="435">
        <f t="shared" si="0"/>
        <v>6.355201653446807E-2</v>
      </c>
      <c r="E37" s="272">
        <v>70.020415999999997</v>
      </c>
      <c r="F37" s="392">
        <f t="shared" si="1"/>
        <v>4.5878903865076204E-2</v>
      </c>
    </row>
    <row r="38" spans="2:6" x14ac:dyDescent="0.2">
      <c r="B38" s="271">
        <v>44044</v>
      </c>
      <c r="C38" s="284">
        <v>335.14623999999998</v>
      </c>
      <c r="D38" s="435">
        <f t="shared" si="0"/>
        <v>6.9796612257186919E-2</v>
      </c>
      <c r="E38" s="272">
        <v>74.409767000000002</v>
      </c>
      <c r="F38" s="392">
        <f t="shared" si="1"/>
        <v>6.2686731252782124E-2</v>
      </c>
    </row>
    <row r="39" spans="2:6" x14ac:dyDescent="0.2">
      <c r="B39" s="271">
        <v>44075</v>
      </c>
      <c r="C39" s="284">
        <v>321.31097399999999</v>
      </c>
      <c r="D39" s="435">
        <f t="shared" si="0"/>
        <v>-4.1281280673177156E-2</v>
      </c>
      <c r="E39" s="272">
        <v>72.385268999999994</v>
      </c>
      <c r="F39" s="392">
        <f t="shared" si="1"/>
        <v>-2.72074229180157E-2</v>
      </c>
    </row>
    <row r="40" spans="2:6" x14ac:dyDescent="0.2">
      <c r="B40" s="271">
        <v>44105</v>
      </c>
      <c r="C40" s="284">
        <v>314.55367999999999</v>
      </c>
      <c r="D40" s="435">
        <f t="shared" si="0"/>
        <v>-2.1030386593643091E-2</v>
      </c>
      <c r="E40" s="272">
        <v>66.108390999999997</v>
      </c>
      <c r="F40" s="392">
        <f t="shared" si="1"/>
        <v>-8.6714853542921744E-2</v>
      </c>
    </row>
    <row r="41" spans="2:6" x14ac:dyDescent="0.2">
      <c r="B41" s="271">
        <v>44136</v>
      </c>
      <c r="C41" s="284">
        <v>348.76986699999998</v>
      </c>
      <c r="D41" s="435">
        <f t="shared" si="0"/>
        <v>0.10877694071167765</v>
      </c>
      <c r="E41" s="272">
        <v>70.661529999999999</v>
      </c>
      <c r="F41" s="392">
        <f t="shared" si="1"/>
        <v>6.8873843866507078E-2</v>
      </c>
    </row>
    <row r="42" spans="2:6" x14ac:dyDescent="0.2">
      <c r="B42" s="271">
        <v>44166</v>
      </c>
      <c r="C42" s="284">
        <v>360.15594499999997</v>
      </c>
      <c r="D42" s="435">
        <f t="shared" si="0"/>
        <v>3.264639258528601E-2</v>
      </c>
      <c r="E42" s="272">
        <v>71.900902000000002</v>
      </c>
      <c r="F42" s="392">
        <f t="shared" si="1"/>
        <v>1.7539557946169682E-2</v>
      </c>
    </row>
    <row r="43" spans="2:6" x14ac:dyDescent="0.2">
      <c r="B43" s="271">
        <v>44197</v>
      </c>
      <c r="C43" s="284">
        <v>358.00543199999998</v>
      </c>
      <c r="D43" s="435">
        <f t="shared" si="0"/>
        <v>-5.9710606748417661E-3</v>
      </c>
      <c r="E43" s="272">
        <v>68.278267</v>
      </c>
      <c r="F43" s="392">
        <f t="shared" si="1"/>
        <v>-5.0383721194485198E-2</v>
      </c>
    </row>
    <row r="44" spans="2:6" x14ac:dyDescent="0.2">
      <c r="B44" s="271">
        <v>44228</v>
      </c>
      <c r="C44" s="284">
        <v>367.95996100000002</v>
      </c>
      <c r="D44" s="435">
        <f t="shared" si="0"/>
        <v>2.7805525029017009E-2</v>
      </c>
      <c r="E44" s="272">
        <v>64.335898999999998</v>
      </c>
      <c r="F44" s="392">
        <f t="shared" si="1"/>
        <v>-5.7739719726629835E-2</v>
      </c>
    </row>
    <row r="45" spans="2:6" x14ac:dyDescent="0.2">
      <c r="B45" s="271">
        <v>44256</v>
      </c>
      <c r="C45" s="284">
        <v>383.40927099999999</v>
      </c>
      <c r="D45" s="435">
        <f t="shared" si="0"/>
        <v>4.19863888397356E-2</v>
      </c>
      <c r="E45" s="272">
        <v>68.295981999999995</v>
      </c>
      <c r="F45" s="392">
        <f t="shared" si="1"/>
        <v>6.1553239506298096E-2</v>
      </c>
    </row>
    <row r="46" spans="2:6" x14ac:dyDescent="0.2">
      <c r="B46" s="271">
        <v>44287</v>
      </c>
      <c r="C46" s="284">
        <v>405.017853</v>
      </c>
      <c r="D46" s="435">
        <f t="shared" si="0"/>
        <v>5.6359049283396301E-2</v>
      </c>
      <c r="E46" s="272">
        <v>66.581328999999997</v>
      </c>
      <c r="F46" s="392">
        <f t="shared" si="1"/>
        <v>-2.5106206101553674E-2</v>
      </c>
    </row>
    <row r="47" spans="2:6" x14ac:dyDescent="0.2">
      <c r="B47" s="271">
        <v>44317</v>
      </c>
      <c r="C47" s="284">
        <v>407.67724600000003</v>
      </c>
      <c r="D47" s="435">
        <f t="shared" si="0"/>
        <v>6.566113025146203E-3</v>
      </c>
      <c r="E47" s="272">
        <v>67.823586000000006</v>
      </c>
      <c r="F47" s="392">
        <f t="shared" si="1"/>
        <v>1.8657738117543676E-2</v>
      </c>
    </row>
    <row r="48" spans="2:6" x14ac:dyDescent="0.2">
      <c r="B48" s="271">
        <v>44348</v>
      </c>
      <c r="C48" s="284">
        <v>415.46115099999997</v>
      </c>
      <c r="D48" s="435">
        <f t="shared" si="0"/>
        <v>1.9093302548457425E-2</v>
      </c>
      <c r="E48" s="272">
        <v>72.839943000000005</v>
      </c>
      <c r="F48" s="392">
        <f t="shared" si="1"/>
        <v>7.3961836815882975E-2</v>
      </c>
    </row>
    <row r="49" spans="2:6" x14ac:dyDescent="0.2">
      <c r="B49" s="271">
        <v>44378</v>
      </c>
      <c r="C49" s="284">
        <v>426.99606299999999</v>
      </c>
      <c r="D49" s="435">
        <f t="shared" si="0"/>
        <v>2.7764116987198273E-2</v>
      </c>
      <c r="E49" s="272">
        <v>72.615868000000006</v>
      </c>
      <c r="F49" s="392">
        <f t="shared" si="1"/>
        <v>-3.0762654495761765E-3</v>
      </c>
    </row>
    <row r="50" spans="2:6" x14ac:dyDescent="0.2">
      <c r="B50" s="271">
        <v>44409</v>
      </c>
      <c r="C50" s="284">
        <v>439.70336900000001</v>
      </c>
      <c r="D50" s="435">
        <f t="shared" si="0"/>
        <v>2.9759773218330565E-2</v>
      </c>
      <c r="E50" s="272">
        <v>72.067963000000006</v>
      </c>
      <c r="F50" s="392">
        <f t="shared" si="1"/>
        <v>-7.5452516797017699E-3</v>
      </c>
    </row>
    <row r="51" spans="2:6" x14ac:dyDescent="0.2">
      <c r="B51" s="271">
        <v>44440</v>
      </c>
      <c r="C51" s="284">
        <v>417.87200899999999</v>
      </c>
      <c r="D51" s="435">
        <f t="shared" si="0"/>
        <v>-4.9650199518939786E-2</v>
      </c>
      <c r="E51" s="272">
        <v>70.953261999999995</v>
      </c>
      <c r="F51" s="392">
        <f t="shared" si="1"/>
        <v>-1.5467358221294636E-2</v>
      </c>
    </row>
    <row r="52" spans="2:6" x14ac:dyDescent="0.2">
      <c r="B52" s="271">
        <v>44470</v>
      </c>
      <c r="C52" s="284">
        <v>448.624054</v>
      </c>
      <c r="D52" s="435">
        <f t="shared" si="0"/>
        <v>7.359201941664395E-2</v>
      </c>
      <c r="E52" s="272">
        <v>83.922561999999999</v>
      </c>
      <c r="F52" s="392">
        <f t="shared" si="1"/>
        <v>0.18278652220387004</v>
      </c>
    </row>
    <row r="53" spans="2:6" x14ac:dyDescent="0.2">
      <c r="B53" s="271">
        <v>44501</v>
      </c>
      <c r="C53" s="284">
        <v>445.01943999999997</v>
      </c>
      <c r="D53" s="435">
        <f t="shared" si="0"/>
        <v>-8.0348210664603625E-3</v>
      </c>
      <c r="E53" s="272">
        <v>71.398514000000006</v>
      </c>
      <c r="F53" s="392">
        <f t="shared" si="1"/>
        <v>-0.14923338493884386</v>
      </c>
    </row>
    <row r="54" spans="2:6" x14ac:dyDescent="0.2">
      <c r="B54" s="271">
        <v>44531</v>
      </c>
      <c r="C54" s="284">
        <v>463.97058099999998</v>
      </c>
      <c r="D54" s="435">
        <f t="shared" si="0"/>
        <v>4.2584973366556866E-2</v>
      </c>
      <c r="E54" s="272">
        <v>73.047416999999996</v>
      </c>
      <c r="F54" s="392">
        <f t="shared" si="1"/>
        <v>2.3094360199149122E-2</v>
      </c>
    </row>
    <row r="55" spans="2:6" x14ac:dyDescent="0.2">
      <c r="B55" s="271">
        <v>44562</v>
      </c>
      <c r="C55" s="284">
        <v>441.04424999999998</v>
      </c>
      <c r="D55" s="435">
        <f t="shared" si="0"/>
        <v>-4.9413329074844969E-2</v>
      </c>
      <c r="E55" s="272">
        <v>78.397316000000004</v>
      </c>
      <c r="F55" s="392">
        <f t="shared" si="1"/>
        <v>7.3238715613996419E-2</v>
      </c>
    </row>
    <row r="56" spans="2:6" x14ac:dyDescent="0.2">
      <c r="B56" s="271">
        <v>44593</v>
      </c>
      <c r="C56" s="284">
        <v>428.02590900000001</v>
      </c>
      <c r="D56" s="435">
        <f t="shared" si="0"/>
        <v>-2.9517085870635396E-2</v>
      </c>
      <c r="E56" s="272">
        <v>73.682693</v>
      </c>
      <c r="F56" s="392">
        <f t="shared" si="1"/>
        <v>-6.0137556239807988E-2</v>
      </c>
    </row>
    <row r="57" spans="2:6" x14ac:dyDescent="0.2">
      <c r="B57" s="271">
        <v>44621</v>
      </c>
      <c r="C57" s="284">
        <v>442.74017300000003</v>
      </c>
      <c r="D57" s="435">
        <f t="shared" si="0"/>
        <v>3.4377040479575349E-2</v>
      </c>
      <c r="E57" s="272">
        <v>78.945740000000001</v>
      </c>
      <c r="F57" s="392">
        <f t="shared" si="1"/>
        <v>7.1428537499301337E-2</v>
      </c>
    </row>
    <row r="58" spans="2:6" x14ac:dyDescent="0.2">
      <c r="B58" s="271">
        <v>44652</v>
      </c>
      <c r="C58" s="284">
        <v>405.135986</v>
      </c>
      <c r="D58" s="435">
        <f t="shared" si="0"/>
        <v>-8.4935113850624133E-2</v>
      </c>
      <c r="E58" s="272">
        <v>86.093597000000003</v>
      </c>
      <c r="F58" s="392">
        <f t="shared" si="1"/>
        <v>9.0541389567062147E-2</v>
      </c>
    </row>
    <row r="59" spans="2:6" x14ac:dyDescent="0.2">
      <c r="B59" s="271">
        <v>44682</v>
      </c>
      <c r="C59" s="284">
        <v>406.050476</v>
      </c>
      <c r="D59" s="435">
        <f t="shared" si="0"/>
        <v>2.2572420905606627E-3</v>
      </c>
      <c r="E59" s="272">
        <v>89.335808</v>
      </c>
      <c r="F59" s="392">
        <f t="shared" si="1"/>
        <v>3.7659142061400974E-2</v>
      </c>
    </row>
    <row r="60" spans="2:6" x14ac:dyDescent="0.2">
      <c r="B60" s="271">
        <v>44713</v>
      </c>
      <c r="C60" s="284">
        <v>370.96493500000003</v>
      </c>
      <c r="D60" s="435">
        <f t="shared" si="0"/>
        <v>-8.6406846128164516E-2</v>
      </c>
      <c r="E60" s="272">
        <v>88.500984000000003</v>
      </c>
      <c r="F60" s="392">
        <f t="shared" si="1"/>
        <v>-9.3447859116021492E-3</v>
      </c>
    </row>
    <row r="61" spans="2:6" x14ac:dyDescent="0.2">
      <c r="B61" s="271">
        <v>44743</v>
      </c>
      <c r="C61" s="284">
        <v>406.87616000000003</v>
      </c>
      <c r="D61" s="435">
        <f t="shared" si="0"/>
        <v>9.6804904215542553E-2</v>
      </c>
      <c r="E61" s="272">
        <v>87.434325999999999</v>
      </c>
      <c r="F61" s="392">
        <f t="shared" si="1"/>
        <v>-1.205249876091774E-2</v>
      </c>
    </row>
    <row r="62" spans="2:6" x14ac:dyDescent="0.2">
      <c r="B62" s="271">
        <v>44774</v>
      </c>
      <c r="C62" s="284">
        <v>390.27484099999998</v>
      </c>
      <c r="D62" s="435">
        <f t="shared" si="0"/>
        <v>-4.0801896577081442E-2</v>
      </c>
      <c r="E62" s="272">
        <v>83.539223000000007</v>
      </c>
      <c r="F62" s="392">
        <f t="shared" si="1"/>
        <v>-4.4548899479135873E-2</v>
      </c>
    </row>
    <row r="63" spans="2:6" x14ac:dyDescent="0.2">
      <c r="B63" s="271">
        <v>44805</v>
      </c>
      <c r="C63" s="284">
        <v>352.74648999999999</v>
      </c>
      <c r="D63" s="435">
        <f t="shared" si="0"/>
        <v>-9.615877596373168E-2</v>
      </c>
      <c r="E63" s="272">
        <v>84.283011999999999</v>
      </c>
      <c r="F63" s="392">
        <f t="shared" si="1"/>
        <v>8.9034704093429173E-3</v>
      </c>
    </row>
    <row r="64" spans="2:6" x14ac:dyDescent="0.2">
      <c r="B64" s="271">
        <v>44835</v>
      </c>
      <c r="C64" s="284">
        <v>382.98294099999998</v>
      </c>
      <c r="D64" s="435">
        <f t="shared" si="0"/>
        <v>8.5717227122515061E-2</v>
      </c>
      <c r="E64" s="272">
        <v>99.839782999999997</v>
      </c>
      <c r="F64" s="392">
        <f t="shared" si="1"/>
        <v>0.18457777707327305</v>
      </c>
    </row>
    <row r="65" spans="2:6" x14ac:dyDescent="0.2">
      <c r="B65" s="271">
        <v>44866</v>
      </c>
      <c r="C65" s="284">
        <v>404.27355999999997</v>
      </c>
      <c r="D65" s="435">
        <f t="shared" si="0"/>
        <v>5.5591559625106202E-2</v>
      </c>
      <c r="E65" s="272">
        <v>108.6399</v>
      </c>
      <c r="F65" s="392">
        <f t="shared" si="1"/>
        <v>8.8142389091530715E-2</v>
      </c>
    </row>
    <row r="66" spans="2:6" x14ac:dyDescent="0.2">
      <c r="B66" s="271">
        <v>44896</v>
      </c>
      <c r="C66" s="284">
        <v>379.23452800000001</v>
      </c>
      <c r="D66" s="435">
        <f t="shared" si="0"/>
        <v>-6.1935863428713822E-2</v>
      </c>
      <c r="E66" s="272">
        <v>109.45874000000001</v>
      </c>
      <c r="F66" s="392">
        <f t="shared" si="1"/>
        <v>7.5371939775350505E-3</v>
      </c>
    </row>
    <row r="68" spans="2:6" x14ac:dyDescent="0.2">
      <c r="B68" s="14" t="s">
        <v>532</v>
      </c>
    </row>
    <row r="69" spans="2:6" x14ac:dyDescent="0.2">
      <c r="B69" s="301" t="s">
        <v>557</v>
      </c>
    </row>
    <row r="70" spans="2:6" x14ac:dyDescent="0.2">
      <c r="B70" s="301" t="s">
        <v>558</v>
      </c>
    </row>
  </sheetData>
  <hyperlinks>
    <hyperlink ref="B69" r:id="rId1" xr:uid="{76958BD1-9308-384D-9DB2-F44D69A518EB}"/>
    <hyperlink ref="B70" r:id="rId2" xr:uid="{7C2BA112-2962-C94E-B789-35B643416F47}"/>
    <hyperlink ref="N6" r:id="rId3" xr:uid="{952B8105-A8B0-344A-AD10-74F13AAE05AE}"/>
    <hyperlink ref="N7" r:id="rId4" xr:uid="{49F82079-006F-544A-9698-FE8CA6AFEE86}"/>
    <hyperlink ref="N17" r:id="rId5" xr:uid="{F7419712-379C-FB42-82BA-E99FF4BD1825}"/>
    <hyperlink ref="N21" r:id="rId6" xr:uid="{45924E96-641A-C645-B208-5553907DC6A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772E4-EED7-A542-904F-2D9C1D72DF39}">
  <dimension ref="A2:J50"/>
  <sheetViews>
    <sheetView topLeftCell="A13" zoomScale="111" workbookViewId="0">
      <selection activeCell="B39" sqref="B39"/>
    </sheetView>
  </sheetViews>
  <sheetFormatPr baseColWidth="10" defaultRowHeight="16" x14ac:dyDescent="0.2"/>
  <cols>
    <col min="1" max="1" width="10.83203125" style="1"/>
    <col min="2" max="2" width="42.5" style="1" bestFit="1" customWidth="1"/>
    <col min="3" max="3" width="13.1640625" style="1" bestFit="1" customWidth="1"/>
    <col min="4" max="4" width="11.6640625" style="1" bestFit="1" customWidth="1"/>
    <col min="5" max="6" width="11" style="1" bestFit="1" customWidth="1"/>
    <col min="7" max="7" width="12.6640625" style="1" bestFit="1" customWidth="1"/>
    <col min="8" max="8" width="11.5" style="1" bestFit="1" customWidth="1"/>
    <col min="9" max="16384" width="10.83203125" style="1"/>
  </cols>
  <sheetData>
    <row r="2" spans="1:10" s="2" customFormat="1" ht="19" x14ac:dyDescent="0.25">
      <c r="A2" s="6" t="s">
        <v>592</v>
      </c>
    </row>
    <row r="5" spans="1:10" x14ac:dyDescent="0.2">
      <c r="B5" s="430" t="s">
        <v>593</v>
      </c>
      <c r="C5" s="11">
        <v>2022</v>
      </c>
      <c r="D5" s="13">
        <v>2023</v>
      </c>
      <c r="E5" s="13">
        <v>2024</v>
      </c>
      <c r="F5" s="13">
        <v>2025</v>
      </c>
      <c r="G5" s="13">
        <v>2026</v>
      </c>
      <c r="H5" s="13">
        <v>2027</v>
      </c>
    </row>
    <row r="6" spans="1:10" x14ac:dyDescent="0.2">
      <c r="B6" s="1" t="s">
        <v>694</v>
      </c>
      <c r="C6" s="305">
        <f>'Cost of Capital'!L17</f>
        <v>0.14099999999999999</v>
      </c>
      <c r="D6" s="431">
        <v>0.14099999999999999</v>
      </c>
      <c r="E6" s="431">
        <v>0.13</v>
      </c>
      <c r="F6" s="431">
        <v>0.13</v>
      </c>
      <c r="G6" s="431">
        <v>0.12</v>
      </c>
      <c r="H6" s="433">
        <v>0.12</v>
      </c>
    </row>
    <row r="7" spans="1:10" x14ac:dyDescent="0.2">
      <c r="B7" s="1" t="s">
        <v>588</v>
      </c>
      <c r="C7" s="307">
        <f>'Multiple (Relative Methods)'!N6</f>
        <v>18.369205298013245</v>
      </c>
      <c r="D7" s="429">
        <f>$C7+1*($H7-$C7)/5</f>
        <v>19.295364238410595</v>
      </c>
      <c r="E7" s="429">
        <f>$C7+2*($H7-$C7)/5</f>
        <v>20.221523178807946</v>
      </c>
      <c r="F7" s="429">
        <f>$C7+3*($H7-$C7)/5</f>
        <v>21.1476821192053</v>
      </c>
      <c r="G7" s="429">
        <f>$C7+4*($H7-$C7)/5</f>
        <v>22.07384105960265</v>
      </c>
      <c r="H7" s="12">
        <v>23</v>
      </c>
    </row>
    <row r="8" spans="1:10" x14ac:dyDescent="0.2">
      <c r="B8" s="1" t="s">
        <v>594</v>
      </c>
      <c r="C8" s="300">
        <f>'Cost of Capital'!L19</f>
        <v>279867.25839999999</v>
      </c>
      <c r="D8" s="434">
        <f>D7*'Financial Statements'!N50</f>
        <v>295782.68155199854</v>
      </c>
      <c r="E8" s="434">
        <f>E7*'Financial Statements'!O50</f>
        <v>379816.02987126296</v>
      </c>
      <c r="F8" s="434">
        <f>F7*'Financial Statements'!P50</f>
        <v>441758.08172048931</v>
      </c>
      <c r="G8" s="434">
        <f>G7*'Financial Statements'!Q50</f>
        <v>484771.86449313589</v>
      </c>
      <c r="H8" s="434">
        <f>H7*'Financial Statements'!R50</f>
        <v>536248.89514857519</v>
      </c>
    </row>
    <row r="9" spans="1:10" x14ac:dyDescent="0.2">
      <c r="B9" s="1" t="s">
        <v>595</v>
      </c>
      <c r="C9" s="241">
        <f>'Financial Statements'!M117-'Financial Statements'!M111</f>
        <v>38863</v>
      </c>
      <c r="D9" s="322">
        <f>'Financial Statements'!N117-'Financial Statements'!N111</f>
        <v>40113</v>
      </c>
      <c r="E9" s="322">
        <f>'Financial Statements'!O117-'Financial Statements'!O111</f>
        <v>38113</v>
      </c>
      <c r="F9" s="322">
        <f>'Financial Statements'!P117-'Financial Statements'!P111</f>
        <v>36113</v>
      </c>
      <c r="G9" s="322">
        <f>'Financial Statements'!Q117-'Financial Statements'!Q111</f>
        <v>35363</v>
      </c>
      <c r="H9" s="322">
        <f>'Financial Statements'!R117-'Financial Statements'!R111</f>
        <v>34613</v>
      </c>
    </row>
    <row r="10" spans="1:10" x14ac:dyDescent="0.2">
      <c r="B10" s="1" t="s">
        <v>596</v>
      </c>
      <c r="C10" s="307">
        <f>'Cost of Capital'!L9</f>
        <v>0.39842290569347988</v>
      </c>
      <c r="D10" s="429">
        <f>$C10+1*($H10-$C10)/5</f>
        <v>0.38873832455478391</v>
      </c>
      <c r="E10" s="429">
        <f>$C10+2*($H10-$C10)/5</f>
        <v>0.37905374341608794</v>
      </c>
      <c r="F10" s="429">
        <f>$C10+3*($H10-$C10)/5</f>
        <v>0.36936916227739192</v>
      </c>
      <c r="G10" s="429">
        <f>$C10+4*($H10-$C10)/5</f>
        <v>0.35968458113869595</v>
      </c>
      <c r="H10" s="315">
        <v>0.35</v>
      </c>
      <c r="J10" s="14" t="s">
        <v>697</v>
      </c>
    </row>
    <row r="11" spans="1:10" x14ac:dyDescent="0.2">
      <c r="B11" s="1" t="s">
        <v>597</v>
      </c>
      <c r="C11" s="308">
        <f>'Cost of Capital'!L22</f>
        <v>4.6766881019563077E-2</v>
      </c>
      <c r="D11" s="432">
        <f>'Cost of Capital'!$L$6+'Cost of Capital'!$L$8*'Valuation (DCF) Model'!D10</f>
        <v>4.6563504815650462E-2</v>
      </c>
      <c r="E11" s="432">
        <f>'Cost of Capital'!$L$6+'Cost of Capital'!$L$8*'Valuation (DCF) Model'!E10</f>
        <v>4.6360128611737841E-2</v>
      </c>
      <c r="F11" s="432">
        <f>'Cost of Capital'!$L$6+'Cost of Capital'!$L$8*'Valuation (DCF) Model'!F10</f>
        <v>4.6156752407825227E-2</v>
      </c>
      <c r="G11" s="432">
        <f>'Cost of Capital'!$L$6+'Cost of Capital'!$L$8*'Valuation (DCF) Model'!G10</f>
        <v>4.5953376203912613E-2</v>
      </c>
      <c r="H11" s="432">
        <f>'Cost of Capital'!$L$6+'Cost of Capital'!$L$8*'Valuation (DCF) Model'!H10</f>
        <v>4.5749999999999999E-2</v>
      </c>
      <c r="J11" s="14" t="s">
        <v>698</v>
      </c>
    </row>
    <row r="12" spans="1:10" x14ac:dyDescent="0.2">
      <c r="B12" s="1" t="s">
        <v>598</v>
      </c>
      <c r="C12" s="308">
        <f>'Cost of Capital'!L23</f>
        <v>4.4223475004669069E-2</v>
      </c>
      <c r="D12" s="432">
        <f>'Cost of Capital'!$L$21*(1-'Valuation (DCF) Model'!D6)*'Valuation (DCF) Model'!D9/('Valuation (DCF) Model'!D9+'Valuation (DCF) Model'!D8)+D11*D8/(D8+D9)</f>
        <v>4.4096736787786077E-2</v>
      </c>
      <c r="E12" s="432">
        <f>'Cost of Capital'!$L$21*(1-'Valuation (DCF) Model'!E6)*'Valuation (DCF) Model'!E9/('Valuation (DCF) Model'!E9+'Valuation (DCF) Model'!E8)+E11*E8/(E8+E9)</f>
        <v>4.4525202350656171E-2</v>
      </c>
      <c r="F12" s="432">
        <f>'Cost of Capital'!$L$21*(1-'Valuation (DCF) Model'!F6)*'Valuation (DCF) Model'!F9/('Valuation (DCF) Model'!F9+'Valuation (DCF) Model'!F8)+F11*F8/(F8+F9)</f>
        <v>4.4651571203902729E-2</v>
      </c>
      <c r="G12" s="432">
        <f>'Cost of Capital'!$L$21*(1-'Valuation (DCF) Model'!G6)*'Valuation (DCF) Model'!G9/('Valuation (DCF) Model'!G9+'Valuation (DCF) Model'!G8)+G11*G8/(G8+G9)</f>
        <v>4.4633551329323728E-2</v>
      </c>
      <c r="H12" s="432">
        <f>'Cost of Capital'!$L$21*(1-'Valuation (DCF) Model'!H6)*'Valuation (DCF) Model'!H9/('Valuation (DCF) Model'!H9+'Valuation (DCF) Model'!H8)+H11*H8/(H8+H9)</f>
        <v>4.4585290907922737E-2</v>
      </c>
      <c r="J12" s="301" t="s">
        <v>699</v>
      </c>
    </row>
    <row r="15" spans="1:10" x14ac:dyDescent="0.2">
      <c r="B15" s="318" t="s">
        <v>623</v>
      </c>
      <c r="C15" s="11">
        <v>2022</v>
      </c>
      <c r="D15" s="13">
        <v>2023</v>
      </c>
      <c r="E15" s="13">
        <v>2024</v>
      </c>
      <c r="F15" s="13">
        <v>2025</v>
      </c>
      <c r="G15" s="13">
        <v>2026</v>
      </c>
      <c r="H15" s="13">
        <v>2027</v>
      </c>
    </row>
    <row r="16" spans="1:10" x14ac:dyDescent="0.2">
      <c r="B16" s="319" t="s">
        <v>599</v>
      </c>
    </row>
    <row r="17" spans="2:8" x14ac:dyDescent="0.2">
      <c r="B17" s="319" t="s">
        <v>600</v>
      </c>
      <c r="C17" s="241">
        <f>'Financial Statements'!M50</f>
        <v>14519</v>
      </c>
      <c r="D17" s="322">
        <f>'Financial Statements'!N50</f>
        <v>15329.209539522164</v>
      </c>
      <c r="E17" s="322">
        <f>'Financial Statements'!O50</f>
        <v>18782.760651250457</v>
      </c>
      <c r="F17" s="322">
        <f>'Financial Statements'!P50</f>
        <v>20889.196235804302</v>
      </c>
      <c r="G17" s="322">
        <f>'Financial Statements'!Q50</f>
        <v>21961.373337072593</v>
      </c>
      <c r="H17" s="322">
        <f>'Financial Statements'!R50</f>
        <v>23315.169354285877</v>
      </c>
    </row>
    <row r="18" spans="2:8" x14ac:dyDescent="0.2">
      <c r="B18" s="319" t="s">
        <v>601</v>
      </c>
      <c r="C18" s="241">
        <f>'Financial Statements'!M34</f>
        <v>962</v>
      </c>
      <c r="D18" s="322">
        <f>'Financial Statements'!N34</f>
        <v>925</v>
      </c>
      <c r="E18" s="322">
        <f>'Financial Statements'!O34</f>
        <v>999.00000000000011</v>
      </c>
      <c r="F18" s="322">
        <f>'Financial Statements'!P34</f>
        <v>1078.9200000000003</v>
      </c>
      <c r="G18" s="322">
        <f>'Financial Statements'!Q34</f>
        <v>1165.2336000000005</v>
      </c>
      <c r="H18" s="322">
        <f>'Financial Statements'!R34</f>
        <v>1258.4522880000006</v>
      </c>
    </row>
    <row r="19" spans="2:8" x14ac:dyDescent="0.2">
      <c r="B19" s="320" t="s">
        <v>602</v>
      </c>
      <c r="C19" s="241"/>
      <c r="D19" s="322">
        <f>'Financial Statements'!N21</f>
        <v>1900</v>
      </c>
      <c r="E19" s="322">
        <f>'Financial Statements'!O21</f>
        <v>1710</v>
      </c>
      <c r="F19" s="322">
        <f>'Financial Statements'!P21</f>
        <v>1539</v>
      </c>
      <c r="G19" s="322">
        <f>'Financial Statements'!Q21</f>
        <v>1385.1000000000001</v>
      </c>
      <c r="H19" s="322">
        <f>'Financial Statements'!R21</f>
        <v>1246.5900000000001</v>
      </c>
    </row>
    <row r="20" spans="2:8" x14ac:dyDescent="0.2">
      <c r="B20" s="319" t="s">
        <v>603</v>
      </c>
      <c r="C20" s="241"/>
      <c r="D20" s="322">
        <f>D17+D18+D19</f>
        <v>18154.209539522162</v>
      </c>
      <c r="E20" s="322">
        <f>E17+E18+E19</f>
        <v>21491.760651250457</v>
      </c>
      <c r="F20" s="322">
        <f>F17+F18+F19</f>
        <v>23507.116235804304</v>
      </c>
      <c r="G20" s="322">
        <f>G17+G18+G19</f>
        <v>24511.706937072591</v>
      </c>
      <c r="H20" s="322">
        <f>H17+H18+H19</f>
        <v>25820.211642285878</v>
      </c>
    </row>
    <row r="21" spans="2:8" x14ac:dyDescent="0.2">
      <c r="B21" s="319" t="s">
        <v>604</v>
      </c>
    </row>
    <row r="22" spans="2:8" x14ac:dyDescent="0.2">
      <c r="B22" s="320" t="s">
        <v>605</v>
      </c>
      <c r="C22" s="241">
        <f>'Financial Statements'!M96-'Financial Statements'!M111</f>
        <v>11483</v>
      </c>
      <c r="D22" s="322">
        <f>'Financial Statements'!N96-'Financial Statements'!N111</f>
        <v>18132.765358538432</v>
      </c>
      <c r="E22" s="322">
        <f>'Financial Statements'!O96-'Financial Statements'!O111</f>
        <v>21990.832192959584</v>
      </c>
      <c r="F22" s="322">
        <f>'Financial Statements'!P96-'Financial Statements'!P111</f>
        <v>26807.806302928293</v>
      </c>
      <c r="G22" s="322">
        <f>'Financial Statements'!Q96-'Financial Statements'!Q111</f>
        <v>33287.013362102654</v>
      </c>
      <c r="H22" s="322">
        <f>'Financial Statements'!R96-'Financial Statements'!R111</f>
        <v>40349.487426610678</v>
      </c>
    </row>
    <row r="23" spans="2:8" x14ac:dyDescent="0.2">
      <c r="B23" s="319" t="s">
        <v>606</v>
      </c>
      <c r="D23" s="322">
        <f>C22-D22</f>
        <v>-6649.7653585384323</v>
      </c>
      <c r="E23" s="322">
        <f t="shared" ref="E23:H23" si="0">D22-E22</f>
        <v>-3858.0668344211517</v>
      </c>
      <c r="F23" s="322">
        <f t="shared" si="0"/>
        <v>-4816.9741099687089</v>
      </c>
      <c r="G23" s="322">
        <f t="shared" si="0"/>
        <v>-6479.2070591743613</v>
      </c>
      <c r="H23" s="322">
        <f t="shared" si="0"/>
        <v>-7062.4740645080237</v>
      </c>
    </row>
    <row r="24" spans="2:8" x14ac:dyDescent="0.2">
      <c r="B24" s="319" t="s">
        <v>607</v>
      </c>
    </row>
    <row r="25" spans="2:8" x14ac:dyDescent="0.2">
      <c r="B25" s="320" t="s">
        <v>608</v>
      </c>
      <c r="C25" s="241">
        <f>'Financial Statements'!M98</f>
        <v>21422</v>
      </c>
      <c r="D25" s="322">
        <f>'Financial Statements'!N98</f>
        <v>22284.21545</v>
      </c>
      <c r="E25" s="322">
        <f>'Financial Statements'!O98</f>
        <v>22744.622920424823</v>
      </c>
      <c r="F25" s="322">
        <f>'Financial Statements'!P98</f>
        <v>23228.86429693094</v>
      </c>
      <c r="G25" s="322">
        <f>'Financial Statements'!Q98</f>
        <v>23724.035760149243</v>
      </c>
      <c r="H25" s="322">
        <f>'Financial Statements'!R98</f>
        <v>24232.451650770799</v>
      </c>
    </row>
    <row r="26" spans="2:8" x14ac:dyDescent="0.2">
      <c r="B26" s="319" t="s">
        <v>609</v>
      </c>
      <c r="D26" s="428">
        <f>C25-D25</f>
        <v>-862.21544999999969</v>
      </c>
      <c r="E26" s="428">
        <f t="shared" ref="E26:H26" si="1">D25-E25</f>
        <v>-460.40747042482326</v>
      </c>
      <c r="F26" s="428">
        <f t="shared" si="1"/>
        <v>-484.24137650611738</v>
      </c>
      <c r="G26" s="428">
        <f t="shared" si="1"/>
        <v>-495.17146321830296</v>
      </c>
      <c r="H26" s="428">
        <f t="shared" si="1"/>
        <v>-508.41589062155617</v>
      </c>
    </row>
    <row r="27" spans="2:8" x14ac:dyDescent="0.2">
      <c r="B27" s="319" t="s">
        <v>610</v>
      </c>
    </row>
    <row r="28" spans="2:8" x14ac:dyDescent="0.2">
      <c r="B28" s="319" t="s">
        <v>611</v>
      </c>
      <c r="D28" s="322">
        <f>D20+D23+D26</f>
        <v>10642.22873098373</v>
      </c>
      <c r="E28" s="322">
        <f t="shared" ref="E28:H28" si="2">E20+E23+E26</f>
        <v>17173.286346404482</v>
      </c>
      <c r="F28" s="322">
        <f t="shared" si="2"/>
        <v>18205.900749329478</v>
      </c>
      <c r="G28" s="322">
        <f t="shared" si="2"/>
        <v>17537.328414679927</v>
      </c>
      <c r="H28" s="322">
        <f t="shared" si="2"/>
        <v>18249.321687156298</v>
      </c>
    </row>
    <row r="29" spans="2:8" x14ac:dyDescent="0.2">
      <c r="B29" s="321" t="s">
        <v>612</v>
      </c>
      <c r="C29" s="424"/>
      <c r="D29" s="424"/>
      <c r="E29" s="424"/>
      <c r="F29" s="424"/>
      <c r="G29" s="424"/>
      <c r="H29" s="426">
        <f>H28*(1+'Financial Statements'!R6)/(H12-'Financial Statements'!R6)</f>
        <v>1050414.5833680122</v>
      </c>
    </row>
    <row r="30" spans="2:8" x14ac:dyDescent="0.2">
      <c r="B30" s="319" t="s">
        <v>613</v>
      </c>
      <c r="D30" s="322">
        <f>D28+D29</f>
        <v>10642.22873098373</v>
      </c>
      <c r="E30" s="322">
        <f t="shared" ref="E30:H30" si="3">E28+E29</f>
        <v>17173.286346404482</v>
      </c>
      <c r="F30" s="322">
        <f t="shared" si="3"/>
        <v>18205.900749329478</v>
      </c>
      <c r="G30" s="322">
        <f t="shared" si="3"/>
        <v>17537.328414679927</v>
      </c>
      <c r="H30" s="322">
        <f t="shared" si="3"/>
        <v>1068663.9050551686</v>
      </c>
    </row>
    <row r="31" spans="2:8" x14ac:dyDescent="0.2">
      <c r="B31" s="319"/>
    </row>
    <row r="32" spans="2:8" x14ac:dyDescent="0.2">
      <c r="B32" s="318" t="s">
        <v>624</v>
      </c>
      <c r="C32" s="318"/>
    </row>
    <row r="33" spans="2:5" x14ac:dyDescent="0.2">
      <c r="B33" s="319" t="s">
        <v>614</v>
      </c>
      <c r="C33" s="436">
        <f>NPV(C12,D30:H30)</f>
        <v>917424.07356594317</v>
      </c>
    </row>
    <row r="34" spans="2:5" x14ac:dyDescent="0.2">
      <c r="B34" s="321" t="s">
        <v>615</v>
      </c>
      <c r="C34" s="426">
        <f>'Cost of Capital'!L18</f>
        <v>38863</v>
      </c>
    </row>
    <row r="35" spans="2:5" x14ac:dyDescent="0.2">
      <c r="B35" s="319" t="s">
        <v>616</v>
      </c>
      <c r="C35" s="436">
        <f>C33-C34</f>
        <v>878561.07356594317</v>
      </c>
    </row>
    <row r="36" spans="2:5" x14ac:dyDescent="0.2">
      <c r="B36" s="321" t="s">
        <v>548</v>
      </c>
      <c r="C36" s="426">
        <f>Equity!G5</f>
        <v>2540</v>
      </c>
    </row>
    <row r="37" spans="2:5" x14ac:dyDescent="0.2">
      <c r="B37" s="319" t="s">
        <v>617</v>
      </c>
      <c r="C37" s="315">
        <f>C35/C36</f>
        <v>345.89018644328473</v>
      </c>
    </row>
    <row r="38" spans="2:5" x14ac:dyDescent="0.2">
      <c r="B38" s="319"/>
    </row>
    <row r="39" spans="2:5" x14ac:dyDescent="0.2">
      <c r="B39" s="318" t="s">
        <v>626</v>
      </c>
      <c r="C39" s="424" t="s">
        <v>687</v>
      </c>
      <c r="D39" s="424" t="s">
        <v>688</v>
      </c>
      <c r="E39" s="424" t="s">
        <v>689</v>
      </c>
    </row>
    <row r="40" spans="2:5" x14ac:dyDescent="0.2">
      <c r="B40" s="319" t="s">
        <v>627</v>
      </c>
      <c r="C40" s="315">
        <f>E40*'Financial Statements'!N50/'Valuation (DCF) Model'!C36</f>
        <v>84.733110997988646</v>
      </c>
      <c r="D40" s="315">
        <f>C47/(D17/C36)</f>
        <v>18.257122631042325</v>
      </c>
      <c r="E40" s="12">
        <v>14.04</v>
      </c>
    </row>
    <row r="41" spans="2:5" x14ac:dyDescent="0.2">
      <c r="B41" s="319" t="s">
        <v>628</v>
      </c>
      <c r="C41" s="315">
        <f>E41*'Financial Statements'!N125/'Valuation (DCF) Model'!C36</f>
        <v>104.67076325554446</v>
      </c>
      <c r="D41" s="429">
        <f>C8/'Financial Statements'!N125</f>
        <v>5.5581070654816616</v>
      </c>
      <c r="E41" s="12">
        <v>5.28</v>
      </c>
    </row>
    <row r="42" spans="2:5" x14ac:dyDescent="0.2">
      <c r="B42" s="319" t="s">
        <v>629</v>
      </c>
      <c r="C42" s="315">
        <f>E42*'Financial Statements'!N5/'Valuation (DCF) Model'!C36</f>
        <v>99.120831259842518</v>
      </c>
      <c r="D42" s="429">
        <f>C8/'Financial Statements'!N5</f>
        <v>4.8688629692265426</v>
      </c>
      <c r="E42" s="12">
        <v>4.38</v>
      </c>
    </row>
    <row r="43" spans="2:5" x14ac:dyDescent="0.2">
      <c r="B43" s="319" t="s">
        <v>630</v>
      </c>
      <c r="C43" s="315">
        <f>(('Financial Statements'!N32+'Valuation (DCF) Model'!D19)*'Valuation (DCF) Model'!E43-'Valuation (DCF) Model'!C34)/'Valuation (DCF) Model'!C36</f>
        <v>87.95605498420619</v>
      </c>
      <c r="D43" s="425">
        <f>C33/('Financial Statements'!N32+D18)</f>
        <v>45.240643030962204</v>
      </c>
      <c r="E43" s="12">
        <v>12.34</v>
      </c>
    </row>
    <row r="44" spans="2:5" x14ac:dyDescent="0.2">
      <c r="B44" s="319"/>
      <c r="E44" s="14" t="s">
        <v>690</v>
      </c>
    </row>
    <row r="45" spans="2:5" x14ac:dyDescent="0.2">
      <c r="B45" s="318" t="s">
        <v>625</v>
      </c>
      <c r="C45" s="424"/>
    </row>
    <row r="46" spans="2:5" x14ac:dyDescent="0.2">
      <c r="B46" s="319" t="s">
        <v>618</v>
      </c>
      <c r="C46" s="315">
        <f>C37*0.65+C40*0.1+C41*0.25</f>
        <v>259.4696231018201</v>
      </c>
      <c r="D46" s="1" t="s">
        <v>696</v>
      </c>
    </row>
    <row r="47" spans="2:5" x14ac:dyDescent="0.2">
      <c r="B47" s="321" t="s">
        <v>619</v>
      </c>
      <c r="C47" s="427">
        <f>'Cost of Capital'!L15</f>
        <v>110.18396</v>
      </c>
    </row>
    <row r="48" spans="2:5" x14ac:dyDescent="0.2">
      <c r="B48" s="319" t="s">
        <v>620</v>
      </c>
      <c r="C48" s="315">
        <f>C46-C47</f>
        <v>149.28566310182009</v>
      </c>
    </row>
    <row r="49" spans="2:3" ht="17" thickBot="1" x14ac:dyDescent="0.25">
      <c r="B49" s="321" t="s">
        <v>621</v>
      </c>
      <c r="C49" s="437">
        <f>C48/C47</f>
        <v>1.354876545568158</v>
      </c>
    </row>
    <row r="50" spans="2:3" ht="17" thickBot="1" x14ac:dyDescent="0.25">
      <c r="B50" s="319" t="s">
        <v>622</v>
      </c>
      <c r="C50" s="438" t="s">
        <v>695</v>
      </c>
    </row>
  </sheetData>
  <hyperlinks>
    <hyperlink ref="J12" r:id="rId1" xr:uid="{98887710-CAC2-4A44-90F7-B45053D7424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3AED-AE0E-BE4F-900F-CF9F51D5AB9D}">
  <dimension ref="A2:O28"/>
  <sheetViews>
    <sheetView zoomScale="82" workbookViewId="0">
      <selection activeCell="F34" sqref="F34"/>
    </sheetView>
  </sheetViews>
  <sheetFormatPr baseColWidth="10" defaultRowHeight="16" x14ac:dyDescent="0.2"/>
  <cols>
    <col min="1" max="1" width="10.83203125" style="1"/>
    <col min="2" max="2" width="17.1640625" style="1" bestFit="1" customWidth="1"/>
    <col min="3" max="3" width="11.83203125" style="1" bestFit="1" customWidth="1"/>
    <col min="4" max="4" width="19" style="1" bestFit="1" customWidth="1"/>
    <col min="5" max="5" width="13" style="1" bestFit="1" customWidth="1"/>
    <col min="6" max="6" width="17.1640625" style="1" bestFit="1" customWidth="1"/>
    <col min="7" max="7" width="13" style="1" bestFit="1" customWidth="1"/>
    <col min="8" max="8" width="11.83203125" style="1" bestFit="1" customWidth="1"/>
    <col min="9" max="9" width="16" style="1" bestFit="1" customWidth="1"/>
    <col min="10" max="10" width="15.6640625" style="1" bestFit="1" customWidth="1"/>
    <col min="11" max="11" width="9.5" style="1" customWidth="1"/>
    <col min="12" max="12" width="10" style="1" customWidth="1"/>
    <col min="13" max="13" width="11.33203125" style="1" bestFit="1" customWidth="1"/>
    <col min="14" max="15" width="7.5" style="1" bestFit="1" customWidth="1"/>
    <col min="16" max="16384" width="10.83203125" style="1"/>
  </cols>
  <sheetData>
    <row r="2" spans="1:15" s="2" customFormat="1" ht="19" x14ac:dyDescent="0.25">
      <c r="A2" s="6" t="s">
        <v>582</v>
      </c>
    </row>
    <row r="3" spans="1:15" x14ac:dyDescent="0.2">
      <c r="A3" s="14" t="s">
        <v>684</v>
      </c>
    </row>
    <row r="4" spans="1:15" x14ac:dyDescent="0.2">
      <c r="A4" s="423">
        <v>2022</v>
      </c>
    </row>
    <row r="5" spans="1:15" s="323" customFormat="1" x14ac:dyDescent="0.2">
      <c r="B5" s="327" t="s">
        <v>583</v>
      </c>
      <c r="C5" s="327" t="s">
        <v>584</v>
      </c>
      <c r="D5" s="408" t="s">
        <v>585</v>
      </c>
      <c r="E5" s="408" t="s">
        <v>655</v>
      </c>
      <c r="F5" s="408" t="s">
        <v>657</v>
      </c>
      <c r="G5" s="408" t="s">
        <v>659</v>
      </c>
      <c r="H5" s="408" t="s">
        <v>439</v>
      </c>
      <c r="I5" s="408" t="s">
        <v>650</v>
      </c>
      <c r="J5" s="408" t="s">
        <v>586</v>
      </c>
      <c r="K5" s="408" t="s">
        <v>656</v>
      </c>
      <c r="L5" s="408" t="s">
        <v>658</v>
      </c>
      <c r="M5" s="408" t="s">
        <v>587</v>
      </c>
      <c r="N5" s="409" t="s">
        <v>588</v>
      </c>
      <c r="O5" s="410" t="s">
        <v>589</v>
      </c>
    </row>
    <row r="6" spans="1:15" s="323" customFormat="1" x14ac:dyDescent="0.2">
      <c r="B6" s="324" t="s">
        <v>0</v>
      </c>
      <c r="C6" s="324" t="s">
        <v>631</v>
      </c>
      <c r="D6" s="396">
        <v>271553.23599999998</v>
      </c>
      <c r="E6" s="396">
        <v>59283</v>
      </c>
      <c r="F6" s="397">
        <v>21.72</v>
      </c>
      <c r="G6" s="397">
        <v>0.67</v>
      </c>
      <c r="H6" s="396">
        <f>'Competitors Data'!R150/100</f>
        <v>211580</v>
      </c>
      <c r="I6" s="397">
        <v>23.99</v>
      </c>
      <c r="J6" s="393">
        <f>'Competitors Data'!R36/'Competitors Data'!R15</f>
        <v>0.3979218325658283</v>
      </c>
      <c r="K6" s="396">
        <v>300538.18300000002</v>
      </c>
      <c r="L6" s="397">
        <v>13.94</v>
      </c>
      <c r="M6" s="397">
        <v>5.0999999999999996</v>
      </c>
      <c r="N6" s="398">
        <f>'Competitors Data'!R180</f>
        <v>18.369205298013245</v>
      </c>
      <c r="O6" s="399">
        <v>6.32</v>
      </c>
    </row>
    <row r="7" spans="1:15" s="323" customFormat="1" x14ac:dyDescent="0.2">
      <c r="B7" s="325" t="s">
        <v>633</v>
      </c>
      <c r="C7" s="325" t="s">
        <v>632</v>
      </c>
      <c r="D7" s="400">
        <v>231640.66800000001</v>
      </c>
      <c r="E7" s="400">
        <v>69062.687999999995</v>
      </c>
      <c r="F7" s="401">
        <v>7.68</v>
      </c>
      <c r="G7" s="401">
        <v>1.1499999999999999</v>
      </c>
      <c r="H7" s="400">
        <f>'Competitors Data'!R151/100</f>
        <v>193340</v>
      </c>
      <c r="I7" s="401">
        <v>6.41</v>
      </c>
      <c r="J7" s="394">
        <f>'Competitors Data'!U36/'Competitors Data'!U15</f>
        <v>0.37457092710808754</v>
      </c>
      <c r="K7" s="400">
        <v>371005.26400000002</v>
      </c>
      <c r="L7" s="401">
        <v>14.83</v>
      </c>
      <c r="M7" s="401">
        <v>4.38</v>
      </c>
      <c r="N7" s="402">
        <f>'Competitors Data'!U180</f>
        <v>18.837147386583862</v>
      </c>
      <c r="O7" s="403">
        <v>8.6300000000000008</v>
      </c>
    </row>
    <row r="8" spans="1:15" s="323" customFormat="1" x14ac:dyDescent="0.2">
      <c r="B8" s="325" t="s">
        <v>634</v>
      </c>
      <c r="C8" s="325" t="s">
        <v>635</v>
      </c>
      <c r="D8" s="400">
        <v>224201.07699999999</v>
      </c>
      <c r="E8" s="400">
        <v>100330</v>
      </c>
      <c r="F8" s="401">
        <v>23.43</v>
      </c>
      <c r="G8" s="401">
        <v>0.36</v>
      </c>
      <c r="H8" s="400">
        <f>'Competitors Data'!R152/100</f>
        <v>172490</v>
      </c>
      <c r="I8" s="401">
        <v>30.32</v>
      </c>
      <c r="J8" s="394">
        <f>'Competitors Data'!T36/'Competitors Data'!T15</f>
        <v>0.28619555466959035</v>
      </c>
      <c r="K8" s="400">
        <v>287439.23700000002</v>
      </c>
      <c r="L8" s="401">
        <v>7.26</v>
      </c>
      <c r="M8" s="401">
        <v>2.88</v>
      </c>
      <c r="N8" s="402">
        <f>'Competitors Data'!T180</f>
        <v>9.8160919540229887</v>
      </c>
      <c r="O8" s="403">
        <v>3.1</v>
      </c>
    </row>
    <row r="9" spans="1:15" s="323" customFormat="1" x14ac:dyDescent="0.2">
      <c r="B9" s="325" t="s">
        <v>636</v>
      </c>
      <c r="C9" s="325" t="s">
        <v>637</v>
      </c>
      <c r="D9" s="400">
        <v>172347.693</v>
      </c>
      <c r="E9" s="400">
        <v>51828</v>
      </c>
      <c r="F9" s="401">
        <v>-1.98</v>
      </c>
      <c r="G9" s="401">
        <v>0.47</v>
      </c>
      <c r="H9" s="400">
        <f>'Competitors Data'!R153/100</f>
        <v>211580</v>
      </c>
      <c r="I9" s="401">
        <v>-2.44</v>
      </c>
      <c r="J9" s="394">
        <f>'Competitors Data'!S36/'Competitors Data'!S15</f>
        <v>0.52375164004013275</v>
      </c>
      <c r="K9" s="400">
        <v>204257.86300000001</v>
      </c>
      <c r="L9" s="401">
        <v>6.57</v>
      </c>
      <c r="M9" s="401">
        <v>3.91</v>
      </c>
      <c r="N9" s="402">
        <f>'Competitors Data'!S180</f>
        <v>9.3337006176257749</v>
      </c>
      <c r="O9" s="403">
        <v>3.2</v>
      </c>
    </row>
    <row r="10" spans="1:15" s="323" customFormat="1" x14ac:dyDescent="0.2">
      <c r="B10" s="325" t="s">
        <v>638</v>
      </c>
      <c r="C10" s="325" t="s">
        <v>639</v>
      </c>
      <c r="D10" s="400">
        <v>139505.639</v>
      </c>
      <c r="E10" s="400">
        <v>46159</v>
      </c>
      <c r="F10" s="401">
        <v>-0.49</v>
      </c>
      <c r="G10" s="401">
        <v>1.31</v>
      </c>
      <c r="H10" s="400">
        <f>'Competitors Data'!R154/100</f>
        <v>1570</v>
      </c>
      <c r="I10" s="401">
        <v>36.97</v>
      </c>
      <c r="J10" s="394">
        <f>'Competitors Data'!O36/'Competitors Data'!O15</f>
        <v>0.58315821399943668</v>
      </c>
      <c r="K10" s="400">
        <v>184123.23699999999</v>
      </c>
      <c r="L10" s="401">
        <v>9.4700000000000006</v>
      </c>
      <c r="M10" s="401">
        <v>3.94</v>
      </c>
      <c r="N10" s="402">
        <f>'Competitors Data'!O180</f>
        <v>23.436482084690557</v>
      </c>
      <c r="O10" s="403">
        <v>4.7</v>
      </c>
    </row>
    <row r="11" spans="1:15" s="323" customFormat="1" x14ac:dyDescent="0.2">
      <c r="B11" s="325" t="s">
        <v>640</v>
      </c>
      <c r="C11" s="325" t="s">
        <v>641</v>
      </c>
      <c r="D11" s="400">
        <v>123161.61900000001</v>
      </c>
      <c r="E11" s="400">
        <v>26323</v>
      </c>
      <c r="F11" s="401">
        <v>1.32</v>
      </c>
      <c r="G11" s="401">
        <v>10.64</v>
      </c>
      <c r="H11" s="400">
        <f>'Competitors Data'!R155/100</f>
        <v>4733.82</v>
      </c>
      <c r="I11" s="401">
        <v>-1.22</v>
      </c>
      <c r="J11" s="394">
        <f>'Competitors Data'!M36/'Competitors Data'!M15</f>
        <v>0.39323025491015462</v>
      </c>
      <c r="K11" s="400">
        <v>167365.24299999999</v>
      </c>
      <c r="L11" s="401">
        <v>13.48</v>
      </c>
      <c r="M11" s="401">
        <v>6.36</v>
      </c>
      <c r="N11" s="402">
        <f>'Competitors Data'!M180</f>
        <v>21.078651685393258</v>
      </c>
      <c r="O11" s="403">
        <v>38.36</v>
      </c>
    </row>
    <row r="12" spans="1:15" s="323" customFormat="1" x14ac:dyDescent="0.2">
      <c r="B12" s="325" t="s">
        <v>642</v>
      </c>
      <c r="C12" s="325" t="s">
        <v>646</v>
      </c>
      <c r="D12" s="400">
        <v>116986.11</v>
      </c>
      <c r="E12" s="400">
        <v>47722.135000000002</v>
      </c>
      <c r="F12" s="401">
        <v>15.86</v>
      </c>
      <c r="G12" s="401">
        <v>0.28000000000000003</v>
      </c>
      <c r="H12" s="400">
        <f>'Competitors Data'!R156/100</f>
        <v>40460</v>
      </c>
      <c r="I12" s="401">
        <v>26.13</v>
      </c>
      <c r="J12" s="394">
        <f>'Competitors Data'!V36/'Competitors Data'!V15</f>
        <v>0.43651545528652314</v>
      </c>
      <c r="K12" s="400">
        <v>135436.22899999999</v>
      </c>
      <c r="L12" s="401">
        <v>12.69</v>
      </c>
      <c r="M12" s="401">
        <v>2.82</v>
      </c>
      <c r="N12" s="402">
        <f>'Competitors Data'!V180</f>
        <v>17.35744028227731</v>
      </c>
      <c r="O12" s="403">
        <v>1.73</v>
      </c>
    </row>
    <row r="13" spans="1:15" s="323" customFormat="1" x14ac:dyDescent="0.2">
      <c r="B13" s="325" t="s">
        <v>643</v>
      </c>
      <c r="C13" s="325" t="s">
        <v>647</v>
      </c>
      <c r="D13" s="400">
        <v>99481.577999999994</v>
      </c>
      <c r="E13" s="400">
        <v>27281</v>
      </c>
      <c r="F13" s="401">
        <v>-0.09</v>
      </c>
      <c r="G13" s="401">
        <v>1.19</v>
      </c>
      <c r="H13" s="400">
        <f>'Competitors Data'!R157/100</f>
        <v>40460</v>
      </c>
      <c r="I13" s="401">
        <v>5.4</v>
      </c>
      <c r="J13" s="394">
        <f>'Competitors Data'!P36/'Competitors Data'!P15</f>
        <v>0.39038158425277664</v>
      </c>
      <c r="K13" s="400">
        <v>127215.834</v>
      </c>
      <c r="L13" s="401">
        <v>16.739999999999998</v>
      </c>
      <c r="M13" s="401">
        <v>4.6900000000000004</v>
      </c>
      <c r="N13" s="402">
        <f>'Competitors Data'!P180</f>
        <v>32.518939393939391</v>
      </c>
      <c r="O13" s="403">
        <v>5.1100000000000003</v>
      </c>
    </row>
    <row r="14" spans="1:15" s="323" customFormat="1" x14ac:dyDescent="0.2">
      <c r="B14" s="326" t="s">
        <v>644</v>
      </c>
      <c r="C14" s="326" t="s">
        <v>648</v>
      </c>
      <c r="D14" s="404">
        <v>68075.813999999998</v>
      </c>
      <c r="E14" s="404">
        <v>36140.896000000001</v>
      </c>
      <c r="F14" s="405">
        <v>18.739999999999998</v>
      </c>
      <c r="G14" s="405">
        <v>2.08</v>
      </c>
      <c r="H14" s="404">
        <f>'Competitors Data'!R158/100</f>
        <v>410010</v>
      </c>
      <c r="I14" s="405">
        <v>-2.91</v>
      </c>
      <c r="J14" s="395">
        <f>'Competitors Data'!Q36/'Competitors Data'!Q15</f>
        <v>0.44472104760605652</v>
      </c>
      <c r="K14" s="404">
        <v>87164.138999999996</v>
      </c>
      <c r="L14" s="405">
        <v>8.42</v>
      </c>
      <c r="M14" s="405">
        <v>2.17</v>
      </c>
      <c r="N14" s="406">
        <f>'Competitors Data'!Q180</f>
        <v>14.918168077207248</v>
      </c>
      <c r="O14" s="407">
        <v>6.9</v>
      </c>
    </row>
    <row r="15" spans="1:15" x14ac:dyDescent="0.2">
      <c r="B15" s="257" t="s">
        <v>591</v>
      </c>
      <c r="D15" s="328"/>
      <c r="E15" s="328"/>
      <c r="F15" s="420">
        <f>AVERAGE(F7:F14)</f>
        <v>8.0587499999999999</v>
      </c>
      <c r="G15" s="328"/>
      <c r="H15" s="328"/>
      <c r="I15" s="420">
        <f>AVERAGE(I7:I14)</f>
        <v>12.332500000000001</v>
      </c>
      <c r="J15" s="421">
        <f>AVERAGE(J7:J14)</f>
        <v>0.42906558473409473</v>
      </c>
      <c r="K15" s="328"/>
      <c r="L15" s="420">
        <f>AVERAGE(L7:L14)</f>
        <v>11.182499999999999</v>
      </c>
      <c r="M15" s="422">
        <f>AVERAGE(M7:M14)</f>
        <v>3.8937499999999998</v>
      </c>
      <c r="N15" s="328">
        <f>AVERAGE(N7:N14)</f>
        <v>18.412077685217547</v>
      </c>
      <c r="O15" s="328">
        <f>AVERAGE(O7:O14)</f>
        <v>8.9662500000000005</v>
      </c>
    </row>
    <row r="16" spans="1:15" x14ac:dyDescent="0.2">
      <c r="B16" s="257" t="s">
        <v>590</v>
      </c>
      <c r="D16" s="328"/>
      <c r="E16" s="328"/>
      <c r="F16" s="328">
        <f>MEDIAN(F7:F14)</f>
        <v>4.5</v>
      </c>
      <c r="G16" s="328"/>
      <c r="H16" s="328"/>
      <c r="I16" s="328">
        <f>MEDIAN(I7:I14)</f>
        <v>5.9050000000000002</v>
      </c>
      <c r="J16" s="421">
        <f>MEDIAN(J7:J14)</f>
        <v>0.41487285509833888</v>
      </c>
      <c r="K16" s="328"/>
      <c r="L16" s="328">
        <f>MEDIAN(L7:L14)</f>
        <v>11.08</v>
      </c>
      <c r="M16" s="328">
        <f>MEDIAN(M7:M14)</f>
        <v>3.9249999999999998</v>
      </c>
      <c r="N16" s="328">
        <f>MEDIAN(N7:N14)</f>
        <v>18.097293834430587</v>
      </c>
      <c r="O16" s="328">
        <f>MEDIAN(O7:O14)</f>
        <v>4.9050000000000002</v>
      </c>
    </row>
    <row r="18" spans="2:4" x14ac:dyDescent="0.2">
      <c r="B18" s="1" t="s">
        <v>651</v>
      </c>
      <c r="C18" s="241">
        <f>'Financial Statements'!M113+'Financial Statements'!M108</f>
        <v>30691</v>
      </c>
    </row>
    <row r="19" spans="2:4" x14ac:dyDescent="0.2">
      <c r="B19" s="1" t="s">
        <v>652</v>
      </c>
      <c r="C19" s="241">
        <f>'Financial Statements'!M88</f>
        <v>13192</v>
      </c>
    </row>
    <row r="20" spans="2:4" x14ac:dyDescent="0.2">
      <c r="B20" s="1" t="s">
        <v>653</v>
      </c>
      <c r="C20" s="300">
        <f>'Cost of Capital'!L19</f>
        <v>279867.25839999999</v>
      </c>
    </row>
    <row r="21" spans="2:4" x14ac:dyDescent="0.2">
      <c r="B21" s="1" t="s">
        <v>577</v>
      </c>
      <c r="C21" s="1">
        <f>Equity!G5</f>
        <v>2540</v>
      </c>
    </row>
    <row r="22" spans="2:4" x14ac:dyDescent="0.2">
      <c r="B22" s="1" t="s">
        <v>654</v>
      </c>
      <c r="C22" s="272">
        <f>Equity!C255</f>
        <v>110.18396</v>
      </c>
    </row>
    <row r="24" spans="2:4" x14ac:dyDescent="0.2">
      <c r="D24" s="419" t="s">
        <v>660</v>
      </c>
    </row>
    <row r="25" spans="2:4" x14ac:dyDescent="0.2">
      <c r="B25" s="1" t="s">
        <v>661</v>
      </c>
      <c r="C25" s="307">
        <f>C20/C21</f>
        <v>110.18396</v>
      </c>
      <c r="D25" s="418">
        <f>C25/C28-1</f>
        <v>-0.46191357206790895</v>
      </c>
    </row>
    <row r="26" spans="2:4" x14ac:dyDescent="0.2">
      <c r="B26" s="1" t="s">
        <v>662</v>
      </c>
      <c r="C26" s="307">
        <f>(M16*E6-C18+C19)/C21</f>
        <v>84.719202755905513</v>
      </c>
      <c r="D26" s="418">
        <f>C26/C28-1</f>
        <v>-0.58627142110176689</v>
      </c>
    </row>
    <row r="27" spans="2:4" x14ac:dyDescent="0.2">
      <c r="B27" s="1" t="s">
        <v>663</v>
      </c>
      <c r="C27" s="307">
        <f>AVERAGE(C25:C26)</f>
        <v>97.451581377952749</v>
      </c>
      <c r="D27" s="418">
        <f>C27/C28-1</f>
        <v>-0.52409249658483792</v>
      </c>
    </row>
    <row r="28" spans="2:4" x14ac:dyDescent="0.2">
      <c r="B28" s="1" t="s">
        <v>664</v>
      </c>
      <c r="C28" s="313">
        <v>204.770004</v>
      </c>
    </row>
  </sheetData>
  <pageMargins left="0.7" right="0.7" top="0.75" bottom="0.75" header="0.3" footer="0.3"/>
  <ignoredErrors>
    <ignoredError sqref="F15:F16 J15:O16 I15:I16"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AFF43-625B-D145-A043-191A620F5A9A}">
  <dimension ref="A2:L58"/>
  <sheetViews>
    <sheetView topLeftCell="B12" zoomScale="84" zoomScaleNormal="75" workbookViewId="0">
      <selection activeCell="G67" sqref="G67"/>
    </sheetView>
  </sheetViews>
  <sheetFormatPr baseColWidth="10" defaultRowHeight="16" x14ac:dyDescent="0.2"/>
  <cols>
    <col min="1" max="1" width="10.83203125" style="1"/>
    <col min="2" max="2" width="38.6640625" style="1" bestFit="1" customWidth="1"/>
    <col min="3" max="3" width="13.6640625" style="1" bestFit="1" customWidth="1"/>
    <col min="4" max="5" width="11.5" style="1" bestFit="1" customWidth="1"/>
    <col min="6" max="12" width="12.6640625" style="1" bestFit="1" customWidth="1"/>
    <col min="13" max="16384" width="10.83203125" style="1"/>
  </cols>
  <sheetData>
    <row r="2" spans="1:3" s="2" customFormat="1" ht="19" x14ac:dyDescent="0.25">
      <c r="A2" s="6" t="s">
        <v>3</v>
      </c>
    </row>
    <row r="3" spans="1:3" x14ac:dyDescent="0.2">
      <c r="A3" s="21" t="s">
        <v>34</v>
      </c>
    </row>
    <row r="4" spans="1:3" x14ac:dyDescent="0.2">
      <c r="B4" s="7" t="s">
        <v>575</v>
      </c>
      <c r="C4" s="11" t="s">
        <v>580</v>
      </c>
    </row>
    <row r="5" spans="1:3" x14ac:dyDescent="0.2">
      <c r="B5" s="8" t="s">
        <v>576</v>
      </c>
      <c r="C5" s="307">
        <f>'Cost of Capital'!L15</f>
        <v>110.18396</v>
      </c>
    </row>
    <row r="6" spans="1:3" x14ac:dyDescent="0.2">
      <c r="B6" s="8" t="s">
        <v>581</v>
      </c>
      <c r="C6" s="300">
        <f>'Cost of Capital'!L16</f>
        <v>2540</v>
      </c>
    </row>
    <row r="7" spans="1:3" x14ac:dyDescent="0.2">
      <c r="B7" s="8" t="s">
        <v>578</v>
      </c>
      <c r="C7" s="310">
        <f>'Financial Statements'!M34</f>
        <v>962</v>
      </c>
    </row>
    <row r="8" spans="1:3" x14ac:dyDescent="0.2">
      <c r="B8" s="8" t="s">
        <v>685</v>
      </c>
      <c r="C8" s="308">
        <f>'Cost of Capital'!L23</f>
        <v>4.4223475004669069E-2</v>
      </c>
    </row>
    <row r="9" spans="1:3" x14ac:dyDescent="0.2">
      <c r="B9" s="8" t="s">
        <v>686</v>
      </c>
      <c r="C9" s="308">
        <f>'Cost of Capital'!L12</f>
        <v>4.6766881019563077E-2</v>
      </c>
    </row>
    <row r="10" spans="1:3" x14ac:dyDescent="0.2">
      <c r="B10" s="8" t="s">
        <v>579</v>
      </c>
      <c r="C10" s="308">
        <f>'Cost of Capital'!L17</f>
        <v>0.14099999999999999</v>
      </c>
    </row>
    <row r="11" spans="1:3" x14ac:dyDescent="0.2">
      <c r="B11" s="8"/>
      <c r="C11" s="308"/>
    </row>
    <row r="12" spans="1:3" x14ac:dyDescent="0.2">
      <c r="B12" s="7" t="s">
        <v>570</v>
      </c>
      <c r="C12" s="308"/>
    </row>
    <row r="13" spans="1:3" x14ac:dyDescent="0.2">
      <c r="B13" s="8" t="s">
        <v>571</v>
      </c>
      <c r="C13" s="309">
        <f>C5*C6</f>
        <v>279867.25839999999</v>
      </c>
    </row>
    <row r="14" spans="1:3" x14ac:dyDescent="0.2">
      <c r="B14" s="8" t="s">
        <v>574</v>
      </c>
      <c r="C14" s="309">
        <f>C13-'Financial Statements'!M125</f>
        <v>233876.25839999999</v>
      </c>
    </row>
    <row r="15" spans="1:3" x14ac:dyDescent="0.2">
      <c r="B15" s="8" t="s">
        <v>573</v>
      </c>
      <c r="C15" s="307">
        <f>C13/'Financial Statements'!M125</f>
        <v>6.0852614294101022</v>
      </c>
    </row>
    <row r="16" spans="1:3" x14ac:dyDescent="0.2">
      <c r="B16" s="8" t="s">
        <v>572</v>
      </c>
      <c r="C16" s="307">
        <f>C13/'Financial Statements'!M50</f>
        <v>19.27593211653695</v>
      </c>
    </row>
    <row r="17" spans="2:12" x14ac:dyDescent="0.2">
      <c r="H17" s="15" t="s">
        <v>31</v>
      </c>
    </row>
    <row r="18" spans="2:12" x14ac:dyDescent="0.2">
      <c r="C18" s="11">
        <v>2018</v>
      </c>
      <c r="D18" s="11">
        <v>2019</v>
      </c>
      <c r="E18" s="11">
        <v>2020</v>
      </c>
      <c r="F18" s="11">
        <v>2021</v>
      </c>
      <c r="G18" s="11">
        <v>2022</v>
      </c>
      <c r="H18" s="13">
        <v>2023</v>
      </c>
      <c r="I18" s="13">
        <v>2024</v>
      </c>
      <c r="J18" s="13">
        <v>2025</v>
      </c>
      <c r="K18" s="13">
        <v>2026</v>
      </c>
      <c r="L18" s="13">
        <v>2027</v>
      </c>
    </row>
    <row r="19" spans="2:12" x14ac:dyDescent="0.2">
      <c r="B19" s="7" t="s">
        <v>28</v>
      </c>
    </row>
    <row r="20" spans="2:12" x14ac:dyDescent="0.2">
      <c r="B20" s="8" t="s">
        <v>12</v>
      </c>
      <c r="C20" s="304">
        <f>'Financial Statements'!I32/'Financial Statements'!I5</f>
        <v>0.21584390649900939</v>
      </c>
      <c r="D20" s="304">
        <f>'Financial Statements'!J32/'Financial Statements'!J5</f>
        <v>0.25796327924850554</v>
      </c>
      <c r="E20" s="304">
        <f>'Financial Statements'!K32/'Financial Statements'!K5</f>
        <v>0.19925407342584489</v>
      </c>
      <c r="F20" s="304">
        <f>'Financial Statements'!L32/'Financial Statements'!L5</f>
        <v>0.30077611695137979</v>
      </c>
      <c r="G20" s="304">
        <f>'Financial Statements'!M32/'Financial Statements'!M5</f>
        <v>0.29096030902619641</v>
      </c>
      <c r="H20" s="312">
        <f>'Financial Statements'!N32/'Financial Statements'!N5</f>
        <v>0.3366981851465084</v>
      </c>
      <c r="I20" s="312">
        <f>'Financial Statements'!O32/'Financial Statements'!O5</f>
        <v>0.38644688985431858</v>
      </c>
      <c r="J20" s="312">
        <f>'Financial Statements'!P32/'Financial Statements'!P5</f>
        <v>0.40816320602664924</v>
      </c>
      <c r="K20" s="312">
        <f>'Financial Statements'!Q32/'Financial Statements'!Q5</f>
        <v>0.42009729418927017</v>
      </c>
      <c r="L20" s="312">
        <f>'Financial Statements'!R32/'Financial Statements'!R5</f>
        <v>0.43468614809515227</v>
      </c>
    </row>
    <row r="21" spans="2:12" x14ac:dyDescent="0.2">
      <c r="B21" s="8" t="s">
        <v>568</v>
      </c>
      <c r="C21" s="304">
        <f>'Financial Statements'!I50/'Financial Statements'!I104</f>
        <v>7.5252005760131732E-2</v>
      </c>
      <c r="D21" s="304">
        <f>'Financial Statements'!J50/'Financial Statements'!J104</f>
        <v>0.11662736827138405</v>
      </c>
      <c r="E21" s="304">
        <f>'Financial Statements'!K50/'Financial Statements'!K104</f>
        <v>7.7160763418788483E-2</v>
      </c>
      <c r="F21" s="304">
        <f>'Financial Statements'!L50/'Financial Statements'!L104</f>
        <v>0.12346017749351902</v>
      </c>
      <c r="G21" s="304">
        <f>'Financial Statements'!M50/'Financial Statements'!M104</f>
        <v>0.13300659582264565</v>
      </c>
      <c r="H21" s="312">
        <f>'Financial Statements'!N50/'Financial Statements'!N104</f>
        <v>0.13438822778815135</v>
      </c>
      <c r="I21" s="312">
        <f>'Financial Statements'!O50/'Financial Statements'!O104</f>
        <v>0.16064387895350324</v>
      </c>
      <c r="J21" s="312">
        <f>'Financial Statements'!P50/'Financial Statements'!P104</f>
        <v>0.17249237180606325</v>
      </c>
      <c r="K21" s="312">
        <f>'Financial Statements'!Q50/'Financial Statements'!Q104</f>
        <v>0.17289119634939562</v>
      </c>
      <c r="L21" s="312">
        <f>'Financial Statements'!R50/'Financial Statements'!R104</f>
        <v>0.17449341031918342</v>
      </c>
    </row>
    <row r="22" spans="2:12" x14ac:dyDescent="0.2">
      <c r="B22" s="8" t="s">
        <v>13</v>
      </c>
      <c r="C22" s="304">
        <f>'Financial Statements'!I50/'Financial Statements'!I5</f>
        <v>0.14703754321086915</v>
      </c>
      <c r="D22" s="304">
        <f>'Financial Statements'!J50/'Financial Statements'!J5</f>
        <v>0.21014090520922288</v>
      </c>
      <c r="E22" s="304">
        <f>'Financial Statements'!K50/'Financial Statements'!K5</f>
        <v>0.14724757261324331</v>
      </c>
      <c r="F22" s="304">
        <f>'Financial Statements'!L50/'Financial Statements'!L5</f>
        <v>0.26792460578186594</v>
      </c>
      <c r="G22" s="304">
        <f>'Financial Statements'!M50/'Financial Statements'!M5</f>
        <v>0.24491000792807383</v>
      </c>
      <c r="H22" s="312">
        <f>'Financial Statements'!N50/'Financial Statements'!N5</f>
        <v>0.26668293069073684</v>
      </c>
      <c r="I22" s="312">
        <f>'Financial Statements'!O50/'Financial Statements'!O5</f>
        <v>0.30596963327809357</v>
      </c>
      <c r="J22" s="312">
        <f>'Financial Statements'!P50/'Financial Statements'!P5</f>
        <v>0.32353487200727432</v>
      </c>
      <c r="K22" s="312">
        <f>'Financial Statements'!Q50/'Financial Statements'!Q5</f>
        <v>0.33263286005524456</v>
      </c>
      <c r="L22" s="312">
        <f>'Financial Statements'!R50/'Financial Statements'!R5</f>
        <v>0.34393844366935022</v>
      </c>
    </row>
    <row r="23" spans="2:12" x14ac:dyDescent="0.2">
      <c r="B23" s="8" t="s">
        <v>569</v>
      </c>
      <c r="C23" s="304">
        <f>'Financial Statements'!I50/'Financial Statements'!I125</f>
        <v>0.23289764428298587</v>
      </c>
      <c r="D23" s="304">
        <f>'Financial Statements'!J50/'Financial Statements'!J125</f>
        <v>0.37993592465356851</v>
      </c>
      <c r="E23" s="304">
        <f>'Financial Statements'!K50/'Financial Statements'!K125</f>
        <v>0.27914049847928268</v>
      </c>
      <c r="F23" s="304">
        <f>'Financial Statements'!L50/'Financial Statements'!L125</f>
        <v>0.34173999580976328</v>
      </c>
      <c r="G23" s="304">
        <f>'Financial Statements'!M50/'Financial Statements'!M125</f>
        <v>0.31569220064795284</v>
      </c>
      <c r="H23" s="312">
        <f>'Financial Statements'!N50/'Financial Statements'!N125</f>
        <v>0.30443499656573986</v>
      </c>
      <c r="I23" s="312">
        <f>'Financial Statements'!O50/'Financial Statements'!O125</f>
        <v>0.34174423898533973</v>
      </c>
      <c r="J23" s="312">
        <f>'Financial Statements'!P50/'Financial Statements'!P125</f>
        <v>0.3440041754632126</v>
      </c>
      <c r="K23" s="312">
        <f>'Financial Statements'!Q50/'Financial Statements'!Q125</f>
        <v>0.32747401694247397</v>
      </c>
      <c r="L23" s="312">
        <f>'Financial Statements'!R50/'Financial Statements'!R125</f>
        <v>0.31448657246440909</v>
      </c>
    </row>
    <row r="24" spans="2:12" x14ac:dyDescent="0.2">
      <c r="B24" s="8" t="s">
        <v>566</v>
      </c>
      <c r="C24" s="311">
        <f>'Financial Statements'!I50-$C$9*'Financial Statements'!H125</f>
        <v>4612.8123733122884</v>
      </c>
      <c r="D24" s="311">
        <f>'Financial Statements'!J50-$C$9*'Financial Statements'!I125</f>
        <v>8594.2775098966467</v>
      </c>
      <c r="E24" s="311">
        <f>'Financial Statements'!K50-'Financial Analysis'!$C$9*'Financial Statements'!J125</f>
        <v>5855.4104134261797</v>
      </c>
      <c r="F24" s="311">
        <f>'Financial Statements'!L50-$C$9*'Financial Statements'!K125</f>
        <v>11865.002873227722</v>
      </c>
      <c r="G24" s="311">
        <f>'Financial Statements'!M50-$C$9*'Financial Statements'!L125</f>
        <v>12733.253415149004</v>
      </c>
      <c r="H24" s="317">
        <f>'Financial Statements'!N50-$C$9*'Financial Statements'!M125</f>
        <v>13178.353914551439</v>
      </c>
      <c r="I24" s="317">
        <f>'Financial Statements'!O50-$C$9*'Financial Statements'!N125</f>
        <v>16427.908788797198</v>
      </c>
      <c r="J24" s="317">
        <f>'Financial Statements'!P50-$C$9*'Financial Statements'!O125</f>
        <v>18318.820403854595</v>
      </c>
      <c r="K24" s="317">
        <f>'Financial Statements'!Q50-$C$9*'Financial Statements'!P125</f>
        <v>19121.516659057837</v>
      </c>
      <c r="L24" s="317">
        <f>'Financial Statements'!R50-$C$9*'Financial Statements'!Q125</f>
        <v>20178.84439186451</v>
      </c>
    </row>
    <row r="25" spans="2:12" x14ac:dyDescent="0.2">
      <c r="B25" s="8" t="s">
        <v>565</v>
      </c>
      <c r="C25" s="311">
        <f>'Financial Statements'!E34*(1-$C$10)+'Financial Statements'!I50-('Financial Analysis'!$C$8*(('Financial Statements'!H117-'Financial Statements'!H111)+'Financial Statements'!H125))</f>
        <v>3794.8626378027238</v>
      </c>
      <c r="D25" s="311">
        <f>'Financial Statements'!F34*(1-$C$10)+'Financial Statements'!J50-('Financial Analysis'!$C$8*(('Financial Statements'!I117-'Financial Statements'!I111)+'Financial Statements'!I125))</f>
        <v>7755.7836309686882</v>
      </c>
      <c r="E25" s="311">
        <f>'Financial Statements'!G34*(1-$C$10)+'Financial Statements'!K50-('Financial Analysis'!$C$8*(('Financial Statements'!J117-'Financial Statements'!J111)+'Financial Statements'!J125))</f>
        <v>4916.761001285131</v>
      </c>
      <c r="F25" s="311">
        <f>'Financial Statements'!H34*(1-$C$10)+'Financial Statements'!L50-('Financial Analysis'!$C$8*(('Financial Statements'!K117-'Financial Statements'!K111)+'Financial Statements'!K125))</f>
        <v>10858.688715050366</v>
      </c>
      <c r="G25" s="311">
        <f>'Financial Statements'!I34*(1-$C$10)+'Financial Statements'!M50-('Financial Analysis'!$C$8*(('Financial Statements'!L117-'Financial Statements'!L111)+'Financial Statements'!L125))</f>
        <v>11566.923141843308</v>
      </c>
      <c r="H25" s="317">
        <f>'Financial Statements'!J34*(1-$C$10)+'Financial Statements'!N50-('Financial Analysis'!$C$8*(('Financial Statements'!M117-'Financial Statements'!M111)+'Financial Statements'!M125))</f>
        <v>12343.757791475975</v>
      </c>
      <c r="I25" s="317">
        <f>'Financial Statements'!K34*(1-$C$10)+'Financial Statements'!O50-('Financial Analysis'!$C$8*(('Financial Statements'!N117-'Financial Statements'!N111)+'Financial Statements'!N125))</f>
        <v>15495.869610191188</v>
      </c>
      <c r="J25" s="317">
        <f>'Financial Statements'!L34*(1-$C$10)+'Financial Statements'!P50-('Financial Analysis'!$C$8*(('Financial Statements'!O117-'Financial Statements'!O111)+'Financial Statements'!O125))</f>
        <v>17465.474396524354</v>
      </c>
      <c r="K25" s="317">
        <f>'Financial Statements'!M34*(1-$C$10)+'Financial Statements'!Q50-('Financial Analysis'!$C$8*(('Financial Statements'!P117-'Financial Statements'!P111)+'Financial Statements'!P125))</f>
        <v>18505.277255264347</v>
      </c>
      <c r="L25" s="317">
        <f>'Financial Statements'!N34*(1-$C$10)+'Financial Statements'!R50-('Financial Analysis'!$C$8*(('Financial Statements'!Q117-'Financial Statements'!Q111)+'Financial Statements'!Q125))</f>
        <v>19580.112953448464</v>
      </c>
    </row>
    <row r="26" spans="2:12" x14ac:dyDescent="0.2">
      <c r="B26" s="316" t="s">
        <v>567</v>
      </c>
      <c r="C26" s="304">
        <f>('Financial Statements'!I34*(1-'Financial Analysis'!$C$10)+'Financial Statements'!I50)/(('Financial Statements'!H117-'Financial Statements'!H111)+'Financial Statements'!H125)</f>
        <v>9.969935530604862E-2</v>
      </c>
      <c r="D26" s="304">
        <f>('Financial Statements'!J34*(1-'Financial Analysis'!$C$10)+'Financial Statements'!J50)/(('Financial Statements'!I117-'Financial Statements'!I111)+'Financial Statements'!I125)</f>
        <v>0.17610102904564315</v>
      </c>
      <c r="E26" s="304">
        <f>('Financial Statements'!K34*(1-'Financial Analysis'!$C$10)+'Financial Statements'!K50)/(('Financial Statements'!J117-'Financial Statements'!J111)+'Financial Statements'!J125)</f>
        <v>0.12532946217160898</v>
      </c>
      <c r="F26" s="304">
        <f>('Financial Statements'!L34*(1-'Financial Analysis'!$C$10)+'Financial Statements'!L50)/(('Financial Statements'!K117-'Financial Statements'!K111)+'Financial Statements'!K125)</f>
        <v>0.214126499828591</v>
      </c>
      <c r="G26" s="304">
        <f>('Financial Statements'!M34*(1-'Financial Analysis'!$C$10)+'Financial Statements'!M50)/(('Financial Statements'!L117-'Financial Statements'!L111)+'Financial Statements'!L125)</f>
        <v>0.18771309740791936</v>
      </c>
      <c r="H26" s="312">
        <f>('Financial Statements'!N34*(1-'Financial Analysis'!$C$10)+'Financial Statements'!N50)/(('Financial Statements'!M117-'Financial Statements'!M111)+'Financial Statements'!M125)</f>
        <v>0.19001796661939524</v>
      </c>
      <c r="I26" s="312">
        <f>('Financial Statements'!O34*(1-'Financial Analysis'!$C$10)+'Financial Statements'!O50)/(('Financial Statements'!N117-'Financial Statements'!N111)+'Financial Statements'!N125)</f>
        <v>0.21710814911539311</v>
      </c>
      <c r="J26" s="312">
        <f>('Financial Statements'!P34*(1-'Financial Analysis'!$C$10)+'Financial Statements'!P50)/(('Financial Statements'!O117-'Financial Statements'!O111)+'Financial Statements'!O125)</f>
        <v>0.23439286847532775</v>
      </c>
      <c r="K26" s="312">
        <f>('Financial Statements'!Q34*(1-'Financial Analysis'!$C$10)+'Financial Statements'!Q50)/(('Financial Statements'!P117-'Financial Statements'!P111)+'Financial Statements'!P125)</f>
        <v>0.23712410657276325</v>
      </c>
      <c r="L26" s="312">
        <f>('Financial Statements'!R34*(1-'Financial Analysis'!$C$10)+'Financial Statements'!R50)/(('Financial Statements'!Q117-'Financial Statements'!Q111)+'Financial Statements'!Q125)</f>
        <v>0.23818358608090104</v>
      </c>
    </row>
    <row r="27" spans="2:12" x14ac:dyDescent="0.2">
      <c r="C27" s="257"/>
      <c r="D27" s="257"/>
      <c r="E27" s="257"/>
      <c r="F27" s="257"/>
      <c r="G27" s="257"/>
      <c r="H27" s="306"/>
      <c r="I27" s="306"/>
      <c r="J27" s="306"/>
      <c r="K27" s="306"/>
      <c r="L27" s="306"/>
    </row>
    <row r="28" spans="2:12" x14ac:dyDescent="0.2">
      <c r="B28" s="7" t="s">
        <v>4</v>
      </c>
    </row>
    <row r="29" spans="2:12" x14ac:dyDescent="0.2">
      <c r="B29" s="8" t="s">
        <v>5</v>
      </c>
      <c r="C29" s="242">
        <f>'Financial Statements'!I96/'Financial Statements'!I111</f>
        <v>1.1652256146987301</v>
      </c>
      <c r="D29" s="242">
        <f>'Financial Statements'!J96/'Financial Statements'!J111</f>
        <v>1.2368586858685868</v>
      </c>
      <c r="E29" s="242">
        <f>'Financial Statements'!K96/'Financial Statements'!K111</f>
        <v>1.0159915102279797</v>
      </c>
      <c r="F29" s="242">
        <f>'Financial Statements'!L96/'Financial Statements'!L111</f>
        <v>1.2678451742627346</v>
      </c>
      <c r="G29" s="242">
        <f>'Financial Statements'!M96/'Financial Statements'!M111</f>
        <v>1.4737406658690539</v>
      </c>
      <c r="H29" s="314">
        <f>'Financial Statements'!N96/'Financial Statements'!N111</f>
        <v>1.7705044288997933</v>
      </c>
      <c r="I29" s="314">
        <f>'Financial Statements'!O96/'Financial Statements'!O111</f>
        <v>1.9247508675606806</v>
      </c>
      <c r="J29" s="314">
        <f>'Financial Statements'!P96/'Financial Statements'!P111</f>
        <v>2.107830426415743</v>
      </c>
      <c r="K29" s="314">
        <f>'Financial Statements'!Q96/'Financial Statements'!Q111</f>
        <v>2.3569204108226729</v>
      </c>
      <c r="L29" s="314">
        <f>'Financial Statements'!R96/'Financial Statements'!R111</f>
        <v>2.6270556616372858</v>
      </c>
    </row>
    <row r="30" spans="2:12" x14ac:dyDescent="0.2">
      <c r="B30" s="8" t="s">
        <v>6</v>
      </c>
      <c r="C30" s="313">
        <f>('Financial Statements'!I96-'Financial Statements'!I92)/'Financial Statements'!I111</f>
        <v>0.92024678014950911</v>
      </c>
      <c r="D30" s="313">
        <f>('Financial Statements'!J96-'Financial Statements'!J92)/'Financial Statements'!J111</f>
        <v>0.96782178217821779</v>
      </c>
      <c r="E30" s="313">
        <f>('Financial Statements'!K96-'Financial Statements'!K92)/'Financial Statements'!K111</f>
        <v>0.78508434881252975</v>
      </c>
      <c r="F30" s="313">
        <f>('Financial Statements'!L96-'Financial Statements'!L92)/'Financial Statements'!L111</f>
        <v>1.0184735254691688</v>
      </c>
      <c r="G30" s="313">
        <f>('Financial Statements'!M96-'Financial Statements'!M92)/'Financial Statements'!M111</f>
        <v>1.2298774701926647</v>
      </c>
      <c r="H30" s="315">
        <f>('Financial Statements'!N96-'Financial Statements'!N92)/'Financial Statements'!N111</f>
        <v>1.5797824610190119</v>
      </c>
      <c r="I30" s="315">
        <f>('Financial Statements'!O96-'Financial Statements'!O92)/'Financial Statements'!O111</f>
        <v>1.7407072675396376</v>
      </c>
      <c r="J30" s="315">
        <f>('Financial Statements'!P96-'Financial Statements'!P92)/'Financial Statements'!P111</f>
        <v>1.9221339133305217</v>
      </c>
      <c r="K30" s="315">
        <f>('Financial Statements'!Q96-'Financial Statements'!Q92)/'Financial Statements'!Q111</f>
        <v>2.1741772513432656</v>
      </c>
      <c r="L30" s="315">
        <f>('Financial Statements'!R96-'Financial Statements'!R92)/'Financial Statements'!R111</f>
        <v>2.4507309891860558</v>
      </c>
    </row>
    <row r="31" spans="2:12" x14ac:dyDescent="0.2">
      <c r="B31" s="8" t="s">
        <v>7</v>
      </c>
      <c r="C31" s="313">
        <f>'Financial Statements'!I5/'Financial Statements'!I90</f>
        <v>5.9811342101541518</v>
      </c>
      <c r="D31" s="313">
        <f>'Financial Statements'!J5/'Financial Statements'!J90</f>
        <v>6.910593095308351</v>
      </c>
      <c r="E31" s="313">
        <f>'Financial Statements'!K5/'Financial Statements'!K90</f>
        <v>6.1131066106228502</v>
      </c>
      <c r="F31" s="313">
        <f>'Financial Statements'!L5/'Financial Statements'!L90</f>
        <v>5.2767063921993502</v>
      </c>
      <c r="G31" s="313">
        <f>'Financial Statements'!M5/'Financial Statements'!M90</f>
        <v>6.2733333333333334</v>
      </c>
      <c r="H31" s="315">
        <f>'Financial Statements'!N5/'Financial Statements'!N90</f>
        <v>6.083333333333333</v>
      </c>
      <c r="I31" s="315">
        <f>'Financial Statements'!O5/'Financial Statements'!O90</f>
        <v>6.0833333333333339</v>
      </c>
      <c r="J31" s="315">
        <f>'Financial Statements'!P5/'Financial Statements'!P90</f>
        <v>6.083333333333333</v>
      </c>
      <c r="K31" s="315">
        <f>'Financial Statements'!Q5/'Financial Statements'!Q90</f>
        <v>6.083333333333333</v>
      </c>
      <c r="L31" s="315">
        <f>'Financial Statements'!R5/'Financial Statements'!R90</f>
        <v>6.0833333333333339</v>
      </c>
    </row>
    <row r="32" spans="2:12" x14ac:dyDescent="0.2">
      <c r="B32" s="8" t="s">
        <v>30</v>
      </c>
      <c r="C32" s="313">
        <f>(365)/C31</f>
        <v>61.025214812993276</v>
      </c>
      <c r="D32" s="313">
        <f t="shared" ref="D32:L32" si="0">(365)/D31</f>
        <v>52.817463706233987</v>
      </c>
      <c r="E32" s="313">
        <f t="shared" si="0"/>
        <v>59.707775971996504</v>
      </c>
      <c r="F32" s="313">
        <f t="shared" si="0"/>
        <v>69.171936596583436</v>
      </c>
      <c r="G32" s="313">
        <f t="shared" si="0"/>
        <v>58.182784272051009</v>
      </c>
      <c r="H32" s="315">
        <f t="shared" si="0"/>
        <v>60</v>
      </c>
      <c r="I32" s="315">
        <f t="shared" si="0"/>
        <v>59.999999999999993</v>
      </c>
      <c r="J32" s="315">
        <f t="shared" si="0"/>
        <v>60</v>
      </c>
      <c r="K32" s="315">
        <f t="shared" si="0"/>
        <v>60</v>
      </c>
      <c r="L32" s="315">
        <f t="shared" si="0"/>
        <v>59.999999999999993</v>
      </c>
    </row>
    <row r="33" spans="2:12" x14ac:dyDescent="0.2">
      <c r="L33" s="1" t="s">
        <v>1028</v>
      </c>
    </row>
    <row r="34" spans="2:12" ht="17" x14ac:dyDescent="0.2">
      <c r="B34" s="10" t="s">
        <v>27</v>
      </c>
    </row>
    <row r="35" spans="2:12" x14ac:dyDescent="0.2">
      <c r="B35" s="8" t="s">
        <v>8</v>
      </c>
      <c r="C35" s="242">
        <f>'Financial Statements'!I8/'Financial Statements'!I92</f>
        <v>2.4832720588235295</v>
      </c>
      <c r="D35" s="242">
        <f>'Financial Statements'!J8/'Financial Statements'!J92</f>
        <v>2.360655737704918</v>
      </c>
      <c r="E35" s="242">
        <f>'Financial Statements'!K8/'Financial Statements'!K92</f>
        <v>2.4540412044374009</v>
      </c>
      <c r="F35" s="242">
        <f>'Financial Statements'!L8/'Financial Statements'!L92</f>
        <v>2.2889299512850663</v>
      </c>
      <c r="G35" s="242">
        <f>'Financial Statements'!M8/'Financial Statements'!M92</f>
        <v>2.945525291828794</v>
      </c>
      <c r="H35" s="314">
        <f>'Financial Statements'!N8/'Financial Statements'!N92</f>
        <v>2.9455252918287944</v>
      </c>
      <c r="I35" s="314">
        <f>'Financial Statements'!O8/'Financial Statements'!O92</f>
        <v>2.945525291828794</v>
      </c>
      <c r="J35" s="314">
        <f>'Financial Statements'!P8/'Financial Statements'!P92</f>
        <v>2.945525291828794</v>
      </c>
      <c r="K35" s="314">
        <f>'Financial Statements'!Q8/'Financial Statements'!Q92</f>
        <v>2.945525291828794</v>
      </c>
      <c r="L35" s="314">
        <f>'Financial Statements'!R8/'Financial Statements'!R92</f>
        <v>2.945525291828794</v>
      </c>
    </row>
    <row r="36" spans="2:12" x14ac:dyDescent="0.2">
      <c r="B36" s="8" t="s">
        <v>9</v>
      </c>
      <c r="C36" s="313">
        <f>365/C35</f>
        <v>146.98349248649049</v>
      </c>
      <c r="D36" s="313">
        <f t="shared" ref="D36:L36" si="1">365/D35</f>
        <v>154.61805555555557</v>
      </c>
      <c r="E36" s="313">
        <f t="shared" si="1"/>
        <v>148.73425896028414</v>
      </c>
      <c r="F36" s="313">
        <f t="shared" si="1"/>
        <v>159.46315866725379</v>
      </c>
      <c r="G36" s="313">
        <f t="shared" si="1"/>
        <v>123.91677675033024</v>
      </c>
      <c r="H36" s="315">
        <f t="shared" si="1"/>
        <v>123.91677675033023</v>
      </c>
      <c r="I36" s="315">
        <f t="shared" si="1"/>
        <v>123.91677675033024</v>
      </c>
      <c r="J36" s="315">
        <f t="shared" si="1"/>
        <v>123.91677675033024</v>
      </c>
      <c r="K36" s="315">
        <f t="shared" si="1"/>
        <v>123.91677675033024</v>
      </c>
      <c r="L36" s="315">
        <f t="shared" si="1"/>
        <v>123.91677675033024</v>
      </c>
    </row>
    <row r="37" spans="2:12" x14ac:dyDescent="0.2">
      <c r="B37" s="8" t="s">
        <v>10</v>
      </c>
      <c r="C37" s="313">
        <f>'Financial Statements'!I5/'Financial Statements'!I104</f>
        <v>0.51178769800452584</v>
      </c>
      <c r="D37" s="313">
        <f>'Financial Statements'!J5/'Financial Statements'!J104</f>
        <v>0.55499603066459713</v>
      </c>
      <c r="E37" s="313">
        <f>'Financial Statements'!K5/'Financial Statements'!K104</f>
        <v>0.52402061405424294</v>
      </c>
      <c r="F37" s="313">
        <f>'Financial Statements'!L5/'Financial Statements'!L104</f>
        <v>0.46080193766912031</v>
      </c>
      <c r="G37" s="313">
        <f>'Financial Statements'!M5/'Financial Statements'!M104</f>
        <v>0.54308354708684503</v>
      </c>
      <c r="H37" s="315">
        <f>'Financial Statements'!N5/'Financial Statements'!N104</f>
        <v>0.50392511976702714</v>
      </c>
      <c r="I37" s="315">
        <f>'Financial Statements'!O5/'Financial Statements'!O104</f>
        <v>0.52503209953353502</v>
      </c>
      <c r="J37" s="315">
        <f>'Financial Statements'!P5/'Financial Statements'!P104</f>
        <v>0.53314924210761727</v>
      </c>
      <c r="K37" s="315">
        <f>'Financial Statements'!Q5/'Financial Statements'!Q104</f>
        <v>0.51976583528362597</v>
      </c>
      <c r="L37" s="315">
        <f>'Financial Statements'!R5/'Financial Statements'!R104</f>
        <v>0.50733907049639082</v>
      </c>
    </row>
    <row r="38" spans="2:12" x14ac:dyDescent="0.2">
      <c r="B38" s="8" t="s">
        <v>11</v>
      </c>
      <c r="C38" s="313">
        <f>'Financial Statements'!I5/'Financial Statements'!I98</f>
        <v>3.1820480024076447</v>
      </c>
      <c r="D38" s="313">
        <f>'Financial Statements'!J5/'Financial Statements'!J98</f>
        <v>3.1116720919418057</v>
      </c>
      <c r="E38" s="313">
        <f>'Financial Statements'!K5/'Financial Statements'!K98</f>
        <v>2.6684087623707327</v>
      </c>
      <c r="F38" s="313">
        <f>'Financial Statements'!L5/'Financial Statements'!L98</f>
        <v>2.5262721095492506</v>
      </c>
      <c r="G38" s="313">
        <f>'Financial Statements'!M5/'Financial Statements'!M98</f>
        <v>2.7673886658575295</v>
      </c>
      <c r="H38" s="315">
        <f>'Financial Statements'!N5/'Financial Statements'!N98</f>
        <v>2.5794504692782443</v>
      </c>
      <c r="I38" s="315">
        <f>'Financial Statements'!O5/'Financial Statements'!O98</f>
        <v>2.69899672278952</v>
      </c>
      <c r="J38" s="315">
        <f>'Financial Statements'!P5/'Financial Statements'!P98</f>
        <v>2.7795382521569327</v>
      </c>
      <c r="K38" s="315">
        <f>'Financial Statements'!Q5/'Financial Statements'!Q98</f>
        <v>2.782952379179227</v>
      </c>
      <c r="L38" s="315">
        <f>'Financial Statements'!R5/'Financial Statements'!R98</f>
        <v>2.7974381788996991</v>
      </c>
    </row>
    <row r="39" spans="2:12" x14ac:dyDescent="0.2">
      <c r="B39" s="8"/>
    </row>
    <row r="40" spans="2:12" x14ac:dyDescent="0.2">
      <c r="B40" s="7" t="s">
        <v>29</v>
      </c>
    </row>
    <row r="41" spans="2:12" x14ac:dyDescent="0.2">
      <c r="B41" s="9" t="s">
        <v>15</v>
      </c>
      <c r="C41" s="313">
        <f>'Financial Statements'!I117/'Financial Statements'!I104</f>
        <v>0.67469777460459601</v>
      </c>
      <c r="D41" s="313">
        <f>'Financial Statements'!J117/'Financial Statements'!J104</f>
        <v>0.69192032892164412</v>
      </c>
      <c r="E41" s="313">
        <f>'Financial Statements'!K117/'Financial Statements'!K104</f>
        <v>0.72262741843909684</v>
      </c>
      <c r="F41" s="313">
        <f>'Financial Statements'!L117/'Financial Statements'!L104</f>
        <v>0.63804000227070601</v>
      </c>
      <c r="G41" s="313">
        <f>'Financial Statements'!M117/'Financial Statements'!M104</f>
        <v>0.57806888970318793</v>
      </c>
      <c r="H41" s="315">
        <f>'Financial Statements'!N117/'Financial Statements'!N104</f>
        <v>0.55797773861056532</v>
      </c>
      <c r="I41" s="315">
        <f>'Financial Statements'!O117/'Financial Statements'!O104</f>
        <v>0.52935648564289772</v>
      </c>
      <c r="J41" s="315">
        <f>'Financial Statements'!P117/'Financial Statements'!P104</f>
        <v>0.49802152092966379</v>
      </c>
      <c r="K41" s="315">
        <f>'Financial Statements'!Q117/'Financial Statements'!Q104</f>
        <v>0.47151860512165628</v>
      </c>
      <c r="L41" s="315">
        <f>'Financial Statements'!R117/'Financial Statements'!R104</f>
        <v>0.4446468612373069</v>
      </c>
    </row>
    <row r="42" spans="2:12" x14ac:dyDescent="0.2">
      <c r="B42" s="9" t="s">
        <v>16</v>
      </c>
      <c r="C42" s="313">
        <f>'Financial Statements'!I104/'Financial Statements'!I125</f>
        <v>3.0949028126287406</v>
      </c>
      <c r="D42" s="313">
        <f>'Financial Statements'!J104/'Financial Statements'!J125</f>
        <v>3.2576909715520901</v>
      </c>
      <c r="E42" s="313">
        <f>'Financial Statements'!K104/'Financial Statements'!K125</f>
        <v>3.6176482205632579</v>
      </c>
      <c r="F42" s="313">
        <f>'Financial Statements'!L104/'Financial Statements'!L125</f>
        <v>2.7680180180180178</v>
      </c>
      <c r="G42" s="313">
        <f>'Financial Statements'!M104/'Financial Statements'!M125</f>
        <v>2.373507860233524</v>
      </c>
      <c r="H42" s="315">
        <f>'Financial Statements'!N104/'Financial Statements'!N125</f>
        <v>2.265339766557894</v>
      </c>
      <c r="I42" s="315">
        <f>'Financial Statements'!O104/'Financial Statements'!O125</f>
        <v>2.1273405573346129</v>
      </c>
      <c r="J42" s="315">
        <f>'Financial Statements'!P104/'Financial Statements'!P125</f>
        <v>1.9943152955771495</v>
      </c>
      <c r="K42" s="315">
        <f>'Financial Statements'!Q104/'Financial Statements'!Q125</f>
        <v>1.8941046383916627</v>
      </c>
      <c r="L42" s="315">
        <f>'Financial Statements'!R104/'Financial Statements'!R125</f>
        <v>1.8022833749947929</v>
      </c>
    </row>
    <row r="43" spans="2:12" x14ac:dyDescent="0.2">
      <c r="B43" s="9" t="s">
        <v>17</v>
      </c>
      <c r="C43" s="313">
        <f>'Financial Statements'!I111/'Financial Statements'!I117</f>
        <v>0.39827818132902881</v>
      </c>
      <c r="D43" s="313">
        <f>'Financial Statements'!J111/'Financial Statements'!J117</f>
        <v>0.38050551407630662</v>
      </c>
      <c r="E43" s="313">
        <f>'Financial Statements'!K111/'Financial Statements'!K117</f>
        <v>0.41289435513114953</v>
      </c>
      <c r="F43" s="313">
        <f>'Financial Statements'!L111/'Financial Statements'!L117</f>
        <v>0.3539896495988849</v>
      </c>
      <c r="G43" s="313">
        <f>'Financial Statements'!M111/'Financial Statements'!M117</f>
        <v>0.38412411650977785</v>
      </c>
      <c r="H43" s="315">
        <f>'Financial Statements'!N111/'Financial Statements'!N117</f>
        <v>0.36975452366080092</v>
      </c>
      <c r="I43" s="315">
        <f>'Financial Statements'!O111/'Financial Statements'!O117</f>
        <v>0.38421422201644628</v>
      </c>
      <c r="J43" s="315">
        <f>'Financial Statements'!P111/'Financial Statements'!P117</f>
        <v>0.40122505193668162</v>
      </c>
      <c r="K43" s="315">
        <f>'Financial Statements'!Q111/'Financial Statements'!Q117</f>
        <v>0.40957647694887678</v>
      </c>
      <c r="L43" s="315">
        <f>'Financial Statements'!R111/'Financial Statements'!R117</f>
        <v>0.41740806583027484</v>
      </c>
    </row>
    <row r="44" spans="2:12" x14ac:dyDescent="0.2">
      <c r="B44" s="9" t="s">
        <v>18</v>
      </c>
      <c r="C44" s="313">
        <f>'Financial Statements'!I32/'Financial Statements'!I34</f>
        <v>11.824611398963738</v>
      </c>
      <c r="D44" s="313">
        <f>'Financial Statements'!J32/'Financial Statements'!J34</f>
        <v>13.530795072788354</v>
      </c>
      <c r="E44" s="313">
        <f>'Financial Statements'!K32/'Financial Statements'!K34</f>
        <v>11.507821901323707</v>
      </c>
      <c r="F44" s="313">
        <f>'Financial Statements'!L32/'Financial Statements'!L34</f>
        <v>18.174937965260547</v>
      </c>
      <c r="G44" s="313">
        <f>'Financial Statements'!M32/'Financial Statements'!M34</f>
        <v>17.930353430353431</v>
      </c>
      <c r="H44" s="315">
        <f>'Financial Statements'!N32/'Financial Statements'!N34</f>
        <v>20.922982142002166</v>
      </c>
      <c r="I44" s="315">
        <f>'Financial Statements'!O32/'Financial Statements'!O34</f>
        <v>23.746818153002039</v>
      </c>
      <c r="J44" s="315">
        <f>'Financial Statements'!P32/'Financial Statements'!P34</f>
        <v>24.425600010565333</v>
      </c>
      <c r="K44" s="315">
        <f>'Financial Statements'!Q32/'Financial Statements'!Q34</f>
        <v>23.802974425929214</v>
      </c>
      <c r="L44" s="315">
        <f>'Financial Statements'!R32/'Financial Statements'!R34</f>
        <v>23.415147556726406</v>
      </c>
    </row>
    <row r="45" spans="2:12" x14ac:dyDescent="0.2">
      <c r="B45" s="9"/>
    </row>
    <row r="46" spans="2:12" x14ac:dyDescent="0.2">
      <c r="B46" s="7" t="s">
        <v>33</v>
      </c>
    </row>
    <row r="47" spans="2:12" x14ac:dyDescent="0.2">
      <c r="B47" s="8" t="s">
        <v>13</v>
      </c>
      <c r="C47" s="304">
        <f>C22</f>
        <v>0.14703754321086915</v>
      </c>
      <c r="D47" s="304">
        <f t="shared" ref="D47:L47" si="2">D22</f>
        <v>0.21014090520922288</v>
      </c>
      <c r="E47" s="304">
        <f t="shared" si="2"/>
        <v>0.14724757261324331</v>
      </c>
      <c r="F47" s="304">
        <f t="shared" si="2"/>
        <v>0.26792460578186594</v>
      </c>
      <c r="G47" s="304">
        <f t="shared" si="2"/>
        <v>0.24491000792807383</v>
      </c>
      <c r="H47" s="312">
        <f t="shared" si="2"/>
        <v>0.26668293069073684</v>
      </c>
      <c r="I47" s="312">
        <f t="shared" si="2"/>
        <v>0.30596963327809357</v>
      </c>
      <c r="J47" s="312">
        <f t="shared" si="2"/>
        <v>0.32353487200727432</v>
      </c>
      <c r="K47" s="312">
        <f t="shared" si="2"/>
        <v>0.33263286005524456</v>
      </c>
      <c r="L47" s="312">
        <f t="shared" si="2"/>
        <v>0.34393844366935022</v>
      </c>
    </row>
    <row r="48" spans="2:12" x14ac:dyDescent="0.2">
      <c r="B48" s="8" t="s">
        <v>19</v>
      </c>
      <c r="C48" s="313">
        <f>C37</f>
        <v>0.51178769800452584</v>
      </c>
      <c r="D48" s="313">
        <f t="shared" ref="D48:L48" si="3">D37</f>
        <v>0.55499603066459713</v>
      </c>
      <c r="E48" s="313">
        <f t="shared" si="3"/>
        <v>0.52402061405424294</v>
      </c>
      <c r="F48" s="313">
        <f t="shared" si="3"/>
        <v>0.46080193766912031</v>
      </c>
      <c r="G48" s="313">
        <f t="shared" si="3"/>
        <v>0.54308354708684503</v>
      </c>
      <c r="H48" s="315">
        <f t="shared" si="3"/>
        <v>0.50392511976702714</v>
      </c>
      <c r="I48" s="315">
        <f t="shared" si="3"/>
        <v>0.52503209953353502</v>
      </c>
      <c r="J48" s="315">
        <f t="shared" si="3"/>
        <v>0.53314924210761727</v>
      </c>
      <c r="K48" s="315">
        <f t="shared" si="3"/>
        <v>0.51976583528362597</v>
      </c>
      <c r="L48" s="315">
        <f t="shared" si="3"/>
        <v>0.50733907049639082</v>
      </c>
    </row>
    <row r="49" spans="2:12" x14ac:dyDescent="0.2">
      <c r="B49" s="8" t="s">
        <v>20</v>
      </c>
      <c r="C49" s="313">
        <f>C42</f>
        <v>3.0949028126287406</v>
      </c>
      <c r="D49" s="313">
        <f t="shared" ref="D49:L49" si="4">D42</f>
        <v>3.2576909715520901</v>
      </c>
      <c r="E49" s="313">
        <f t="shared" si="4"/>
        <v>3.6176482205632579</v>
      </c>
      <c r="F49" s="313">
        <f t="shared" si="4"/>
        <v>2.7680180180180178</v>
      </c>
      <c r="G49" s="313">
        <f t="shared" si="4"/>
        <v>2.373507860233524</v>
      </c>
      <c r="H49" s="315">
        <f t="shared" si="4"/>
        <v>2.265339766557894</v>
      </c>
      <c r="I49" s="315">
        <f t="shared" si="4"/>
        <v>2.1273405573346129</v>
      </c>
      <c r="J49" s="315">
        <f t="shared" si="4"/>
        <v>1.9943152955771495</v>
      </c>
      <c r="K49" s="315">
        <f t="shared" si="4"/>
        <v>1.8941046383916627</v>
      </c>
      <c r="L49" s="315">
        <f t="shared" si="4"/>
        <v>1.8022833749947929</v>
      </c>
    </row>
    <row r="50" spans="2:12" x14ac:dyDescent="0.2">
      <c r="B50" s="8" t="s">
        <v>14</v>
      </c>
      <c r="C50" s="304">
        <f>C47*C48^C49</f>
        <v>1.8496500677062939E-2</v>
      </c>
      <c r="D50" s="304">
        <f t="shared" ref="D50:L50" si="5">D47*D48^D49</f>
        <v>3.0866404258420858E-2</v>
      </c>
      <c r="E50" s="304">
        <f t="shared" si="5"/>
        <v>1.4215079092539568E-2</v>
      </c>
      <c r="F50" s="304">
        <f t="shared" si="5"/>
        <v>3.1377194558383226E-2</v>
      </c>
      <c r="G50" s="304">
        <f t="shared" si="5"/>
        <v>5.7505638825981496E-2</v>
      </c>
      <c r="H50" s="312">
        <f t="shared" si="5"/>
        <v>5.6461589538547255E-2</v>
      </c>
      <c r="I50" s="312">
        <f t="shared" si="5"/>
        <v>7.7699522414057628E-2</v>
      </c>
      <c r="J50" s="312">
        <f t="shared" si="5"/>
        <v>9.2293576095137997E-2</v>
      </c>
      <c r="K50" s="312">
        <f t="shared" si="5"/>
        <v>9.631085808452361E-2</v>
      </c>
      <c r="L50" s="312">
        <f t="shared" si="5"/>
        <v>0.10123828121719541</v>
      </c>
    </row>
    <row r="51" spans="2:12" x14ac:dyDescent="0.2">
      <c r="B51" s="8"/>
    </row>
    <row r="52" spans="2:12" x14ac:dyDescent="0.2">
      <c r="B52" s="7" t="s">
        <v>32</v>
      </c>
    </row>
    <row r="53" spans="2:12" x14ac:dyDescent="0.2">
      <c r="B53" s="8" t="s">
        <v>21</v>
      </c>
      <c r="C53" s="313">
        <f>'Financial Statements'!I117/'Financial Statements'!I125</f>
        <v>2.088124040298116</v>
      </c>
      <c r="D53" s="313">
        <f>'Financial Statements'!J117/'Financial Statements'!J125</f>
        <v>2.2540626085613926</v>
      </c>
      <c r="E53" s="313">
        <f>'Financial Statements'!K117/'Financial Statements'!K125</f>
        <v>2.6142117944464194</v>
      </c>
      <c r="F53" s="313">
        <f>'Financial Statements'!L117/'Financial Statements'!L125</f>
        <v>1.7661062225015713</v>
      </c>
      <c r="G53" s="313">
        <f>'Financial Statements'!M117/'Financial Statements'!M125</f>
        <v>1.3720510534669828</v>
      </c>
      <c r="H53" s="315">
        <f>'Financial Statements'!N117/'Financial Statements'!N125</f>
        <v>1.2640091601285597</v>
      </c>
      <c r="I53" s="315">
        <f>'Financial Statements'!O117/'Financial Statements'!O125</f>
        <v>1.1261215211962541</v>
      </c>
      <c r="J53" s="315">
        <f>'Financial Statements'!P117/'Financial Statements'!P125</f>
        <v>0.993211936716624</v>
      </c>
      <c r="K53" s="315">
        <f>'Financial Statements'!Q117/'Financial Statements'!Q125</f>
        <v>0.89310557704889593</v>
      </c>
      <c r="L53" s="315">
        <f>'Financial Statements'!R117/'Financial Statements'!R125</f>
        <v>0.8013796457516148</v>
      </c>
    </row>
    <row r="54" spans="2:12" x14ac:dyDescent="0.2">
      <c r="B54" s="8" t="s">
        <v>22</v>
      </c>
      <c r="C54" s="313">
        <f>('Financial Statements'!I117-'Financial Statements'!I111)/'Financial Statements'!I125</f>
        <v>1.2564697951387589</v>
      </c>
      <c r="D54" s="313">
        <f>('Financial Statements'!J117-'Financial Statements'!J111)/'Financial Statements'!J125</f>
        <v>1.3963793569305594</v>
      </c>
      <c r="E54" s="313">
        <f>('Financial Statements'!K117-'Financial Statements'!K111)/'Financial Statements'!K125</f>
        <v>1.5348185014022198</v>
      </c>
      <c r="F54" s="313">
        <f>('Financial Statements'!L117-'Financial Statements'!L111)/'Financial Statements'!L125</f>
        <v>1.1409228996438299</v>
      </c>
      <c r="G54" s="313">
        <f>('Financial Statements'!M117-'Financial Statements'!M111)/'Financial Statements'!M125</f>
        <v>0.84501315474766803</v>
      </c>
      <c r="H54" s="315">
        <f>('Financial Statements'!N117-'Financial Statements'!N111)/'Financial Statements'!N125</f>
        <v>0.79663605522233505</v>
      </c>
      <c r="I54" s="315">
        <f>('Financial Statements'!O117-'Financial Statements'!O111)/'Financial Statements'!O125</f>
        <v>0.69344961703385832</v>
      </c>
      <c r="J54" s="315">
        <f>('Financial Statements'!P117-'Financial Statements'!P111)/'Financial Statements'!P125</f>
        <v>0.59471042582336442</v>
      </c>
      <c r="K54" s="315">
        <f>('Financial Statements'!Q117-'Financial Statements'!Q111)/'Financial Statements'!Q125</f>
        <v>0.52731054125781551</v>
      </c>
      <c r="L54" s="315">
        <f>('Financial Statements'!R117-'Financial Statements'!R111)/'Financial Statements'!R125</f>
        <v>0.46687731782268238</v>
      </c>
    </row>
    <row r="55" spans="2:12" x14ac:dyDescent="0.2">
      <c r="B55" s="8" t="s">
        <v>23</v>
      </c>
      <c r="C55" s="313">
        <f>'Financial Statements'!I11/'Financial Statements'!I5</f>
        <v>0.68058241867371605</v>
      </c>
      <c r="D55" s="313">
        <f>'Financial Statements'!J11/'Financial Statements'!J5</f>
        <v>0.69871904355251924</v>
      </c>
      <c r="E55" s="313">
        <f>'Financial Statements'!K11/'Financial Statements'!K5</f>
        <v>0.67735550277117973</v>
      </c>
      <c r="F55" s="313">
        <f>'Financial Statements'!L11/'Financial Statements'!L5</f>
        <v>0.7202283180026281</v>
      </c>
      <c r="G55" s="313">
        <f>'Financial Statements'!M11/'Financial Statements'!M5</f>
        <v>0.70630703574380516</v>
      </c>
      <c r="H55" s="315">
        <f>'Financial Statements'!N11/'Financial Statements'!N5</f>
        <v>0.77</v>
      </c>
      <c r="I55" s="315">
        <f>'Financial Statements'!O11/'Financial Statements'!O5</f>
        <v>0.79</v>
      </c>
      <c r="J55" s="315">
        <f>'Financial Statements'!P11/'Financial Statements'!P5</f>
        <v>0.79500000000000004</v>
      </c>
      <c r="K55" s="315">
        <f>'Financial Statements'!Q11/'Financial Statements'!Q5</f>
        <v>0.8</v>
      </c>
      <c r="L55" s="315">
        <f>'Financial Statements'!R11/'Financial Statements'!R5</f>
        <v>0.81</v>
      </c>
    </row>
    <row r="56" spans="2:12" x14ac:dyDescent="0.2">
      <c r="B56" s="8" t="s">
        <v>24</v>
      </c>
      <c r="C56" s="313">
        <f>'Financial Statements'!I8/'Financial Statements'!I106</f>
        <v>4.0714285714285712</v>
      </c>
      <c r="D56" s="313">
        <f>'Financial Statements'!J8/'Financial Statements'!J106</f>
        <v>3.7752808988764044</v>
      </c>
      <c r="E56" s="313">
        <f>'Financial Statements'!K8/'Financial Statements'!K106</f>
        <v>3.3707009142359601</v>
      </c>
      <c r="F56" s="313">
        <f>'Financial Statements'!L8/'Financial Statements'!L106</f>
        <v>2.956389672380126</v>
      </c>
      <c r="G56" s="313">
        <f>'Financial Statements'!M8/'Financial Statements'!M106</f>
        <v>4.083255159474672</v>
      </c>
      <c r="H56" s="315">
        <f>'Financial Statements'!N8/'Financial Statements'!N106</f>
        <v>4.083255159474672</v>
      </c>
      <c r="I56" s="315">
        <f>'Financial Statements'!O8/'Financial Statements'!O106</f>
        <v>4.083255159474672</v>
      </c>
      <c r="J56" s="315">
        <f>'Financial Statements'!P8/'Financial Statements'!P106</f>
        <v>4.0832551594746711</v>
      </c>
      <c r="K56" s="315">
        <f>'Financial Statements'!Q8/'Financial Statements'!Q106</f>
        <v>4.083255159474672</v>
      </c>
      <c r="L56" s="315">
        <f>'Financial Statements'!R8/'Financial Statements'!R106</f>
        <v>4.083255159474672</v>
      </c>
    </row>
    <row r="57" spans="2:12" x14ac:dyDescent="0.2">
      <c r="B57" s="8" t="s">
        <v>25</v>
      </c>
      <c r="C57" s="313">
        <f>365/C56</f>
        <v>89.649122807017548</v>
      </c>
      <c r="D57" s="313">
        <f t="shared" ref="D57:L57" si="6">365/D56</f>
        <v>96.68154761904762</v>
      </c>
      <c r="E57" s="313">
        <f t="shared" si="6"/>
        <v>108.28608330642557</v>
      </c>
      <c r="F57" s="313">
        <f t="shared" si="6"/>
        <v>123.46139732863642</v>
      </c>
      <c r="G57" s="313">
        <f t="shared" si="6"/>
        <v>89.38946642926885</v>
      </c>
      <c r="H57" s="315">
        <f t="shared" si="6"/>
        <v>89.38946642926885</v>
      </c>
      <c r="I57" s="315">
        <f t="shared" si="6"/>
        <v>89.38946642926885</v>
      </c>
      <c r="J57" s="315">
        <f t="shared" si="6"/>
        <v>89.389466429268865</v>
      </c>
      <c r="K57" s="315">
        <f t="shared" si="6"/>
        <v>89.38946642926885</v>
      </c>
      <c r="L57" s="315">
        <f t="shared" si="6"/>
        <v>89.38946642926885</v>
      </c>
    </row>
    <row r="58" spans="2:12" x14ac:dyDescent="0.2">
      <c r="B58" s="8" t="s">
        <v>26</v>
      </c>
      <c r="C58" s="313">
        <f>C36+C32-C57</f>
        <v>118.35958449246623</v>
      </c>
      <c r="D58" s="313">
        <f t="shared" ref="D58:L58" si="7">D36+D32-D57</f>
        <v>110.75397164274193</v>
      </c>
      <c r="E58" s="313">
        <f t="shared" si="7"/>
        <v>100.15595162585508</v>
      </c>
      <c r="F58" s="313">
        <f t="shared" si="7"/>
        <v>105.17369793520081</v>
      </c>
      <c r="G58" s="313">
        <f t="shared" si="7"/>
        <v>92.710094593112387</v>
      </c>
      <c r="H58" s="315">
        <f t="shared" si="7"/>
        <v>94.527310321061378</v>
      </c>
      <c r="I58" s="315">
        <f t="shared" si="7"/>
        <v>94.527310321061378</v>
      </c>
      <c r="J58" s="315">
        <f t="shared" si="7"/>
        <v>94.527310321061393</v>
      </c>
      <c r="K58" s="315">
        <f t="shared" si="7"/>
        <v>94.527310321061407</v>
      </c>
      <c r="L58" s="315">
        <f t="shared" si="7"/>
        <v>94.527310321061378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D2240-7C67-1C45-845D-DF590A07C84D}">
  <dimension ref="A1:AME196"/>
  <sheetViews>
    <sheetView topLeftCell="A4" zoomScale="107" workbookViewId="0">
      <selection activeCell="C37" sqref="C37"/>
    </sheetView>
  </sheetViews>
  <sheetFormatPr baseColWidth="10" defaultColWidth="8.83203125" defaultRowHeight="16" outlineLevelRow="4" outlineLevelCol="1" x14ac:dyDescent="0.2"/>
  <cols>
    <col min="1" max="1" width="1" customWidth="1"/>
    <col min="2" max="2" width="2" customWidth="1"/>
    <col min="3" max="3" width="50.6640625" customWidth="1"/>
    <col min="4" max="10" width="12.6640625" hidden="1" customWidth="1" outlineLevel="1"/>
    <col min="11" max="11" width="10.6640625" hidden="1" customWidth="1" outlineLevel="1" collapsed="1"/>
    <col min="12" max="12" width="2.6640625" customWidth="1" collapsed="1"/>
    <col min="13" max="17" width="14.6640625" customWidth="1" collapsed="1"/>
    <col min="18" max="18" width="14.6640625" style="333" customWidth="1" collapsed="1"/>
    <col min="19" max="22" width="14.6640625" customWidth="1" collapsed="1"/>
    <col min="23" max="23" width="2" customWidth="1"/>
    <col min="24" max="124" width="14.6640625" style="389" customWidth="1" collapsed="1"/>
    <col min="125" max="1019" width="14.6640625" customWidth="1" collapsed="1"/>
  </cols>
  <sheetData>
    <row r="1" spans="1:45" ht="6.5" customHeight="1" x14ac:dyDescent="0.2">
      <c r="A1" s="329"/>
      <c r="B1" s="330"/>
      <c r="C1" s="330"/>
      <c r="D1" s="330"/>
      <c r="E1" s="330"/>
      <c r="F1" s="330"/>
      <c r="G1" s="330"/>
      <c r="H1" s="330"/>
      <c r="I1" s="330"/>
      <c r="J1" s="330"/>
      <c r="K1" s="330"/>
      <c r="L1" s="330"/>
      <c r="M1" s="330"/>
      <c r="N1" s="330"/>
      <c r="O1" s="330"/>
      <c r="P1" s="330"/>
      <c r="Q1" s="330"/>
      <c r="R1" s="331"/>
      <c r="S1" s="330"/>
      <c r="T1" s="330"/>
      <c r="U1" s="330"/>
      <c r="V1" s="330"/>
      <c r="W1" s="330"/>
      <c r="X1" s="388"/>
      <c r="Y1" s="388"/>
      <c r="Z1" s="388"/>
      <c r="AA1" s="388"/>
      <c r="AB1" s="388"/>
      <c r="AC1" s="388"/>
      <c r="AD1" s="388"/>
      <c r="AE1" s="388"/>
      <c r="AF1" s="388"/>
      <c r="AG1" s="388"/>
      <c r="AH1" s="388"/>
      <c r="AI1" s="388"/>
      <c r="AJ1" s="388"/>
      <c r="AK1" s="388"/>
      <c r="AL1" s="388"/>
      <c r="AM1" s="388"/>
      <c r="AN1" s="388"/>
      <c r="AO1" s="388"/>
      <c r="AP1" s="388"/>
      <c r="AQ1" s="388"/>
      <c r="AR1" s="388"/>
      <c r="AS1" s="388"/>
    </row>
    <row r="2" spans="1:45" ht="39.75" customHeight="1" x14ac:dyDescent="0.2">
      <c r="A2" s="332"/>
      <c r="C2" s="1"/>
      <c r="D2" s="1"/>
      <c r="E2" s="1"/>
      <c r="F2" s="1"/>
      <c r="G2" s="1"/>
      <c r="H2" s="1"/>
      <c r="I2" s="1"/>
      <c r="J2" s="1"/>
      <c r="K2" s="1"/>
      <c r="L2" s="1"/>
      <c r="M2" s="1"/>
      <c r="N2" s="1"/>
      <c r="O2" s="1"/>
      <c r="P2" s="1"/>
      <c r="Q2" s="1"/>
      <c r="S2" s="1"/>
      <c r="T2" s="1"/>
      <c r="U2" s="1"/>
      <c r="V2" s="1"/>
      <c r="X2" s="390"/>
      <c r="Y2" s="388"/>
      <c r="Z2" s="388"/>
      <c r="AA2" s="388"/>
      <c r="AB2" s="388"/>
      <c r="AC2" s="388"/>
      <c r="AD2" s="388"/>
      <c r="AE2" s="388"/>
      <c r="AF2" s="388"/>
      <c r="AG2" s="388"/>
      <c r="AH2" s="388"/>
      <c r="AI2" s="388"/>
      <c r="AJ2" s="388"/>
      <c r="AK2" s="388"/>
      <c r="AL2" s="388"/>
      <c r="AM2" s="388"/>
      <c r="AN2" s="388"/>
      <c r="AO2" s="388"/>
      <c r="AP2" s="388"/>
      <c r="AQ2" s="388"/>
      <c r="AR2" s="388"/>
      <c r="AS2" s="388"/>
    </row>
    <row r="3" spans="1:45" ht="18.75" customHeight="1" x14ac:dyDescent="0.2">
      <c r="A3" s="332"/>
      <c r="C3" s="369" t="s">
        <v>665</v>
      </c>
      <c r="D3" s="1"/>
      <c r="E3" s="1"/>
      <c r="F3" s="1"/>
      <c r="G3" s="1"/>
      <c r="H3" s="1"/>
      <c r="I3" s="1"/>
      <c r="J3" s="1"/>
      <c r="K3" s="1"/>
      <c r="L3" s="1"/>
      <c r="M3" s="1"/>
      <c r="N3" s="1"/>
      <c r="O3" s="1"/>
      <c r="P3" s="1"/>
      <c r="Q3" s="1"/>
      <c r="S3" s="1"/>
      <c r="T3" s="1"/>
      <c r="U3" s="1"/>
      <c r="V3" s="1"/>
      <c r="X3" s="390"/>
      <c r="Y3" s="388"/>
      <c r="Z3" s="388"/>
      <c r="AA3" s="388"/>
      <c r="AB3" s="388"/>
      <c r="AC3" s="388"/>
      <c r="AD3" s="388"/>
      <c r="AE3" s="388"/>
      <c r="AF3" s="388"/>
      <c r="AG3" s="388"/>
      <c r="AH3" s="388"/>
      <c r="AI3" s="388"/>
      <c r="AJ3" s="388"/>
      <c r="AK3" s="388"/>
      <c r="AL3" s="388"/>
      <c r="AM3" s="388"/>
      <c r="AN3" s="388"/>
      <c r="AO3" s="388"/>
      <c r="AP3" s="388"/>
      <c r="AQ3" s="388"/>
      <c r="AR3" s="388"/>
      <c r="AS3" s="388"/>
    </row>
    <row r="4" spans="1:45" ht="21" x14ac:dyDescent="0.25">
      <c r="A4" s="332"/>
      <c r="C4" s="370" t="s">
        <v>666</v>
      </c>
      <c r="D4" s="334" t="s">
        <v>667</v>
      </c>
      <c r="E4" s="335"/>
      <c r="F4" s="335"/>
      <c r="G4" s="335"/>
      <c r="H4" s="335"/>
      <c r="I4" s="335"/>
      <c r="J4" s="335"/>
      <c r="K4" s="335"/>
      <c r="L4" s="1"/>
      <c r="M4" s="366" t="s">
        <v>641</v>
      </c>
      <c r="N4" s="366" t="s">
        <v>649</v>
      </c>
      <c r="O4" s="366" t="s">
        <v>639</v>
      </c>
      <c r="P4" s="366" t="s">
        <v>647</v>
      </c>
      <c r="Q4" s="366" t="s">
        <v>648</v>
      </c>
      <c r="R4" s="336" t="s">
        <v>631</v>
      </c>
      <c r="S4" s="366" t="s">
        <v>637</v>
      </c>
      <c r="T4" s="366" t="s">
        <v>635</v>
      </c>
      <c r="U4" s="366" t="s">
        <v>632</v>
      </c>
      <c r="V4" s="366" t="s">
        <v>646</v>
      </c>
      <c r="X4" s="390"/>
      <c r="Y4" s="388"/>
      <c r="Z4" s="388"/>
      <c r="AA4" s="388"/>
      <c r="AB4" s="388"/>
      <c r="AC4" s="388"/>
      <c r="AD4" s="388"/>
      <c r="AE4" s="388"/>
      <c r="AF4" s="388"/>
      <c r="AG4" s="388"/>
      <c r="AH4" s="388"/>
      <c r="AI4" s="388"/>
      <c r="AJ4" s="388"/>
      <c r="AK4" s="388"/>
      <c r="AL4" s="388"/>
      <c r="AM4" s="388"/>
      <c r="AN4" s="388"/>
      <c r="AO4" s="388"/>
      <c r="AP4" s="388"/>
      <c r="AQ4" s="388"/>
      <c r="AR4" s="388"/>
      <c r="AS4" s="388"/>
    </row>
    <row r="5" spans="1:45" ht="30" x14ac:dyDescent="0.2">
      <c r="A5" s="332"/>
      <c r="C5" s="1"/>
      <c r="D5" s="510" t="s">
        <v>590</v>
      </c>
      <c r="E5" s="510" t="s">
        <v>668</v>
      </c>
      <c r="F5" s="510" t="s">
        <v>669</v>
      </c>
      <c r="G5" s="510" t="s">
        <v>670</v>
      </c>
      <c r="H5" s="510" t="s">
        <v>671</v>
      </c>
      <c r="I5" s="510" t="s">
        <v>672</v>
      </c>
      <c r="J5" s="510" t="s">
        <v>673</v>
      </c>
      <c r="K5" s="510" t="s">
        <v>674</v>
      </c>
      <c r="L5" s="1"/>
      <c r="M5" s="366" t="s">
        <v>640</v>
      </c>
      <c r="N5" s="366" t="s">
        <v>645</v>
      </c>
      <c r="O5" s="366" t="s">
        <v>675</v>
      </c>
      <c r="P5" s="366" t="s">
        <v>643</v>
      </c>
      <c r="Q5" s="366" t="s">
        <v>644</v>
      </c>
      <c r="R5" s="336" t="s">
        <v>0</v>
      </c>
      <c r="S5" s="366" t="s">
        <v>636</v>
      </c>
      <c r="T5" s="366" t="s">
        <v>634</v>
      </c>
      <c r="U5" s="366" t="s">
        <v>633</v>
      </c>
      <c r="V5" s="366" t="s">
        <v>642</v>
      </c>
      <c r="X5" s="390"/>
      <c r="Y5" s="388"/>
      <c r="Z5" s="388"/>
      <c r="AA5" s="388"/>
      <c r="AB5" s="388"/>
      <c r="AC5" s="388"/>
      <c r="AD5" s="388"/>
      <c r="AE5" s="388"/>
      <c r="AF5" s="388"/>
      <c r="AG5" s="388"/>
      <c r="AH5" s="388"/>
      <c r="AI5" s="388"/>
      <c r="AJ5" s="388"/>
      <c r="AK5" s="388"/>
      <c r="AL5" s="388"/>
      <c r="AM5" s="388"/>
      <c r="AN5" s="388"/>
      <c r="AO5" s="388"/>
      <c r="AP5" s="388"/>
      <c r="AQ5" s="388"/>
      <c r="AR5" s="388"/>
      <c r="AS5" s="388"/>
    </row>
    <row r="6" spans="1:45" x14ac:dyDescent="0.2">
      <c r="A6" s="332"/>
      <c r="C6" s="1"/>
      <c r="D6" s="510"/>
      <c r="E6" s="510"/>
      <c r="F6" s="510"/>
      <c r="G6" s="510"/>
      <c r="H6" s="510"/>
      <c r="I6" s="510"/>
      <c r="J6" s="510"/>
      <c r="K6" s="510"/>
      <c r="L6" s="1"/>
      <c r="M6" s="1"/>
      <c r="N6" s="1"/>
      <c r="O6" s="1"/>
      <c r="P6" s="1"/>
      <c r="Q6" s="1"/>
      <c r="S6" s="1"/>
      <c r="T6" s="1"/>
      <c r="U6" s="1"/>
      <c r="V6" s="1"/>
      <c r="X6" s="390"/>
      <c r="Y6" s="388"/>
      <c r="Z6" s="388"/>
      <c r="AA6" s="388"/>
      <c r="AB6" s="388"/>
      <c r="AC6" s="388"/>
      <c r="AD6" s="388"/>
      <c r="AE6" s="388"/>
      <c r="AF6" s="388"/>
      <c r="AG6" s="388"/>
      <c r="AH6" s="388"/>
      <c r="AI6" s="388"/>
      <c r="AJ6" s="388"/>
      <c r="AK6" s="388"/>
      <c r="AL6" s="388"/>
      <c r="AM6" s="388"/>
      <c r="AN6" s="388"/>
      <c r="AO6" s="388"/>
      <c r="AP6" s="388"/>
      <c r="AQ6" s="388"/>
      <c r="AR6" s="388"/>
      <c r="AS6" s="388"/>
    </row>
    <row r="7" spans="1:45" x14ac:dyDescent="0.2">
      <c r="A7" s="332"/>
      <c r="C7" s="371" t="s">
        <v>676</v>
      </c>
      <c r="D7" s="335"/>
      <c r="E7" s="335"/>
      <c r="F7" s="335"/>
      <c r="G7" s="335"/>
      <c r="H7" s="335"/>
      <c r="I7" s="335"/>
      <c r="J7" s="335"/>
      <c r="K7" s="335"/>
      <c r="L7" s="1"/>
      <c r="M7" s="367" t="s">
        <v>677</v>
      </c>
      <c r="N7" s="367" t="s">
        <v>677</v>
      </c>
      <c r="O7" s="367" t="s">
        <v>677</v>
      </c>
      <c r="P7" s="367" t="s">
        <v>677</v>
      </c>
      <c r="Q7" s="367" t="s">
        <v>677</v>
      </c>
      <c r="R7" s="337" t="s">
        <v>677</v>
      </c>
      <c r="S7" s="367" t="s">
        <v>677</v>
      </c>
      <c r="T7" s="367" t="s">
        <v>677</v>
      </c>
      <c r="U7" s="367" t="s">
        <v>678</v>
      </c>
      <c r="V7" s="367" t="s">
        <v>677</v>
      </c>
      <c r="X7" s="390"/>
      <c r="Y7" s="388"/>
      <c r="Z7" s="388"/>
      <c r="AA7" s="388"/>
      <c r="AB7" s="388"/>
      <c r="AC7" s="388"/>
      <c r="AD7" s="388"/>
      <c r="AE7" s="388"/>
      <c r="AF7" s="388"/>
      <c r="AG7" s="388"/>
      <c r="AH7" s="388"/>
      <c r="AI7" s="388"/>
      <c r="AJ7" s="388"/>
      <c r="AK7" s="388"/>
      <c r="AL7" s="388"/>
      <c r="AM7" s="388"/>
      <c r="AN7" s="388"/>
      <c r="AO7" s="388"/>
      <c r="AP7" s="388"/>
      <c r="AQ7" s="388"/>
      <c r="AR7" s="388"/>
      <c r="AS7" s="388"/>
    </row>
    <row r="8" spans="1:45" x14ac:dyDescent="0.2">
      <c r="A8" s="332"/>
      <c r="C8" s="1"/>
      <c r="D8" s="335"/>
      <c r="E8" s="335"/>
      <c r="F8" s="335"/>
      <c r="G8" s="335"/>
      <c r="H8" s="335"/>
      <c r="I8" s="335"/>
      <c r="J8" s="335"/>
      <c r="K8" s="335"/>
      <c r="L8" s="1"/>
      <c r="M8" s="1"/>
      <c r="N8" s="1"/>
      <c r="O8" s="1"/>
      <c r="P8" s="1"/>
      <c r="Q8" s="1"/>
      <c r="S8" s="1"/>
      <c r="T8" s="1"/>
      <c r="U8" s="1"/>
      <c r="V8" s="1"/>
      <c r="X8" s="390"/>
      <c r="Y8" s="388"/>
      <c r="Z8" s="388"/>
      <c r="AA8" s="388"/>
      <c r="AB8" s="388"/>
      <c r="AC8" s="388"/>
      <c r="AD8" s="388"/>
      <c r="AE8" s="388"/>
      <c r="AF8" s="388"/>
      <c r="AG8" s="388"/>
      <c r="AH8" s="388"/>
      <c r="AI8" s="388"/>
      <c r="AJ8" s="388"/>
      <c r="AK8" s="388"/>
      <c r="AL8" s="388"/>
      <c r="AM8" s="388"/>
      <c r="AN8" s="388"/>
      <c r="AO8" s="388"/>
      <c r="AP8" s="388"/>
      <c r="AQ8" s="388"/>
      <c r="AR8" s="388"/>
      <c r="AS8" s="388"/>
    </row>
    <row r="9" spans="1:45" x14ac:dyDescent="0.2">
      <c r="A9" s="332"/>
      <c r="C9" s="1"/>
      <c r="D9" s="335"/>
      <c r="E9" s="335"/>
      <c r="F9" s="335"/>
      <c r="G9" s="335"/>
      <c r="H9" s="335"/>
      <c r="I9" s="335"/>
      <c r="J9" s="335"/>
      <c r="K9" s="335"/>
      <c r="L9" s="1"/>
      <c r="M9" s="368"/>
      <c r="N9" s="368"/>
      <c r="O9" s="368"/>
      <c r="P9" s="368"/>
      <c r="Q9" s="368"/>
      <c r="R9" s="338"/>
      <c r="S9" s="368"/>
      <c r="T9" s="368"/>
      <c r="U9" s="368"/>
      <c r="V9" s="368"/>
      <c r="X9" s="390"/>
      <c r="Y9" s="388"/>
      <c r="Z9" s="388"/>
      <c r="AA9" s="388"/>
      <c r="AB9" s="388"/>
      <c r="AC9" s="388"/>
      <c r="AD9" s="388"/>
      <c r="AE9" s="388"/>
      <c r="AF9" s="388"/>
      <c r="AG9" s="388"/>
      <c r="AH9" s="388"/>
      <c r="AI9" s="388"/>
      <c r="AJ9" s="388"/>
      <c r="AK9" s="388"/>
      <c r="AL9" s="388"/>
      <c r="AM9" s="388"/>
      <c r="AN9" s="388"/>
      <c r="AO9" s="388"/>
      <c r="AP9" s="388"/>
      <c r="AQ9" s="388"/>
      <c r="AR9" s="388"/>
      <c r="AS9" s="388"/>
    </row>
    <row r="10" spans="1:45" x14ac:dyDescent="0.2">
      <c r="A10" s="332"/>
      <c r="D10" s="335"/>
      <c r="E10" s="335"/>
      <c r="F10" s="335"/>
      <c r="G10" s="335"/>
      <c r="H10" s="335"/>
      <c r="I10" s="335"/>
      <c r="J10" s="335"/>
      <c r="K10" s="335"/>
      <c r="L10" s="1"/>
      <c r="M10" s="1"/>
      <c r="N10" s="1"/>
      <c r="O10" s="1"/>
      <c r="P10" s="1"/>
      <c r="Q10" s="1"/>
      <c r="S10" s="1"/>
      <c r="T10" s="1"/>
      <c r="U10" s="1"/>
      <c r="V10" s="1"/>
      <c r="X10" s="390"/>
      <c r="Y10" s="388"/>
      <c r="Z10" s="388"/>
      <c r="AA10" s="388"/>
      <c r="AB10" s="388"/>
      <c r="AC10" s="388"/>
      <c r="AD10" s="388"/>
      <c r="AE10" s="388"/>
      <c r="AF10" s="388"/>
      <c r="AG10" s="388"/>
      <c r="AH10" s="388"/>
      <c r="AI10" s="388"/>
      <c r="AJ10" s="388"/>
      <c r="AK10" s="388"/>
      <c r="AL10" s="388"/>
      <c r="AM10" s="388"/>
      <c r="AN10" s="388"/>
      <c r="AO10" s="388"/>
      <c r="AP10" s="388"/>
      <c r="AQ10" s="388"/>
      <c r="AR10" s="388"/>
      <c r="AS10" s="388"/>
    </row>
    <row r="11" spans="1:45" x14ac:dyDescent="0.2">
      <c r="A11" s="332">
        <v>1</v>
      </c>
      <c r="C11" s="335" t="str">
        <f>IF(SUBTOTAL(109,A11)=A11,"Gross Profit","Gross Profit")</f>
        <v>Gross Profit</v>
      </c>
      <c r="D11" s="339" t="str">
        <f t="shared" ref="D11:D42" si="0">IF(COUNT(M11:V11)&gt;0,MEDIAN(M11:V11),"")</f>
        <v/>
      </c>
      <c r="E11" s="339" t="str">
        <f t="shared" ref="E11:E42" si="1">IF(COUNT(M11:V11)&gt;0,AVERAGE(M11:V11),"")</f>
        <v/>
      </c>
      <c r="F11" s="339" t="str">
        <f t="shared" ref="F11:F42" si="2">IF(COUNT(M11:V11)&gt;0,MIN(M11:V11),"")</f>
        <v/>
      </c>
      <c r="G11" s="339" t="str">
        <f t="shared" ref="G11:G42" si="3">IF(COUNT(M11:V11)&gt;0,MAX(M11:V11),"")</f>
        <v/>
      </c>
      <c r="H11" s="339" t="str">
        <f t="shared" ref="H11:H42" si="4">IF(COUNT(M11:V11)&gt;0,QUARTILE(M11:V11,1),"")</f>
        <v/>
      </c>
      <c r="I11" s="339" t="str">
        <f t="shared" ref="I11:I42" si="5">IF(COUNT(M11:V11)&gt;0,QUARTILE(M11:V11,3),"")</f>
        <v/>
      </c>
      <c r="J11" s="339" t="str">
        <f t="shared" ref="J11:J42" si="6">IF(COUNT(M11:V11)&gt;1,STDEV(M11:V11),"")</f>
        <v/>
      </c>
      <c r="K11" s="340" t="str">
        <f t="shared" ref="K11:K42" si="7">IF(COUNT(M11:V11)&gt;1,STDEV(M11:V11)/AVERAGE(M11:V11),"")</f>
        <v/>
      </c>
      <c r="L11" s="339"/>
      <c r="M11" s="339" t="str">
        <f>IF(SUBTOTAL(109,A11)=A11,"",19917000)</f>
        <v/>
      </c>
      <c r="N11" s="339" t="str">
        <f>IF(SUBTOTAL(109,A11)=A11,"",7895100)</f>
        <v/>
      </c>
      <c r="O11" s="339" t="str">
        <f>IF(SUBTOTAL(109,A11)=A11,"",36022000)</f>
        <v/>
      </c>
      <c r="P11" s="339" t="str">
        <f>IF(SUBTOTAL(109,A11)=A11,"",21624000)</f>
        <v/>
      </c>
      <c r="Q11" s="339" t="str">
        <f>IF(SUBTOTAL(109,A11)=A11,"",24365895.14757)</f>
        <v/>
      </c>
      <c r="R11" s="341" t="str">
        <f>IF(SUBTOTAL(109,A11)=A11,"",41872000)</f>
        <v/>
      </c>
      <c r="S11" s="339" t="str">
        <f>IF(SUBTOTAL(109,A11)=A11,"",36342000)</f>
        <v/>
      </c>
      <c r="T11" s="339" t="str">
        <f>IF(SUBTOTAL(109,A11)=A11,"",65986000)</f>
        <v/>
      </c>
      <c r="U11" s="339" t="str">
        <f>IF(SUBTOTAL(109,A11)=A11,"",46920320.9274449)</f>
        <v/>
      </c>
      <c r="V11" s="339" t="str">
        <f>IF(SUBTOTAL(109,A11)=A11,"",33323169.7563179)</f>
        <v/>
      </c>
      <c r="X11" s="390"/>
      <c r="Y11" s="388"/>
      <c r="Z11" s="388"/>
      <c r="AA11" s="388"/>
      <c r="AB11" s="388"/>
      <c r="AC11" s="388"/>
      <c r="AD11" s="388"/>
      <c r="AE11" s="388"/>
      <c r="AF11" s="388"/>
      <c r="AG11" s="388"/>
      <c r="AH11" s="388"/>
      <c r="AI11" s="388"/>
      <c r="AJ11" s="388"/>
      <c r="AK11" s="388"/>
      <c r="AL11" s="388"/>
      <c r="AM11" s="388"/>
      <c r="AN11" s="388"/>
      <c r="AO11" s="388"/>
      <c r="AP11" s="388"/>
      <c r="AQ11" s="388"/>
      <c r="AR11" s="388"/>
      <c r="AS11" s="388"/>
    </row>
    <row r="12" spans="1:45" outlineLevel="1" x14ac:dyDescent="0.2">
      <c r="A12" s="381">
        <v>1</v>
      </c>
      <c r="C12" s="382" t="str">
        <f>IF(SUBTOTAL(109,A12)=A12,"    Revenue","    Total Revenue")</f>
        <v xml:space="preserve">    Revenue</v>
      </c>
      <c r="D12" s="383" t="str">
        <f t="shared" si="0"/>
        <v/>
      </c>
      <c r="E12" s="383" t="str">
        <f t="shared" si="1"/>
        <v/>
      </c>
      <c r="F12" s="383" t="str">
        <f t="shared" si="2"/>
        <v/>
      </c>
      <c r="G12" s="383" t="str">
        <f t="shared" si="3"/>
        <v/>
      </c>
      <c r="H12" s="383" t="str">
        <f t="shared" si="4"/>
        <v/>
      </c>
      <c r="I12" s="383" t="str">
        <f t="shared" si="5"/>
        <v/>
      </c>
      <c r="J12" s="383" t="str">
        <f t="shared" si="6"/>
        <v/>
      </c>
      <c r="K12" s="384" t="str">
        <f t="shared" si="7"/>
        <v/>
      </c>
      <c r="L12" s="383"/>
      <c r="M12" s="383" t="str">
        <f>IF(SUBTOTAL(109,A12)=A12,"",26323000)</f>
        <v/>
      </c>
      <c r="N12" s="383" t="str">
        <f>IF(SUBTOTAL(109,A12)=A12,"",10173400)</f>
        <v/>
      </c>
      <c r="O12" s="383" t="str">
        <f>IF(SUBTOTAL(109,A12)=A12,"",46159000)</f>
        <v/>
      </c>
      <c r="P12" s="383" t="str">
        <f>IF(SUBTOTAL(109,A12)=A12,"",27281000)</f>
        <v/>
      </c>
      <c r="Q12" s="383" t="str">
        <f>IF(SUBTOTAL(109,A12)=A12,"",36140895.7666839)</f>
        <v/>
      </c>
      <c r="R12" s="385" t="str">
        <f>IF(SUBTOTAL(109,A12)=A12,"",59283000)</f>
        <v/>
      </c>
      <c r="S12" s="383" t="str">
        <f>IF(SUBTOTAL(109,A12)=A12,"",51828000)</f>
        <v/>
      </c>
      <c r="T12" s="383" t="str">
        <f>IF(SUBTOTAL(109,A12)=A12,"",100330000)</f>
        <v/>
      </c>
      <c r="U12" s="383" t="str">
        <f>IF(SUBTOTAL(109,A12)=A12,"",69062687.690535)</f>
        <v/>
      </c>
      <c r="V12" s="383" t="str">
        <f>IF(SUBTOTAL(109,A12)=A12,"",47722135.1697329)</f>
        <v/>
      </c>
      <c r="X12" s="391"/>
    </row>
    <row r="13" spans="1:45" outlineLevel="2" x14ac:dyDescent="0.2">
      <c r="A13" s="332">
        <v>1</v>
      </c>
      <c r="C13" s="342" t="str">
        <f>"        Business Revenue"</f>
        <v xml:space="preserve">        Business Revenue</v>
      </c>
      <c r="D13" s="343">
        <f t="shared" si="0"/>
        <v>45310089.480854496</v>
      </c>
      <c r="E13" s="343">
        <f t="shared" si="1"/>
        <v>46775206.2418928</v>
      </c>
      <c r="F13" s="343">
        <f t="shared" si="2"/>
        <v>9688300</v>
      </c>
      <c r="G13" s="343">
        <f t="shared" si="3"/>
        <v>100330000</v>
      </c>
      <c r="H13" s="343">
        <f t="shared" si="4"/>
        <v>29495973.941670999</v>
      </c>
      <c r="I13" s="343">
        <f t="shared" si="5"/>
        <v>57098500</v>
      </c>
      <c r="J13" s="343">
        <f t="shared" si="6"/>
        <v>25584794.355043083</v>
      </c>
      <c r="K13" s="344">
        <f t="shared" si="7"/>
        <v>0.54697341627387275</v>
      </c>
      <c r="L13" s="345"/>
      <c r="M13" s="345">
        <v>24801000</v>
      </c>
      <c r="N13" s="345">
        <v>9688300</v>
      </c>
      <c r="O13" s="345">
        <v>45413000</v>
      </c>
      <c r="P13" s="345">
        <v>27281000</v>
      </c>
      <c r="Q13" s="345">
        <v>36140895.766683996</v>
      </c>
      <c r="R13" s="346">
        <v>59283000</v>
      </c>
      <c r="S13" s="345">
        <v>50545000</v>
      </c>
      <c r="T13" s="345">
        <v>100330000</v>
      </c>
      <c r="U13" s="345">
        <v>69062687.690534994</v>
      </c>
      <c r="V13" s="345">
        <v>45207178.961708993</v>
      </c>
      <c r="X13" s="390"/>
      <c r="Y13" s="388"/>
      <c r="Z13" s="388"/>
      <c r="AA13" s="388"/>
      <c r="AB13" s="388"/>
      <c r="AC13" s="388"/>
      <c r="AD13" s="388"/>
      <c r="AE13" s="388"/>
      <c r="AF13" s="388"/>
      <c r="AG13" s="388"/>
      <c r="AH13" s="388"/>
      <c r="AI13" s="388"/>
      <c r="AJ13" s="388"/>
      <c r="AK13" s="388"/>
      <c r="AL13" s="388"/>
      <c r="AM13" s="388"/>
      <c r="AN13" s="388"/>
      <c r="AO13" s="388"/>
      <c r="AP13" s="388"/>
      <c r="AQ13" s="388"/>
      <c r="AR13" s="388"/>
      <c r="AS13" s="388"/>
    </row>
    <row r="14" spans="1:45" outlineLevel="2" x14ac:dyDescent="0.2">
      <c r="A14" s="332">
        <v>1</v>
      </c>
      <c r="C14" s="342" t="str">
        <f>"        Other Revenue"</f>
        <v xml:space="preserve">        Other Revenue</v>
      </c>
      <c r="D14" s="343">
        <f t="shared" si="0"/>
        <v>1283000</v>
      </c>
      <c r="E14" s="343">
        <f t="shared" si="1"/>
        <v>1310211.2416047999</v>
      </c>
      <c r="F14" s="343">
        <f t="shared" si="2"/>
        <v>485100</v>
      </c>
      <c r="G14" s="343">
        <f t="shared" si="3"/>
        <v>2514956.2080239998</v>
      </c>
      <c r="H14" s="343">
        <f t="shared" si="4"/>
        <v>746000</v>
      </c>
      <c r="I14" s="343">
        <f t="shared" si="5"/>
        <v>1522000</v>
      </c>
      <c r="J14" s="343">
        <f t="shared" si="6"/>
        <v>789960.16515715828</v>
      </c>
      <c r="K14" s="344">
        <f t="shared" si="7"/>
        <v>0.60292580316253663</v>
      </c>
      <c r="L14" s="345"/>
      <c r="M14" s="345">
        <v>1522000</v>
      </c>
      <c r="N14" s="345">
        <v>485100</v>
      </c>
      <c r="O14" s="345">
        <v>746000</v>
      </c>
      <c r="P14" s="345" t="s">
        <v>679</v>
      </c>
      <c r="Q14" s="345" t="s">
        <v>679</v>
      </c>
      <c r="R14" s="346" t="s">
        <v>679</v>
      </c>
      <c r="S14" s="345">
        <v>1283000</v>
      </c>
      <c r="T14" s="345" t="s">
        <v>679</v>
      </c>
      <c r="U14" s="345" t="s">
        <v>679</v>
      </c>
      <c r="V14" s="345">
        <v>2514956.2080239998</v>
      </c>
      <c r="X14" s="390"/>
      <c r="Y14" s="388"/>
      <c r="Z14" s="388"/>
      <c r="AA14" s="388"/>
      <c r="AB14" s="388"/>
      <c r="AC14" s="388"/>
      <c r="AD14" s="388"/>
      <c r="AE14" s="388"/>
      <c r="AF14" s="388"/>
      <c r="AG14" s="388"/>
      <c r="AH14" s="388"/>
      <c r="AI14" s="388"/>
      <c r="AJ14" s="388"/>
      <c r="AK14" s="388"/>
      <c r="AL14" s="388"/>
      <c r="AM14" s="388"/>
      <c r="AN14" s="388"/>
      <c r="AO14" s="388"/>
      <c r="AP14" s="388"/>
      <c r="AQ14" s="388"/>
      <c r="AR14" s="388"/>
      <c r="AS14" s="388"/>
    </row>
    <row r="15" spans="1:45" outlineLevel="2" x14ac:dyDescent="0.2">
      <c r="A15" s="332">
        <v>1</v>
      </c>
      <c r="C15" s="386" t="str">
        <f>"        Total Revenue"</f>
        <v xml:space="preserve">        Total Revenue</v>
      </c>
      <c r="D15" s="379">
        <f t="shared" si="0"/>
        <v>46940567.584866494</v>
      </c>
      <c r="E15" s="379">
        <f t="shared" si="1"/>
        <v>47430311.862695202</v>
      </c>
      <c r="F15" s="379">
        <f t="shared" si="2"/>
        <v>10173400</v>
      </c>
      <c r="G15" s="379">
        <f t="shared" si="3"/>
        <v>100330000</v>
      </c>
      <c r="H15" s="379">
        <f t="shared" si="4"/>
        <v>29495973.941670999</v>
      </c>
      <c r="I15" s="379">
        <f t="shared" si="5"/>
        <v>57419250</v>
      </c>
      <c r="J15" s="379">
        <f t="shared" si="6"/>
        <v>25374759.420100272</v>
      </c>
      <c r="K15" s="380">
        <f t="shared" si="7"/>
        <v>0.53499035582049337</v>
      </c>
      <c r="L15" s="387"/>
      <c r="M15" s="387">
        <v>26323000</v>
      </c>
      <c r="N15" s="387">
        <v>10173400</v>
      </c>
      <c r="O15" s="387">
        <v>46159000</v>
      </c>
      <c r="P15" s="387">
        <v>27281000</v>
      </c>
      <c r="Q15" s="387">
        <v>36140895.766683996</v>
      </c>
      <c r="R15" s="387">
        <v>59283000</v>
      </c>
      <c r="S15" s="387">
        <v>51828000</v>
      </c>
      <c r="T15" s="387">
        <v>100330000</v>
      </c>
      <c r="U15" s="387">
        <v>69062687.690534994</v>
      </c>
      <c r="V15" s="387">
        <v>47722135.169732995</v>
      </c>
      <c r="X15" s="390"/>
      <c r="Y15" s="388"/>
      <c r="Z15" s="388"/>
      <c r="AA15" s="388"/>
      <c r="AB15" s="388"/>
      <c r="AC15" s="388"/>
      <c r="AD15" s="388"/>
      <c r="AE15" s="388"/>
      <c r="AF15" s="388"/>
      <c r="AG15" s="388"/>
      <c r="AH15" s="388"/>
      <c r="AI15" s="388"/>
      <c r="AJ15" s="388"/>
      <c r="AK15" s="388"/>
      <c r="AL15" s="388"/>
      <c r="AM15" s="388"/>
      <c r="AN15" s="388"/>
      <c r="AO15" s="388"/>
      <c r="AP15" s="388"/>
      <c r="AQ15" s="388"/>
      <c r="AR15" s="388"/>
      <c r="AS15" s="388"/>
    </row>
    <row r="16" spans="1:45" outlineLevel="1" x14ac:dyDescent="0.2">
      <c r="A16" s="332">
        <v>1</v>
      </c>
      <c r="C16" s="342" t="str">
        <f>IF(SUBTOTAL(109,A16)=A16,"    Cost of Revenue","    Cost of Revenue")</f>
        <v xml:space="preserve">    Cost of Revenue</v>
      </c>
      <c r="D16" s="343" t="str">
        <f t="shared" si="0"/>
        <v/>
      </c>
      <c r="E16" s="343" t="str">
        <f t="shared" si="1"/>
        <v/>
      </c>
      <c r="F16" s="343" t="str">
        <f t="shared" si="2"/>
        <v/>
      </c>
      <c r="G16" s="343" t="str">
        <f t="shared" si="3"/>
        <v/>
      </c>
      <c r="H16" s="343" t="str">
        <f t="shared" si="4"/>
        <v/>
      </c>
      <c r="I16" s="343" t="str">
        <f t="shared" si="5"/>
        <v/>
      </c>
      <c r="J16" s="343" t="str">
        <f t="shared" si="6"/>
        <v/>
      </c>
      <c r="K16" s="344" t="str">
        <f t="shared" si="7"/>
        <v/>
      </c>
      <c r="L16" s="345"/>
      <c r="M16" s="345" t="str">
        <f>IF(SUBTOTAL(109,A16)=A16,"",6406000)</f>
        <v/>
      </c>
      <c r="N16" s="345" t="str">
        <f>IF(SUBTOTAL(109,A16)=A16,"",2278300)</f>
        <v/>
      </c>
      <c r="O16" s="345" t="str">
        <f>IF(SUBTOTAL(109,A16)=A16,"",10137000)</f>
        <v/>
      </c>
      <c r="P16" s="345" t="str">
        <f>IF(SUBTOTAL(109,A16)=A16,"",5657000)</f>
        <v/>
      </c>
      <c r="Q16" s="345" t="str">
        <f>IF(SUBTOTAL(109,A16)=A16,"",11775000.619114)</f>
        <v/>
      </c>
      <c r="R16" s="346" t="str">
        <f>IF(SUBTOTAL(109,A16)=A16,"",17411000)</f>
        <v/>
      </c>
      <c r="S16" s="345" t="str">
        <f>IF(SUBTOTAL(109,A16)=A16,"",15486000)</f>
        <v/>
      </c>
      <c r="T16" s="345" t="str">
        <f>IF(SUBTOTAL(109,A16)=A16,"",34344000)</f>
        <v/>
      </c>
      <c r="U16" s="345" t="str">
        <f>IF(SUBTOTAL(109,A16)=A16,"",22142366.7630899)</f>
        <v/>
      </c>
      <c r="V16" s="345" t="str">
        <f>IF(SUBTOTAL(109,A16)=A16,"",14398965.413415)</f>
        <v/>
      </c>
      <c r="X16" s="390"/>
      <c r="Y16" s="388"/>
      <c r="Z16" s="388"/>
      <c r="AA16" s="388"/>
      <c r="AB16" s="388"/>
      <c r="AC16" s="388"/>
      <c r="AD16" s="388"/>
      <c r="AE16" s="388"/>
      <c r="AF16" s="388"/>
      <c r="AG16" s="388"/>
      <c r="AH16" s="388"/>
      <c r="AI16" s="388"/>
      <c r="AJ16" s="388"/>
      <c r="AK16" s="388"/>
      <c r="AL16" s="388"/>
      <c r="AM16" s="388"/>
      <c r="AN16" s="388"/>
      <c r="AO16" s="388"/>
      <c r="AP16" s="388"/>
      <c r="AQ16" s="388"/>
      <c r="AR16" s="388"/>
      <c r="AS16" s="388"/>
    </row>
    <row r="17" spans="1:45" outlineLevel="2" x14ac:dyDescent="0.2">
      <c r="A17" s="332">
        <v>1</v>
      </c>
      <c r="C17" s="342" t="str">
        <f>"        Cost of Goods and Services"</f>
        <v xml:space="preserve">        Cost of Goods and Services</v>
      </c>
      <c r="D17" s="343">
        <f t="shared" si="0"/>
        <v>13086983.0162645</v>
      </c>
      <c r="E17" s="343">
        <f t="shared" si="1"/>
        <v>14003563.279561901</v>
      </c>
      <c r="F17" s="343">
        <f t="shared" si="2"/>
        <v>2278300</v>
      </c>
      <c r="G17" s="343">
        <f t="shared" si="3"/>
        <v>34344000</v>
      </c>
      <c r="H17" s="343">
        <f t="shared" si="4"/>
        <v>7338750</v>
      </c>
      <c r="I17" s="343">
        <f t="shared" si="5"/>
        <v>16929750</v>
      </c>
      <c r="J17" s="343">
        <f t="shared" si="6"/>
        <v>9301880.1150394939</v>
      </c>
      <c r="K17" s="344">
        <f t="shared" si="7"/>
        <v>0.66425094308785826</v>
      </c>
      <c r="L17" s="345"/>
      <c r="M17" s="345">
        <v>6406000</v>
      </c>
      <c r="N17" s="345">
        <v>2278300</v>
      </c>
      <c r="O17" s="345">
        <v>10137000</v>
      </c>
      <c r="P17" s="345">
        <v>5657000</v>
      </c>
      <c r="Q17" s="345">
        <v>11775000.619114</v>
      </c>
      <c r="R17" s="346">
        <v>17411000</v>
      </c>
      <c r="S17" s="345">
        <v>15486000</v>
      </c>
      <c r="T17" s="345">
        <v>34344000</v>
      </c>
      <c r="U17" s="345">
        <v>22142366.763089996</v>
      </c>
      <c r="V17" s="345">
        <v>14398965.413415</v>
      </c>
      <c r="X17" s="390"/>
      <c r="Y17" s="388"/>
      <c r="Z17" s="388"/>
      <c r="AA17" s="388"/>
      <c r="AB17" s="388"/>
      <c r="AC17" s="388"/>
      <c r="AD17" s="388"/>
      <c r="AE17" s="388"/>
      <c r="AF17" s="388"/>
      <c r="AG17" s="388"/>
      <c r="AH17" s="388"/>
      <c r="AI17" s="388"/>
      <c r="AJ17" s="388"/>
      <c r="AK17" s="388"/>
      <c r="AL17" s="388"/>
      <c r="AM17" s="388"/>
      <c r="AN17" s="388"/>
      <c r="AO17" s="388"/>
      <c r="AP17" s="388"/>
      <c r="AQ17" s="388"/>
      <c r="AR17" s="388"/>
      <c r="AS17" s="388"/>
    </row>
    <row r="18" spans="1:45" outlineLevel="2" x14ac:dyDescent="0.2">
      <c r="A18" s="332">
        <v>1</v>
      </c>
      <c r="C18" s="347" t="str">
        <f>"        Total Cost of Revenue"</f>
        <v xml:space="preserve">        Total Cost of Revenue</v>
      </c>
      <c r="D18" s="348">
        <f t="shared" si="0"/>
        <v>13086983.0162645</v>
      </c>
      <c r="E18" s="348">
        <f t="shared" si="1"/>
        <v>14003563.279561901</v>
      </c>
      <c r="F18" s="348">
        <f t="shared" si="2"/>
        <v>2278300</v>
      </c>
      <c r="G18" s="348">
        <f t="shared" si="3"/>
        <v>34344000</v>
      </c>
      <c r="H18" s="348">
        <f t="shared" si="4"/>
        <v>7338750</v>
      </c>
      <c r="I18" s="348">
        <f t="shared" si="5"/>
        <v>16929750</v>
      </c>
      <c r="J18" s="348">
        <f t="shared" si="6"/>
        <v>9301880.1150394939</v>
      </c>
      <c r="K18" s="349">
        <f t="shared" si="7"/>
        <v>0.66425094308785826</v>
      </c>
      <c r="L18" s="350"/>
      <c r="M18" s="350">
        <v>6406000</v>
      </c>
      <c r="N18" s="350">
        <v>2278300</v>
      </c>
      <c r="O18" s="350">
        <v>10137000</v>
      </c>
      <c r="P18" s="350">
        <v>5657000</v>
      </c>
      <c r="Q18" s="350">
        <v>11775000.619114</v>
      </c>
      <c r="R18" s="351">
        <v>17411000</v>
      </c>
      <c r="S18" s="350">
        <v>15486000</v>
      </c>
      <c r="T18" s="350">
        <v>34344000</v>
      </c>
      <c r="U18" s="350">
        <v>22142366.763089996</v>
      </c>
      <c r="V18" s="350">
        <v>14398965.413415</v>
      </c>
      <c r="X18" s="390"/>
      <c r="Y18" s="388"/>
      <c r="Z18" s="388"/>
      <c r="AA18" s="388"/>
      <c r="AB18" s="388"/>
      <c r="AC18" s="388"/>
      <c r="AD18" s="388"/>
      <c r="AE18" s="388"/>
      <c r="AF18" s="388"/>
      <c r="AG18" s="388"/>
      <c r="AH18" s="388"/>
      <c r="AI18" s="388"/>
      <c r="AJ18" s="388"/>
      <c r="AK18" s="388"/>
      <c r="AL18" s="388"/>
      <c r="AM18" s="388"/>
      <c r="AN18" s="388"/>
      <c r="AO18" s="388"/>
      <c r="AP18" s="388"/>
      <c r="AQ18" s="388"/>
      <c r="AR18" s="388"/>
      <c r="AS18" s="388"/>
    </row>
    <row r="19" spans="1:45" outlineLevel="1" x14ac:dyDescent="0.2">
      <c r="A19" s="332">
        <v>1</v>
      </c>
      <c r="C19" s="335" t="str">
        <f>"    Total Gross Profit"</f>
        <v xml:space="preserve">    Total Gross Profit</v>
      </c>
      <c r="D19" s="348">
        <f t="shared" si="0"/>
        <v>34672584.878159001</v>
      </c>
      <c r="E19" s="348">
        <f t="shared" si="1"/>
        <v>33426748.583133299</v>
      </c>
      <c r="F19" s="348">
        <f t="shared" si="2"/>
        <v>7895100</v>
      </c>
      <c r="G19" s="348">
        <f t="shared" si="3"/>
        <v>65986000</v>
      </c>
      <c r="H19" s="348">
        <f t="shared" si="4"/>
        <v>22309473.7868925</v>
      </c>
      <c r="I19" s="348">
        <f t="shared" si="5"/>
        <v>40489500</v>
      </c>
      <c r="J19" s="348">
        <f t="shared" si="6"/>
        <v>16277218.891223244</v>
      </c>
      <c r="K19" s="349">
        <f t="shared" si="7"/>
        <v>0.48695190472209182</v>
      </c>
      <c r="L19" s="348"/>
      <c r="M19" s="348">
        <v>19917000</v>
      </c>
      <c r="N19" s="348">
        <v>7895100</v>
      </c>
      <c r="O19" s="348">
        <v>36022000</v>
      </c>
      <c r="P19" s="348">
        <v>21624000</v>
      </c>
      <c r="Q19" s="348">
        <v>24365895.147569999</v>
      </c>
      <c r="R19" s="352">
        <v>41872000</v>
      </c>
      <c r="S19" s="348">
        <v>36342000</v>
      </c>
      <c r="T19" s="348">
        <v>65986000</v>
      </c>
      <c r="U19" s="348">
        <v>46920320.927444994</v>
      </c>
      <c r="V19" s="348">
        <v>33323169.756317995</v>
      </c>
      <c r="X19" s="390"/>
      <c r="Y19" s="388"/>
      <c r="Z19" s="388"/>
      <c r="AA19" s="388"/>
      <c r="AB19" s="388"/>
      <c r="AC19" s="388"/>
      <c r="AD19" s="388"/>
      <c r="AE19" s="388"/>
      <c r="AF19" s="388"/>
      <c r="AG19" s="388"/>
      <c r="AH19" s="388"/>
      <c r="AI19" s="388"/>
      <c r="AJ19" s="388"/>
      <c r="AK19" s="388"/>
      <c r="AL19" s="388"/>
      <c r="AM19" s="388"/>
      <c r="AN19" s="388"/>
      <c r="AO19" s="388"/>
      <c r="AP19" s="388"/>
      <c r="AQ19" s="388"/>
      <c r="AR19" s="388"/>
      <c r="AS19" s="388"/>
    </row>
    <row r="20" spans="1:45" x14ac:dyDescent="0.2">
      <c r="A20" s="332">
        <v>1</v>
      </c>
      <c r="C20" s="335" t="str">
        <f>IF(SUBTOTAL(109,A20)=A20,"Operating (Income)/Expenses","Operating (Income)/Expenses")</f>
        <v>Operating (Income)/Expenses</v>
      </c>
      <c r="D20" s="339" t="str">
        <f t="shared" si="0"/>
        <v/>
      </c>
      <c r="E20" s="339" t="str">
        <f t="shared" si="1"/>
        <v/>
      </c>
      <c r="F20" s="339" t="str">
        <f t="shared" si="2"/>
        <v/>
      </c>
      <c r="G20" s="339" t="str">
        <f t="shared" si="3"/>
        <v/>
      </c>
      <c r="H20" s="339" t="str">
        <f t="shared" si="4"/>
        <v/>
      </c>
      <c r="I20" s="339" t="str">
        <f t="shared" si="5"/>
        <v/>
      </c>
      <c r="J20" s="339" t="str">
        <f t="shared" si="6"/>
        <v/>
      </c>
      <c r="K20" s="340" t="str">
        <f t="shared" si="7"/>
        <v/>
      </c>
      <c r="L20" s="339"/>
      <c r="M20" s="339" t="str">
        <f>IF(SUBTOTAL(109,A20)=A20,"",10351000)</f>
        <v/>
      </c>
      <c r="N20" s="339" t="str">
        <f>IF(SUBTOTAL(109,A20)=A20,"",4993200)</f>
        <v/>
      </c>
      <c r="O20" s="339" t="str">
        <f>IF(SUBTOTAL(109,A20)=A20,"",26918000)</f>
        <v/>
      </c>
      <c r="P20" s="339" t="str">
        <f>IF(SUBTOTAL(109,A20)=A20,"",10650000)</f>
        <v/>
      </c>
      <c r="Q20" s="339" t="str">
        <f>IF(SUBTOTAL(109,A20)=A20,"",16072617.026781)</f>
        <v/>
      </c>
      <c r="R20" s="341" t="str">
        <f>IF(SUBTOTAL(109,A20)=A20,"",23590000)</f>
        <v/>
      </c>
      <c r="S20" s="339" t="str">
        <f>IF(SUBTOTAL(109,A20)=A20,"",27145000)</f>
        <v/>
      </c>
      <c r="T20" s="339" t="str">
        <f>IF(SUBTOTAL(109,A20)=A20,"",28714000)</f>
        <v/>
      </c>
      <c r="U20" s="339" t="str">
        <f>IF(SUBTOTAL(109,A20)=A20,"",25868874.9568199)</f>
        <v/>
      </c>
      <c r="V20" s="339" t="str">
        <f>IF(SUBTOTAL(109,A20)=A20,"",20831449.5608609)</f>
        <v/>
      </c>
      <c r="X20" s="390"/>
      <c r="Y20" s="388"/>
      <c r="Z20" s="388"/>
      <c r="AA20" s="388"/>
      <c r="AB20" s="388"/>
      <c r="AC20" s="388"/>
      <c r="AD20" s="388"/>
      <c r="AE20" s="388"/>
      <c r="AF20" s="388"/>
      <c r="AG20" s="388"/>
      <c r="AH20" s="388"/>
      <c r="AI20" s="388"/>
      <c r="AJ20" s="388"/>
      <c r="AK20" s="388"/>
      <c r="AL20" s="388"/>
      <c r="AM20" s="388"/>
      <c r="AN20" s="388"/>
      <c r="AO20" s="388"/>
      <c r="AP20" s="388"/>
      <c r="AQ20" s="388"/>
      <c r="AR20" s="388"/>
      <c r="AS20" s="388"/>
    </row>
    <row r="21" spans="1:45" outlineLevel="1" x14ac:dyDescent="0.2">
      <c r="A21" s="332">
        <v>1</v>
      </c>
      <c r="C21" s="342" t="str">
        <f>IF(SUBTOTAL(109,A21)=A21,"    Selling, General and Administrative Expenses","    Selling, General and Administrative Expenses")</f>
        <v xml:space="preserve">    Selling, General and Administrative Expenses</v>
      </c>
      <c r="D21" s="343" t="str">
        <f t="shared" si="0"/>
        <v/>
      </c>
      <c r="E21" s="343" t="str">
        <f t="shared" si="1"/>
        <v/>
      </c>
      <c r="F21" s="343" t="str">
        <f t="shared" si="2"/>
        <v/>
      </c>
      <c r="G21" s="343" t="str">
        <f t="shared" si="3"/>
        <v/>
      </c>
      <c r="H21" s="343" t="str">
        <f t="shared" si="4"/>
        <v/>
      </c>
      <c r="I21" s="343" t="str">
        <f t="shared" si="5"/>
        <v/>
      </c>
      <c r="J21" s="343" t="str">
        <f t="shared" si="6"/>
        <v/>
      </c>
      <c r="K21" s="344" t="str">
        <f t="shared" si="7"/>
        <v/>
      </c>
      <c r="L21" s="345"/>
      <c r="M21" s="345" t="str">
        <f>IF(SUBTOTAL(109,A21)=A21,"",5414000)</f>
        <v/>
      </c>
      <c r="N21" s="345" t="str">
        <f>IF(SUBTOTAL(109,A21)=A21,"",2403600)</f>
        <v/>
      </c>
      <c r="O21" s="345" t="str">
        <f>IF(SUBTOTAL(109,A21)=A21,"",7814000)</f>
        <v/>
      </c>
      <c r="P21" s="345" t="str">
        <f>IF(SUBTOTAL(109,A21)=A21,"",5673000)</f>
        <v/>
      </c>
      <c r="Q21" s="345" t="str">
        <f>IF(SUBTOTAL(109,A21)=A21,"",10318223.276452)</f>
        <v/>
      </c>
      <c r="R21" s="346" t="str">
        <f>IF(SUBTOTAL(109,A21)=A21,"",10042000)</f>
        <v/>
      </c>
      <c r="S21" s="345" t="str">
        <f>IF(SUBTOTAL(109,A21)=A21,"",14253000)</f>
        <v/>
      </c>
      <c r="T21" s="345" t="str">
        <f>IF(SUBTOTAL(109,A21)=A21,"",13677000)</f>
        <v/>
      </c>
      <c r="U21" s="345" t="str">
        <f>IF(SUBTOTAL(109,A21)=A21,"",14052175.3994999)</f>
        <v/>
      </c>
      <c r="V21" s="345" t="str">
        <f>IF(SUBTOTAL(109,A21)=A21,"",11031321.2937239)</f>
        <v/>
      </c>
      <c r="X21" s="390"/>
      <c r="Y21" s="388"/>
      <c r="Z21" s="388"/>
      <c r="AA21" s="388"/>
      <c r="AB21" s="388"/>
      <c r="AC21" s="388"/>
      <c r="AD21" s="388"/>
      <c r="AE21" s="388"/>
      <c r="AF21" s="388"/>
      <c r="AG21" s="388"/>
      <c r="AH21" s="388"/>
      <c r="AI21" s="388"/>
      <c r="AJ21" s="388"/>
      <c r="AK21" s="388"/>
      <c r="AL21" s="388"/>
      <c r="AM21" s="388"/>
      <c r="AN21" s="388"/>
      <c r="AO21" s="388"/>
      <c r="AP21" s="388"/>
      <c r="AQ21" s="388"/>
      <c r="AR21" s="388"/>
      <c r="AS21" s="388"/>
    </row>
    <row r="22" spans="1:45" outlineLevel="2" x14ac:dyDescent="0.2">
      <c r="A22" s="332">
        <v>1</v>
      </c>
      <c r="C22" s="342" t="str">
        <f>"        Staff Costs"</f>
        <v xml:space="preserve">        Staff Costs</v>
      </c>
      <c r="D22" s="343" t="str">
        <f t="shared" si="0"/>
        <v/>
      </c>
      <c r="E22" s="343" t="str">
        <f t="shared" si="1"/>
        <v/>
      </c>
      <c r="F22" s="343" t="str">
        <f t="shared" si="2"/>
        <v/>
      </c>
      <c r="G22" s="343" t="str">
        <f t="shared" si="3"/>
        <v/>
      </c>
      <c r="H22" s="343" t="str">
        <f t="shared" si="4"/>
        <v/>
      </c>
      <c r="I22" s="343" t="str">
        <f t="shared" si="5"/>
        <v/>
      </c>
      <c r="J22" s="343" t="str">
        <f t="shared" si="6"/>
        <v/>
      </c>
      <c r="K22" s="344" t="str">
        <f t="shared" si="7"/>
        <v/>
      </c>
      <c r="L22" s="345"/>
      <c r="M22" s="345" t="s">
        <v>679</v>
      </c>
      <c r="N22" s="345" t="s">
        <v>679</v>
      </c>
      <c r="O22" s="345" t="s">
        <v>679</v>
      </c>
      <c r="P22" s="345" t="s">
        <v>679</v>
      </c>
      <c r="Q22" s="345" t="s">
        <v>679</v>
      </c>
      <c r="R22" s="346" t="s">
        <v>679</v>
      </c>
      <c r="S22" s="345" t="s">
        <v>679</v>
      </c>
      <c r="T22" s="345" t="s">
        <v>679</v>
      </c>
      <c r="U22" s="345" t="s">
        <v>679</v>
      </c>
      <c r="V22" s="345" t="s">
        <v>679</v>
      </c>
      <c r="X22" s="390"/>
      <c r="Y22" s="388"/>
      <c r="Z22" s="388"/>
      <c r="AA22" s="388"/>
      <c r="AB22" s="388"/>
      <c r="AC22" s="388"/>
      <c r="AD22" s="388"/>
      <c r="AE22" s="388"/>
      <c r="AF22" s="388"/>
      <c r="AG22" s="388"/>
      <c r="AH22" s="388"/>
      <c r="AI22" s="388"/>
      <c r="AJ22" s="388"/>
      <c r="AK22" s="388"/>
      <c r="AL22" s="388"/>
      <c r="AM22" s="388"/>
      <c r="AN22" s="388"/>
      <c r="AO22" s="388"/>
      <c r="AP22" s="388"/>
      <c r="AQ22" s="388"/>
      <c r="AR22" s="388"/>
      <c r="AS22" s="388"/>
    </row>
    <row r="23" spans="1:45" outlineLevel="2" x14ac:dyDescent="0.2">
      <c r="A23" s="332">
        <v>1</v>
      </c>
      <c r="C23" s="342" t="str">
        <f>"        General and Administrative Expenses"</f>
        <v xml:space="preserve">        General and Administrative Expenses</v>
      </c>
      <c r="D23" s="343">
        <f t="shared" si="0"/>
        <v>3415429.5016799998</v>
      </c>
      <c r="E23" s="343">
        <f t="shared" si="1"/>
        <v>3415429.5016799998</v>
      </c>
      <c r="F23" s="343">
        <f t="shared" si="2"/>
        <v>3415429.5016799998</v>
      </c>
      <c r="G23" s="343">
        <f t="shared" si="3"/>
        <v>3415429.5016799998</v>
      </c>
      <c r="H23" s="343">
        <f t="shared" si="4"/>
        <v>3415429.5016799998</v>
      </c>
      <c r="I23" s="343">
        <f t="shared" si="5"/>
        <v>3415429.5016799998</v>
      </c>
      <c r="J23" s="343" t="str">
        <f t="shared" si="6"/>
        <v/>
      </c>
      <c r="K23" s="344" t="str">
        <f t="shared" si="7"/>
        <v/>
      </c>
      <c r="L23" s="345"/>
      <c r="M23" s="345" t="s">
        <v>679</v>
      </c>
      <c r="N23" s="345" t="s">
        <v>679</v>
      </c>
      <c r="O23" s="345" t="s">
        <v>679</v>
      </c>
      <c r="P23" s="345" t="s">
        <v>679</v>
      </c>
      <c r="Q23" s="345" t="s">
        <v>679</v>
      </c>
      <c r="R23" s="346" t="s">
        <v>679</v>
      </c>
      <c r="S23" s="345" t="s">
        <v>679</v>
      </c>
      <c r="T23" s="345" t="s">
        <v>679</v>
      </c>
      <c r="U23" s="345">
        <v>3415429.5016799998</v>
      </c>
      <c r="V23" s="345" t="s">
        <v>679</v>
      </c>
      <c r="X23" s="390"/>
      <c r="Y23" s="388"/>
      <c r="Z23" s="388"/>
      <c r="AA23" s="388"/>
      <c r="AB23" s="388"/>
      <c r="AC23" s="388"/>
      <c r="AD23" s="388"/>
      <c r="AE23" s="388"/>
      <c r="AF23" s="388"/>
      <c r="AG23" s="388"/>
      <c r="AH23" s="388"/>
      <c r="AI23" s="388"/>
      <c r="AJ23" s="388"/>
      <c r="AK23" s="388"/>
      <c r="AL23" s="388"/>
      <c r="AM23" s="388"/>
      <c r="AN23" s="388"/>
      <c r="AO23" s="388"/>
      <c r="AP23" s="388"/>
      <c r="AQ23" s="388"/>
      <c r="AR23" s="388"/>
      <c r="AS23" s="388"/>
    </row>
    <row r="24" spans="1:45" outlineLevel="2" x14ac:dyDescent="0.2">
      <c r="A24" s="332">
        <v>1</v>
      </c>
      <c r="C24" s="342" t="str">
        <f>"        Selling and Marketing Expenses"</f>
        <v xml:space="preserve">        Selling and Marketing Expenses</v>
      </c>
      <c r="D24" s="343">
        <f t="shared" si="0"/>
        <v>9225372.9489099998</v>
      </c>
      <c r="E24" s="343">
        <f t="shared" si="1"/>
        <v>9225372.9489099998</v>
      </c>
      <c r="F24" s="343">
        <f t="shared" si="2"/>
        <v>7814000</v>
      </c>
      <c r="G24" s="343">
        <f t="shared" si="3"/>
        <v>10636745.89782</v>
      </c>
      <c r="H24" s="343">
        <f t="shared" si="4"/>
        <v>8519686.474454999</v>
      </c>
      <c r="I24" s="343">
        <f t="shared" si="5"/>
        <v>9931059.4233650006</v>
      </c>
      <c r="J24" s="343">
        <f t="shared" si="6"/>
        <v>1995982.7659150297</v>
      </c>
      <c r="K24" s="344">
        <f t="shared" si="7"/>
        <v>0.21635794855869322</v>
      </c>
      <c r="L24" s="345"/>
      <c r="M24" s="345" t="s">
        <v>679</v>
      </c>
      <c r="N24" s="345" t="s">
        <v>679</v>
      </c>
      <c r="O24" s="345">
        <v>7814000</v>
      </c>
      <c r="P24" s="345" t="s">
        <v>679</v>
      </c>
      <c r="Q24" s="345" t="s">
        <v>679</v>
      </c>
      <c r="R24" s="346" t="s">
        <v>679</v>
      </c>
      <c r="S24" s="345" t="s">
        <v>679</v>
      </c>
      <c r="T24" s="345" t="s">
        <v>679</v>
      </c>
      <c r="U24" s="345">
        <v>10636745.89782</v>
      </c>
      <c r="V24" s="345" t="s">
        <v>679</v>
      </c>
      <c r="X24" s="390"/>
      <c r="Y24" s="388"/>
      <c r="Z24" s="388"/>
      <c r="AA24" s="388"/>
      <c r="AB24" s="388"/>
      <c r="AC24" s="388"/>
      <c r="AD24" s="388"/>
      <c r="AE24" s="388"/>
      <c r="AF24" s="388"/>
      <c r="AG24" s="388"/>
      <c r="AH24" s="388"/>
      <c r="AI24" s="388"/>
      <c r="AJ24" s="388"/>
      <c r="AK24" s="388"/>
      <c r="AL24" s="388"/>
      <c r="AM24" s="388"/>
      <c r="AN24" s="388"/>
      <c r="AO24" s="388"/>
      <c r="AP24" s="388"/>
      <c r="AQ24" s="388"/>
      <c r="AR24" s="388"/>
      <c r="AS24" s="388"/>
    </row>
    <row r="25" spans="1:45" outlineLevel="2" x14ac:dyDescent="0.2">
      <c r="A25" s="332">
        <v>1</v>
      </c>
      <c r="C25" s="347" t="str">
        <f>"        Total Selling, General and Administrative Expenses"</f>
        <v xml:space="preserve">        Total Selling, General and Administrative Expenses</v>
      </c>
      <c r="D25" s="348">
        <f t="shared" si="0"/>
        <v>10180111.638225999</v>
      </c>
      <c r="E25" s="348">
        <f t="shared" si="1"/>
        <v>9467831.9969676007</v>
      </c>
      <c r="F25" s="348">
        <f t="shared" si="2"/>
        <v>2403600</v>
      </c>
      <c r="G25" s="348">
        <f t="shared" si="3"/>
        <v>14253000</v>
      </c>
      <c r="H25" s="348">
        <f t="shared" si="4"/>
        <v>6208250</v>
      </c>
      <c r="I25" s="348">
        <f t="shared" si="5"/>
        <v>13015580.323431</v>
      </c>
      <c r="J25" s="348">
        <f t="shared" si="6"/>
        <v>4063404.4737874409</v>
      </c>
      <c r="K25" s="349">
        <f t="shared" si="7"/>
        <v>0.42918003562894719</v>
      </c>
      <c r="L25" s="350"/>
      <c r="M25" s="350">
        <v>5414000</v>
      </c>
      <c r="N25" s="350">
        <v>2403600</v>
      </c>
      <c r="O25" s="350">
        <v>7814000</v>
      </c>
      <c r="P25" s="350">
        <v>5673000</v>
      </c>
      <c r="Q25" s="350">
        <v>10318223.276451999</v>
      </c>
      <c r="R25" s="351">
        <v>10042000</v>
      </c>
      <c r="S25" s="350">
        <v>14253000</v>
      </c>
      <c r="T25" s="350">
        <v>13677000</v>
      </c>
      <c r="U25" s="350">
        <v>14052175.399499997</v>
      </c>
      <c r="V25" s="350">
        <v>11031321.293723999</v>
      </c>
      <c r="X25" s="390"/>
      <c r="Y25" s="388"/>
      <c r="Z25" s="388"/>
      <c r="AA25" s="388"/>
      <c r="AB25" s="388"/>
      <c r="AC25" s="388"/>
      <c r="AD25" s="388"/>
      <c r="AE25" s="388"/>
      <c r="AF25" s="388"/>
      <c r="AG25" s="388"/>
      <c r="AH25" s="388"/>
      <c r="AI25" s="388"/>
      <c r="AJ25" s="388"/>
      <c r="AK25" s="388"/>
      <c r="AL25" s="388"/>
      <c r="AM25" s="388"/>
      <c r="AN25" s="388"/>
      <c r="AO25" s="388"/>
      <c r="AP25" s="388"/>
      <c r="AQ25" s="388"/>
      <c r="AR25" s="388"/>
      <c r="AS25" s="388"/>
    </row>
    <row r="26" spans="1:45" outlineLevel="1" x14ac:dyDescent="0.2">
      <c r="A26" s="332">
        <v>1</v>
      </c>
      <c r="C26" s="342" t="str">
        <f>"    Research and Development Expenses"</f>
        <v xml:space="preserve">    Research and Development Expenses</v>
      </c>
      <c r="D26" s="343">
        <f t="shared" si="0"/>
        <v>8279854.5842409991</v>
      </c>
      <c r="E26" s="343">
        <f t="shared" si="1"/>
        <v>8558592.5221549999</v>
      </c>
      <c r="F26" s="343">
        <f t="shared" si="2"/>
        <v>2231100</v>
      </c>
      <c r="G26" s="343">
        <f t="shared" si="3"/>
        <v>15648330.895259999</v>
      </c>
      <c r="H26" s="343">
        <f t="shared" si="4"/>
        <v>5423696.2894519996</v>
      </c>
      <c r="I26" s="343">
        <f t="shared" si="5"/>
        <v>11070000</v>
      </c>
      <c r="J26" s="343">
        <f t="shared" si="6"/>
        <v>4239153.0450495211</v>
      </c>
      <c r="K26" s="344">
        <f t="shared" si="7"/>
        <v>0.49530960074053498</v>
      </c>
      <c r="L26" s="345"/>
      <c r="M26" s="345">
        <v>4434000</v>
      </c>
      <c r="N26" s="345">
        <v>2231100</v>
      </c>
      <c r="O26" s="345">
        <v>9509000</v>
      </c>
      <c r="P26" s="345">
        <v>4977000</v>
      </c>
      <c r="Q26" s="345">
        <v>6763785.1578080002</v>
      </c>
      <c r="R26" s="346">
        <v>13548000</v>
      </c>
      <c r="S26" s="345">
        <v>9996000</v>
      </c>
      <c r="T26" s="345">
        <v>11428000</v>
      </c>
      <c r="U26" s="345">
        <v>15648330.895259999</v>
      </c>
      <c r="V26" s="345">
        <v>7050709.1684819991</v>
      </c>
      <c r="X26" s="390"/>
      <c r="Y26" s="388"/>
      <c r="Z26" s="388"/>
      <c r="AA26" s="388"/>
      <c r="AB26" s="388"/>
      <c r="AC26" s="388"/>
      <c r="AD26" s="388"/>
      <c r="AE26" s="388"/>
      <c r="AF26" s="388"/>
      <c r="AG26" s="388"/>
      <c r="AH26" s="388"/>
      <c r="AI26" s="388"/>
      <c r="AJ26" s="388"/>
      <c r="AK26" s="388"/>
      <c r="AL26" s="388"/>
      <c r="AM26" s="388"/>
      <c r="AN26" s="388"/>
      <c r="AO26" s="388"/>
      <c r="AP26" s="388"/>
      <c r="AQ26" s="388"/>
      <c r="AR26" s="388"/>
      <c r="AS26" s="388"/>
    </row>
    <row r="27" spans="1:45" outlineLevel="1" x14ac:dyDescent="0.2">
      <c r="A27" s="332">
        <v>1</v>
      </c>
      <c r="C27" s="342" t="str">
        <f>IF(SUBTOTAL(109,A27)=A27,"    Depreciation, Amortization and Depletion","    Depreciation, Amortization and Depletion")</f>
        <v xml:space="preserve">    Depreciation, Amortization and Depletion</v>
      </c>
      <c r="D27" s="343" t="str">
        <f t="shared" si="0"/>
        <v/>
      </c>
      <c r="E27" s="343" t="str">
        <f t="shared" si="1"/>
        <v/>
      </c>
      <c r="F27" s="343" t="str">
        <f t="shared" si="2"/>
        <v/>
      </c>
      <c r="G27" s="343" t="str">
        <f t="shared" si="3"/>
        <v/>
      </c>
      <c r="H27" s="343" t="str">
        <f t="shared" si="4"/>
        <v/>
      </c>
      <c r="I27" s="343" t="str">
        <f t="shared" si="5"/>
        <v/>
      </c>
      <c r="J27" s="343" t="str">
        <f t="shared" si="6"/>
        <v/>
      </c>
      <c r="K27" s="344" t="str">
        <f t="shared" si="7"/>
        <v/>
      </c>
      <c r="L27" s="345"/>
      <c r="M27" s="345" t="str">
        <f>IF(SUBTOTAL(109,A27)=A27,"","")</f>
        <v/>
      </c>
      <c r="N27" s="345" t="str">
        <f>IF(SUBTOTAL(109,A27)=A27,"",365900)</f>
        <v/>
      </c>
      <c r="O27" s="345" t="str">
        <f>IF(SUBTOTAL(109,A27)=A27,"",9595000)</f>
        <v/>
      </c>
      <c r="P27" s="345" t="str">
        <f>IF(SUBTOTAL(109,A27)=A27,"","")</f>
        <v/>
      </c>
      <c r="Q27" s="345" t="str">
        <f>IF(SUBTOTAL(109,A27)=A27,"","")</f>
        <v/>
      </c>
      <c r="R27" s="346" t="str">
        <f>IF(SUBTOTAL(109,A27)=A27,"","")</f>
        <v/>
      </c>
      <c r="S27" s="345" t="str">
        <f>IF(SUBTOTAL(109,A27)=A27,"","")</f>
        <v/>
      </c>
      <c r="T27" s="345" t="str">
        <f>IF(SUBTOTAL(109,A27)=A27,"",3609000)</f>
        <v/>
      </c>
      <c r="U27" s="345" t="str">
        <f>IF(SUBTOTAL(109,A27)=A27,"","")</f>
        <v/>
      </c>
      <c r="V27" s="345" t="str">
        <f>IF(SUBTOTAL(109,A27)=A27,"",2158530.55814099)</f>
        <v/>
      </c>
      <c r="X27" s="390"/>
      <c r="Y27" s="388"/>
      <c r="Z27" s="388"/>
      <c r="AA27" s="388"/>
      <c r="AB27" s="388"/>
      <c r="AC27" s="388"/>
      <c r="AD27" s="388"/>
      <c r="AE27" s="388"/>
      <c r="AF27" s="388"/>
      <c r="AG27" s="388"/>
      <c r="AH27" s="388"/>
      <c r="AI27" s="388"/>
      <c r="AJ27" s="388"/>
      <c r="AK27" s="388"/>
      <c r="AL27" s="388"/>
      <c r="AM27" s="388"/>
      <c r="AN27" s="388"/>
      <c r="AO27" s="388"/>
      <c r="AP27" s="388"/>
      <c r="AQ27" s="388"/>
      <c r="AR27" s="388"/>
      <c r="AS27" s="388"/>
    </row>
    <row r="28" spans="1:45" outlineLevel="2" collapsed="1" x14ac:dyDescent="0.2">
      <c r="A28" s="332">
        <v>1</v>
      </c>
      <c r="C28" s="342" t="str">
        <f>IF(SUBTOTAL(109,A28)=A28,"        Depreciation and Amortization","        Depreciation and Amortization")</f>
        <v xml:space="preserve">        Depreciation and Amortization</v>
      </c>
      <c r="D28" s="343" t="str">
        <f t="shared" si="0"/>
        <v/>
      </c>
      <c r="E28" s="343" t="str">
        <f t="shared" si="1"/>
        <v/>
      </c>
      <c r="F28" s="343" t="str">
        <f t="shared" si="2"/>
        <v/>
      </c>
      <c r="G28" s="343" t="str">
        <f t="shared" si="3"/>
        <v/>
      </c>
      <c r="H28" s="343" t="str">
        <f t="shared" si="4"/>
        <v/>
      </c>
      <c r="I28" s="343" t="str">
        <f t="shared" si="5"/>
        <v/>
      </c>
      <c r="J28" s="343" t="str">
        <f t="shared" si="6"/>
        <v/>
      </c>
      <c r="K28" s="344" t="str">
        <f t="shared" si="7"/>
        <v/>
      </c>
      <c r="L28" s="345"/>
      <c r="M28" s="345" t="str">
        <f>IF(SUBTOTAL(109,A28)=A28,"","")</f>
        <v/>
      </c>
      <c r="N28" s="345" t="str">
        <f>IF(SUBTOTAL(109,A28)=A28,"",365900)</f>
        <v/>
      </c>
      <c r="O28" s="345" t="str">
        <f>IF(SUBTOTAL(109,A28)=A28,"",9595000)</f>
        <v/>
      </c>
      <c r="P28" s="345" t="str">
        <f>IF(SUBTOTAL(109,A28)=A28,"","")</f>
        <v/>
      </c>
      <c r="Q28" s="345" t="str">
        <f>IF(SUBTOTAL(109,A28)=A28,"","")</f>
        <v/>
      </c>
      <c r="R28" s="346" t="str">
        <f>IF(SUBTOTAL(109,A28)=A28,"","")</f>
        <v/>
      </c>
      <c r="S28" s="345" t="str">
        <f>IF(SUBTOTAL(109,A28)=A28,"","")</f>
        <v/>
      </c>
      <c r="T28" s="345" t="str">
        <f>IF(SUBTOTAL(109,A28)=A28,"",3609000)</f>
        <v/>
      </c>
      <c r="U28" s="345" t="str">
        <f>IF(SUBTOTAL(109,A28)=A28,"","")</f>
        <v/>
      </c>
      <c r="V28" s="345" t="str">
        <f>IF(SUBTOTAL(109,A28)=A28,"",2158530.55814099)</f>
        <v/>
      </c>
      <c r="X28" s="390"/>
      <c r="Y28" s="388"/>
      <c r="Z28" s="388"/>
      <c r="AA28" s="388"/>
      <c r="AB28" s="388"/>
      <c r="AC28" s="388"/>
      <c r="AD28" s="388"/>
      <c r="AE28" s="388"/>
      <c r="AF28" s="388"/>
      <c r="AG28" s="388"/>
      <c r="AH28" s="388"/>
      <c r="AI28" s="388"/>
      <c r="AJ28" s="388"/>
      <c r="AK28" s="388"/>
      <c r="AL28" s="388"/>
      <c r="AM28" s="388"/>
      <c r="AN28" s="388"/>
      <c r="AO28" s="388"/>
      <c r="AP28" s="388"/>
      <c r="AQ28" s="388"/>
      <c r="AR28" s="388"/>
      <c r="AS28" s="388"/>
    </row>
    <row r="29" spans="1:45" hidden="1" outlineLevel="3" x14ac:dyDescent="0.2">
      <c r="A29" s="332">
        <v>1</v>
      </c>
      <c r="C29" s="342" t="str">
        <f>"            Amortization"</f>
        <v xml:space="preserve">            Amortization</v>
      </c>
      <c r="D29" s="343">
        <f t="shared" si="0"/>
        <v>2883765.2790704998</v>
      </c>
      <c r="E29" s="343">
        <f t="shared" si="1"/>
        <v>3932107.6395352501</v>
      </c>
      <c r="F29" s="343">
        <f t="shared" si="2"/>
        <v>365900</v>
      </c>
      <c r="G29" s="343">
        <f t="shared" si="3"/>
        <v>9595000</v>
      </c>
      <c r="H29" s="343">
        <f t="shared" si="4"/>
        <v>1710372.9186057497</v>
      </c>
      <c r="I29" s="343">
        <f t="shared" si="5"/>
        <v>5105500</v>
      </c>
      <c r="J29" s="343">
        <f t="shared" si="6"/>
        <v>4001506.4257044741</v>
      </c>
      <c r="K29" s="344">
        <f t="shared" si="7"/>
        <v>1.017649259005897</v>
      </c>
      <c r="L29" s="345"/>
      <c r="M29" s="345" t="s">
        <v>679</v>
      </c>
      <c r="N29" s="345">
        <v>365900</v>
      </c>
      <c r="O29" s="345">
        <v>9595000</v>
      </c>
      <c r="P29" s="345" t="s">
        <v>679</v>
      </c>
      <c r="Q29" s="345" t="s">
        <v>679</v>
      </c>
      <c r="R29" s="346" t="s">
        <v>679</v>
      </c>
      <c r="S29" s="345" t="s">
        <v>679</v>
      </c>
      <c r="T29" s="345">
        <v>3609000</v>
      </c>
      <c r="U29" s="345" t="s">
        <v>679</v>
      </c>
      <c r="V29" s="345">
        <v>2158530.5581409996</v>
      </c>
      <c r="X29" s="390"/>
      <c r="Y29" s="388"/>
      <c r="Z29" s="388"/>
      <c r="AA29" s="388"/>
      <c r="AB29" s="388"/>
      <c r="AC29" s="388"/>
      <c r="AD29" s="388"/>
      <c r="AE29" s="388"/>
      <c r="AF29" s="388"/>
      <c r="AG29" s="388"/>
      <c r="AH29" s="388"/>
      <c r="AI29" s="388"/>
      <c r="AJ29" s="388"/>
      <c r="AK29" s="388"/>
      <c r="AL29" s="388"/>
      <c r="AM29" s="388"/>
      <c r="AN29" s="388"/>
      <c r="AO29" s="388"/>
      <c r="AP29" s="388"/>
      <c r="AQ29" s="388"/>
      <c r="AR29" s="388"/>
      <c r="AS29" s="388"/>
    </row>
    <row r="30" spans="1:45" hidden="1" outlineLevel="3" x14ac:dyDescent="0.2">
      <c r="A30" s="332">
        <v>1</v>
      </c>
      <c r="C30" s="347" t="str">
        <f>"            Total Depreciation and Amortization"</f>
        <v xml:space="preserve">            Total Depreciation and Amortization</v>
      </c>
      <c r="D30" s="348">
        <f t="shared" si="0"/>
        <v>2883765.2790704998</v>
      </c>
      <c r="E30" s="348">
        <f t="shared" si="1"/>
        <v>3932107.6395352501</v>
      </c>
      <c r="F30" s="348">
        <f t="shared" si="2"/>
        <v>365900</v>
      </c>
      <c r="G30" s="348">
        <f t="shared" si="3"/>
        <v>9595000</v>
      </c>
      <c r="H30" s="348">
        <f t="shared" si="4"/>
        <v>1710372.9186057497</v>
      </c>
      <c r="I30" s="348">
        <f t="shared" si="5"/>
        <v>5105500</v>
      </c>
      <c r="J30" s="348">
        <f t="shared" si="6"/>
        <v>4001506.4257044741</v>
      </c>
      <c r="K30" s="349">
        <f t="shared" si="7"/>
        <v>1.017649259005897</v>
      </c>
      <c r="L30" s="350"/>
      <c r="M30" s="350" t="s">
        <v>679</v>
      </c>
      <c r="N30" s="350">
        <v>365900</v>
      </c>
      <c r="O30" s="350">
        <v>9595000</v>
      </c>
      <c r="P30" s="350" t="s">
        <v>679</v>
      </c>
      <c r="Q30" s="350" t="s">
        <v>679</v>
      </c>
      <c r="R30" s="351" t="s">
        <v>679</v>
      </c>
      <c r="S30" s="350" t="s">
        <v>679</v>
      </c>
      <c r="T30" s="350">
        <v>3609000</v>
      </c>
      <c r="U30" s="350" t="s">
        <v>679</v>
      </c>
      <c r="V30" s="350">
        <v>2158530.5581409996</v>
      </c>
      <c r="X30" s="390"/>
      <c r="Y30" s="388"/>
      <c r="Z30" s="388"/>
      <c r="AA30" s="388"/>
      <c r="AB30" s="388"/>
      <c r="AC30" s="388"/>
      <c r="AD30" s="388"/>
      <c r="AE30" s="388"/>
      <c r="AF30" s="388"/>
      <c r="AG30" s="388"/>
      <c r="AH30" s="388"/>
      <c r="AI30" s="388"/>
      <c r="AJ30" s="388"/>
      <c r="AK30" s="388"/>
      <c r="AL30" s="388"/>
      <c r="AM30" s="388"/>
      <c r="AN30" s="388"/>
      <c r="AO30" s="388"/>
      <c r="AP30" s="388"/>
      <c r="AQ30" s="388"/>
      <c r="AR30" s="388"/>
      <c r="AS30" s="388"/>
    </row>
    <row r="31" spans="1:45" outlineLevel="2" collapsed="1" x14ac:dyDescent="0.2">
      <c r="A31" s="332">
        <v>1</v>
      </c>
      <c r="C31" s="347" t="str">
        <f>"        Total Depreciation, Amortization and Depletion"</f>
        <v xml:space="preserve">        Total Depreciation, Amortization and Depletion</v>
      </c>
      <c r="D31" s="348">
        <f t="shared" si="0"/>
        <v>2883765.2790704998</v>
      </c>
      <c r="E31" s="348">
        <f t="shared" si="1"/>
        <v>3932107.6395352501</v>
      </c>
      <c r="F31" s="348">
        <f t="shared" si="2"/>
        <v>365900</v>
      </c>
      <c r="G31" s="348">
        <f t="shared" si="3"/>
        <v>9595000</v>
      </c>
      <c r="H31" s="348">
        <f t="shared" si="4"/>
        <v>1710372.9186057497</v>
      </c>
      <c r="I31" s="348">
        <f t="shared" si="5"/>
        <v>5105500</v>
      </c>
      <c r="J31" s="348">
        <f t="shared" si="6"/>
        <v>4001506.4257044741</v>
      </c>
      <c r="K31" s="349">
        <f t="shared" si="7"/>
        <v>1.017649259005897</v>
      </c>
      <c r="L31" s="350"/>
      <c r="M31" s="350" t="s">
        <v>679</v>
      </c>
      <c r="N31" s="350">
        <v>365900</v>
      </c>
      <c r="O31" s="350">
        <v>9595000</v>
      </c>
      <c r="P31" s="350" t="s">
        <v>679</v>
      </c>
      <c r="Q31" s="350" t="s">
        <v>679</v>
      </c>
      <c r="R31" s="351" t="s">
        <v>679</v>
      </c>
      <c r="S31" s="350" t="s">
        <v>679</v>
      </c>
      <c r="T31" s="350">
        <v>3609000</v>
      </c>
      <c r="U31" s="350" t="s">
        <v>679</v>
      </c>
      <c r="V31" s="350">
        <v>2158530.5581409996</v>
      </c>
      <c r="X31" s="390"/>
      <c r="Y31" s="388"/>
      <c r="Z31" s="388"/>
      <c r="AA31" s="388"/>
      <c r="AB31" s="388"/>
      <c r="AC31" s="388"/>
      <c r="AD31" s="388"/>
      <c r="AE31" s="388"/>
      <c r="AF31" s="388"/>
      <c r="AG31" s="388"/>
      <c r="AH31" s="388"/>
      <c r="AI31" s="388"/>
      <c r="AJ31" s="388"/>
      <c r="AK31" s="388"/>
      <c r="AL31" s="388"/>
      <c r="AM31" s="388"/>
      <c r="AN31" s="388"/>
      <c r="AO31" s="388"/>
      <c r="AP31" s="388"/>
      <c r="AQ31" s="388"/>
      <c r="AR31" s="388"/>
      <c r="AS31" s="388"/>
    </row>
    <row r="32" spans="1:45" outlineLevel="1" x14ac:dyDescent="0.2">
      <c r="A32" s="332">
        <v>1</v>
      </c>
      <c r="C32" s="342" t="str">
        <f>IF(SUBTOTAL(109,A32)=A32,"    Other (Income)/Expense, Operating","    Other (Income)/Expense, Operating")</f>
        <v xml:space="preserve">    Other (Income)/Expense, Operating</v>
      </c>
      <c r="D32" s="343" t="str">
        <f t="shared" si="0"/>
        <v/>
      </c>
      <c r="E32" s="343" t="str">
        <f t="shared" si="1"/>
        <v/>
      </c>
      <c r="F32" s="343" t="str">
        <f t="shared" si="2"/>
        <v/>
      </c>
      <c r="G32" s="343" t="str">
        <f t="shared" si="3"/>
        <v/>
      </c>
      <c r="H32" s="343" t="str">
        <f t="shared" si="4"/>
        <v/>
      </c>
      <c r="I32" s="343" t="str">
        <f t="shared" si="5"/>
        <v/>
      </c>
      <c r="J32" s="343" t="str">
        <f t="shared" si="6"/>
        <v/>
      </c>
      <c r="K32" s="344" t="str">
        <f t="shared" si="7"/>
        <v/>
      </c>
      <c r="L32" s="345"/>
      <c r="M32" s="345" t="str">
        <f>IF(SUBTOTAL(109,A32)=A32,"",503000)</f>
        <v/>
      </c>
      <c r="N32" s="345" t="str">
        <f>IF(SUBTOTAL(109,A32)=A32,"",-7400)</f>
        <v/>
      </c>
      <c r="O32" s="345" t="str">
        <f>IF(SUBTOTAL(109,A32)=A32,"","")</f>
        <v/>
      </c>
      <c r="P32" s="345" t="str">
        <f>IF(SUBTOTAL(109,A32)=A32,"","")</f>
        <v/>
      </c>
      <c r="Q32" s="345" t="str">
        <f>IF(SUBTOTAL(109,A32)=A32,"",-1009391.40747899)</f>
        <v/>
      </c>
      <c r="R32" s="346" t="str">
        <f>IF(SUBTOTAL(109,A32)=A32,"","")</f>
        <v/>
      </c>
      <c r="S32" s="345" t="str">
        <f>IF(SUBTOTAL(109,A32)=A32,"",2896000)</f>
        <v/>
      </c>
      <c r="T32" s="345" t="str">
        <f>IF(SUBTOTAL(109,A32)=A32,"","")</f>
        <v/>
      </c>
      <c r="U32" s="345" t="str">
        <f>IF(SUBTOTAL(109,A32)=A32,"",-3831631.33793999)</f>
        <v/>
      </c>
      <c r="V32" s="345" t="str">
        <f>IF(SUBTOTAL(109,A32)=A32,"",590888.540514)</f>
        <v/>
      </c>
      <c r="X32" s="390"/>
      <c r="Y32" s="388"/>
      <c r="Z32" s="388"/>
      <c r="AA32" s="388"/>
      <c r="AB32" s="388"/>
      <c r="AC32" s="388"/>
      <c r="AD32" s="388"/>
      <c r="AE32" s="388"/>
      <c r="AF32" s="388"/>
      <c r="AG32" s="388"/>
      <c r="AH32" s="388"/>
      <c r="AI32" s="388"/>
      <c r="AJ32" s="388"/>
      <c r="AK32" s="388"/>
      <c r="AL32" s="388"/>
      <c r="AM32" s="388"/>
      <c r="AN32" s="388"/>
      <c r="AO32" s="388"/>
      <c r="AP32" s="388"/>
      <c r="AQ32" s="388"/>
      <c r="AR32" s="388"/>
      <c r="AS32" s="388"/>
    </row>
    <row r="33" spans="1:124" outlineLevel="2" x14ac:dyDescent="0.2">
      <c r="A33" s="332">
        <v>1</v>
      </c>
      <c r="C33" s="342" t="str">
        <f>"        Other Income, Operating"</f>
        <v xml:space="preserve">        Other Income, Operating</v>
      </c>
      <c r="D33" s="343">
        <f t="shared" si="0"/>
        <v>-1539802.0527359999</v>
      </c>
      <c r="E33" s="343">
        <f t="shared" si="1"/>
        <v>-1929058.8608529998</v>
      </c>
      <c r="F33" s="343">
        <f t="shared" si="2"/>
        <v>-3831631.3379399995</v>
      </c>
      <c r="G33" s="343">
        <f t="shared" si="3"/>
        <v>-805000</v>
      </c>
      <c r="H33" s="343">
        <f t="shared" si="4"/>
        <v>-2510567.3579797498</v>
      </c>
      <c r="I33" s="343">
        <f t="shared" si="5"/>
        <v>-958293.55560924998</v>
      </c>
      <c r="J33" s="343">
        <f t="shared" si="6"/>
        <v>1384317.2786330297</v>
      </c>
      <c r="K33" s="344">
        <f t="shared" si="7"/>
        <v>-0.71761277311201699</v>
      </c>
      <c r="L33" s="345"/>
      <c r="M33" s="345" t="s">
        <v>679</v>
      </c>
      <c r="N33" s="345" t="s">
        <v>679</v>
      </c>
      <c r="O33" s="345" t="s">
        <v>679</v>
      </c>
      <c r="P33" s="345" t="s">
        <v>679</v>
      </c>
      <c r="Q33" s="345">
        <v>-1009391.4074789999</v>
      </c>
      <c r="R33" s="346" t="s">
        <v>679</v>
      </c>
      <c r="S33" s="345">
        <v>-805000</v>
      </c>
      <c r="T33" s="345" t="s">
        <v>679</v>
      </c>
      <c r="U33" s="345">
        <v>-3831631.3379399995</v>
      </c>
      <c r="V33" s="345">
        <v>-2070212.6979929998</v>
      </c>
      <c r="X33" s="390"/>
      <c r="Y33" s="388"/>
      <c r="Z33" s="388"/>
      <c r="AA33" s="388"/>
      <c r="AB33" s="388"/>
      <c r="AC33" s="388"/>
      <c r="AD33" s="388"/>
      <c r="AE33" s="388"/>
      <c r="AF33" s="388"/>
      <c r="AG33" s="388"/>
      <c r="AH33" s="388"/>
      <c r="AI33" s="388"/>
      <c r="AJ33" s="388"/>
      <c r="AK33" s="388"/>
      <c r="AL33" s="388"/>
      <c r="AM33" s="388"/>
      <c r="AN33" s="388"/>
      <c r="AO33" s="388"/>
      <c r="AP33" s="388"/>
      <c r="AQ33" s="388"/>
      <c r="AR33" s="388"/>
      <c r="AS33" s="388"/>
    </row>
    <row r="34" spans="1:124" outlineLevel="2" x14ac:dyDescent="0.2">
      <c r="A34" s="332">
        <v>1</v>
      </c>
      <c r="C34" s="342" t="str">
        <f>"        Other Expenses, Operating"</f>
        <v xml:space="preserve">        Other Expenses, Operating</v>
      </c>
      <c r="D34" s="343">
        <f t="shared" si="0"/>
        <v>2661101.2385069998</v>
      </c>
      <c r="E34" s="343">
        <f t="shared" si="1"/>
        <v>2288367.0795023334</v>
      </c>
      <c r="F34" s="343">
        <f t="shared" si="2"/>
        <v>503000</v>
      </c>
      <c r="G34" s="343">
        <f t="shared" si="3"/>
        <v>3701000</v>
      </c>
      <c r="H34" s="343">
        <f t="shared" si="4"/>
        <v>1582050.6192534999</v>
      </c>
      <c r="I34" s="343">
        <f t="shared" si="5"/>
        <v>3181050.6192534999</v>
      </c>
      <c r="J34" s="343">
        <f t="shared" si="6"/>
        <v>1631256.8972932149</v>
      </c>
      <c r="K34" s="344">
        <f t="shared" si="7"/>
        <v>0.71284756362076984</v>
      </c>
      <c r="L34" s="345"/>
      <c r="M34" s="345">
        <v>503000</v>
      </c>
      <c r="N34" s="345" t="s">
        <v>679</v>
      </c>
      <c r="O34" s="345" t="s">
        <v>679</v>
      </c>
      <c r="P34" s="345" t="s">
        <v>679</v>
      </c>
      <c r="Q34" s="345" t="s">
        <v>679</v>
      </c>
      <c r="R34" s="346" t="s">
        <v>679</v>
      </c>
      <c r="S34" s="345">
        <v>3701000</v>
      </c>
      <c r="T34" s="345" t="s">
        <v>679</v>
      </c>
      <c r="U34" s="345" t="s">
        <v>679</v>
      </c>
      <c r="V34" s="345">
        <v>2661101.2385069998</v>
      </c>
      <c r="X34" s="390"/>
      <c r="Y34" s="388"/>
      <c r="Z34" s="388"/>
      <c r="AA34" s="388"/>
      <c r="AB34" s="388"/>
      <c r="AC34" s="388"/>
      <c r="AD34" s="388"/>
      <c r="AE34" s="388"/>
      <c r="AF34" s="388"/>
      <c r="AG34" s="388"/>
      <c r="AH34" s="388"/>
      <c r="AI34" s="388"/>
      <c r="AJ34" s="388"/>
      <c r="AK34" s="388"/>
      <c r="AL34" s="388"/>
      <c r="AM34" s="388"/>
      <c r="AN34" s="388"/>
      <c r="AO34" s="388"/>
      <c r="AP34" s="388"/>
      <c r="AQ34" s="388"/>
      <c r="AR34" s="388"/>
      <c r="AS34" s="388"/>
    </row>
    <row r="35" spans="1:124" outlineLevel="2" x14ac:dyDescent="0.2">
      <c r="A35" s="332">
        <v>1</v>
      </c>
      <c r="C35" s="347" t="str">
        <f>"        Total Other (Income)/Expense, Operating"</f>
        <v xml:space="preserve">        Total Other (Income)/Expense, Operating</v>
      </c>
      <c r="D35" s="348">
        <f t="shared" si="0"/>
        <v>247800</v>
      </c>
      <c r="E35" s="348">
        <f t="shared" si="1"/>
        <v>-143089.03415083323</v>
      </c>
      <c r="F35" s="348">
        <f t="shared" si="2"/>
        <v>-3831631.3379399995</v>
      </c>
      <c r="G35" s="348">
        <f t="shared" si="3"/>
        <v>2896000</v>
      </c>
      <c r="H35" s="348">
        <f t="shared" si="4"/>
        <v>-758893.55560924998</v>
      </c>
      <c r="I35" s="348">
        <f t="shared" si="5"/>
        <v>568916.40538550005</v>
      </c>
      <c r="J35" s="348">
        <f t="shared" si="6"/>
        <v>2216594.3210484758</v>
      </c>
      <c r="K35" s="349">
        <f t="shared" si="7"/>
        <v>-15.49101462738169</v>
      </c>
      <c r="L35" s="350"/>
      <c r="M35" s="350">
        <v>503000</v>
      </c>
      <c r="N35" s="350">
        <v>-7400</v>
      </c>
      <c r="O35" s="350" t="s">
        <v>679</v>
      </c>
      <c r="P35" s="350" t="s">
        <v>679</v>
      </c>
      <c r="Q35" s="350">
        <v>-1009391.4074789999</v>
      </c>
      <c r="R35" s="351" t="s">
        <v>679</v>
      </c>
      <c r="S35" s="350">
        <v>2896000</v>
      </c>
      <c r="T35" s="350" t="s">
        <v>679</v>
      </c>
      <c r="U35" s="350">
        <v>-3831631.3379399995</v>
      </c>
      <c r="V35" s="350">
        <v>590888.54051399999</v>
      </c>
      <c r="X35" s="390"/>
      <c r="Y35" s="388"/>
      <c r="Z35" s="388"/>
      <c r="AA35" s="388"/>
      <c r="AB35" s="388"/>
      <c r="AC35" s="388"/>
      <c r="AD35" s="388"/>
      <c r="AE35" s="388"/>
      <c r="AF35" s="388"/>
      <c r="AG35" s="388"/>
      <c r="AH35" s="388"/>
      <c r="AI35" s="388"/>
      <c r="AJ35" s="388"/>
      <c r="AK35" s="388"/>
      <c r="AL35" s="388"/>
      <c r="AM35" s="388"/>
      <c r="AN35" s="388"/>
      <c r="AO35" s="388"/>
      <c r="AP35" s="388"/>
      <c r="AQ35" s="388"/>
      <c r="AR35" s="388"/>
      <c r="AS35" s="388"/>
    </row>
    <row r="36" spans="1:124" s="373" customFormat="1" outlineLevel="1" x14ac:dyDescent="0.2">
      <c r="A36" s="372">
        <v>1</v>
      </c>
      <c r="C36" s="378" t="str">
        <f>"    Total Operating (Income)/Expenses"</f>
        <v xml:space="preserve">    Total Operating (Income)/Expenses</v>
      </c>
      <c r="D36" s="379">
        <f t="shared" si="0"/>
        <v>22210724.780430496</v>
      </c>
      <c r="E36" s="379">
        <f t="shared" si="1"/>
        <v>19513414.154446196</v>
      </c>
      <c r="F36" s="379">
        <f t="shared" si="2"/>
        <v>4993200</v>
      </c>
      <c r="G36" s="379">
        <f t="shared" si="3"/>
        <v>28714000</v>
      </c>
      <c r="H36" s="379">
        <f t="shared" si="4"/>
        <v>12005654.25669525</v>
      </c>
      <c r="I36" s="379">
        <f t="shared" si="5"/>
        <v>26655718.739204999</v>
      </c>
      <c r="J36" s="379">
        <f t="shared" si="6"/>
        <v>8443623.9786693677</v>
      </c>
      <c r="K36" s="380">
        <f t="shared" si="7"/>
        <v>0.43270869525133615</v>
      </c>
      <c r="L36" s="379"/>
      <c r="M36" s="379">
        <v>10351000</v>
      </c>
      <c r="N36" s="379">
        <v>4993200</v>
      </c>
      <c r="O36" s="379">
        <v>26918000</v>
      </c>
      <c r="P36" s="379">
        <v>10650000</v>
      </c>
      <c r="Q36" s="379">
        <v>16072617.026781</v>
      </c>
      <c r="R36" s="379">
        <v>23590000</v>
      </c>
      <c r="S36" s="379">
        <v>27145000</v>
      </c>
      <c r="T36" s="379">
        <v>28714000</v>
      </c>
      <c r="U36" s="379">
        <v>25868874.956819996</v>
      </c>
      <c r="V36" s="379">
        <v>20831449.560860995</v>
      </c>
      <c r="X36" s="390"/>
      <c r="Y36" s="388"/>
      <c r="Z36" s="388"/>
      <c r="AA36" s="388"/>
      <c r="AB36" s="388"/>
      <c r="AC36" s="388"/>
      <c r="AD36" s="388"/>
      <c r="AE36" s="388"/>
      <c r="AF36" s="388"/>
      <c r="AG36" s="388"/>
      <c r="AH36" s="388"/>
      <c r="AI36" s="388"/>
      <c r="AJ36" s="388"/>
      <c r="AK36" s="388"/>
      <c r="AL36" s="388"/>
      <c r="AM36" s="388"/>
      <c r="AN36" s="388"/>
      <c r="AO36" s="388"/>
      <c r="AP36" s="388"/>
      <c r="AQ36" s="388"/>
      <c r="AR36" s="388"/>
      <c r="AS36" s="388"/>
      <c r="AT36" s="389"/>
      <c r="AU36" s="389"/>
      <c r="AV36" s="389"/>
      <c r="AW36" s="389"/>
      <c r="AX36" s="389"/>
      <c r="AY36" s="389"/>
      <c r="AZ36" s="389"/>
      <c r="BA36" s="389"/>
      <c r="BB36" s="389"/>
      <c r="BC36" s="389"/>
      <c r="BD36" s="389"/>
      <c r="BE36" s="389"/>
      <c r="BF36" s="389"/>
      <c r="BG36" s="389"/>
      <c r="BH36" s="389"/>
      <c r="BI36" s="389"/>
      <c r="BJ36" s="389"/>
      <c r="BK36" s="389"/>
      <c r="BL36" s="389"/>
      <c r="BM36" s="389"/>
      <c r="BN36" s="389"/>
      <c r="BO36" s="389"/>
      <c r="BP36" s="389"/>
      <c r="BQ36" s="389"/>
      <c r="BR36" s="389"/>
      <c r="BS36" s="389"/>
      <c r="BT36" s="389"/>
      <c r="BU36" s="389"/>
      <c r="BV36" s="389"/>
      <c r="BW36" s="389"/>
      <c r="BX36" s="389"/>
      <c r="BY36" s="389"/>
      <c r="BZ36" s="389"/>
      <c r="CA36" s="389"/>
      <c r="CB36" s="389"/>
      <c r="CC36" s="389"/>
      <c r="CD36" s="389"/>
      <c r="CE36" s="389"/>
      <c r="CF36" s="389"/>
      <c r="CG36" s="389"/>
      <c r="CH36" s="389"/>
      <c r="CI36" s="389"/>
      <c r="CJ36" s="389"/>
      <c r="CK36" s="389"/>
      <c r="CL36" s="389"/>
      <c r="CM36" s="389"/>
      <c r="CN36" s="389"/>
      <c r="CO36" s="389"/>
      <c r="CP36" s="389"/>
      <c r="CQ36" s="389"/>
      <c r="CR36" s="389"/>
      <c r="CS36" s="389"/>
      <c r="CT36" s="389"/>
      <c r="CU36" s="389"/>
      <c r="CV36" s="389"/>
      <c r="CW36" s="389"/>
      <c r="CX36" s="389"/>
      <c r="CY36" s="389"/>
      <c r="CZ36" s="389"/>
      <c r="DA36" s="389"/>
      <c r="DB36" s="389"/>
      <c r="DC36" s="389"/>
      <c r="DD36" s="389"/>
      <c r="DE36" s="389"/>
      <c r="DF36" s="389"/>
      <c r="DG36" s="389"/>
      <c r="DH36" s="389"/>
      <c r="DI36" s="389"/>
      <c r="DJ36" s="389"/>
      <c r="DK36" s="389"/>
      <c r="DL36" s="389"/>
      <c r="DM36" s="389"/>
      <c r="DN36" s="389"/>
      <c r="DO36" s="389"/>
      <c r="DP36" s="389"/>
      <c r="DQ36" s="389"/>
      <c r="DR36" s="389"/>
      <c r="DS36" s="389"/>
      <c r="DT36" s="389"/>
    </row>
    <row r="37" spans="1:124" x14ac:dyDescent="0.2">
      <c r="A37" s="332">
        <v>1</v>
      </c>
      <c r="C37" s="335" t="str">
        <f>"Total Operating Profit/(Loss)"</f>
        <v>Total Operating Profit/(Loss)</v>
      </c>
      <c r="D37" s="339">
        <f t="shared" si="0"/>
        <v>10270000</v>
      </c>
      <c r="E37" s="339">
        <f t="shared" si="1"/>
        <v>13913334.428687099</v>
      </c>
      <c r="F37" s="339">
        <f t="shared" si="2"/>
        <v>2901900</v>
      </c>
      <c r="G37" s="339">
        <f t="shared" si="3"/>
        <v>37272000</v>
      </c>
      <c r="H37" s="339">
        <f t="shared" si="4"/>
        <v>9127250</v>
      </c>
      <c r="I37" s="339">
        <f t="shared" si="5"/>
        <v>16834430.048864249</v>
      </c>
      <c r="J37" s="339">
        <f t="shared" si="6"/>
        <v>9680652.8260672335</v>
      </c>
      <c r="K37" s="340">
        <f t="shared" si="7"/>
        <v>0.69578237162956824</v>
      </c>
      <c r="L37" s="339"/>
      <c r="M37" s="339">
        <v>9566000</v>
      </c>
      <c r="N37" s="339">
        <v>2901900</v>
      </c>
      <c r="O37" s="339">
        <v>9104000</v>
      </c>
      <c r="P37" s="339">
        <v>10974000</v>
      </c>
      <c r="Q37" s="339">
        <v>8293278.1207890008</v>
      </c>
      <c r="R37" s="341">
        <v>18282000</v>
      </c>
      <c r="S37" s="339">
        <v>9197000</v>
      </c>
      <c r="T37" s="339">
        <v>37272000</v>
      </c>
      <c r="U37" s="339">
        <v>21051445.970624994</v>
      </c>
      <c r="V37" s="339">
        <v>12491720.195456998</v>
      </c>
      <c r="X37" s="390"/>
      <c r="Y37" s="388"/>
      <c r="Z37" s="388"/>
      <c r="AA37" s="388"/>
      <c r="AB37" s="388"/>
      <c r="AC37" s="388"/>
      <c r="AD37" s="388"/>
      <c r="AE37" s="388"/>
      <c r="AF37" s="388"/>
      <c r="AG37" s="388"/>
      <c r="AH37" s="388"/>
      <c r="AI37" s="388"/>
      <c r="AJ37" s="388"/>
      <c r="AK37" s="388"/>
      <c r="AL37" s="388"/>
      <c r="AM37" s="388"/>
      <c r="AN37" s="388"/>
      <c r="AO37" s="388"/>
      <c r="AP37" s="388"/>
      <c r="AQ37" s="388"/>
      <c r="AR37" s="388"/>
      <c r="AS37" s="388"/>
    </row>
    <row r="38" spans="1:124" x14ac:dyDescent="0.2">
      <c r="A38" s="332">
        <v>1</v>
      </c>
      <c r="C38" s="335" t="str">
        <f>IF(SUBTOTAL(109,A38)=A38,"Non-Operating Income/(Expenses)","Non-Operating Income/(Expenses), Total")</f>
        <v>Non-Operating Income/(Expenses)</v>
      </c>
      <c r="D38" s="339" t="str">
        <f t="shared" si="0"/>
        <v/>
      </c>
      <c r="E38" s="339" t="str">
        <f t="shared" si="1"/>
        <v/>
      </c>
      <c r="F38" s="339" t="str">
        <f t="shared" si="2"/>
        <v/>
      </c>
      <c r="G38" s="339" t="str">
        <f t="shared" si="3"/>
        <v/>
      </c>
      <c r="H38" s="339" t="str">
        <f t="shared" si="4"/>
        <v/>
      </c>
      <c r="I38" s="339" t="str">
        <f t="shared" si="5"/>
        <v/>
      </c>
      <c r="J38" s="339" t="str">
        <f t="shared" si="6"/>
        <v/>
      </c>
      <c r="K38" s="340" t="str">
        <f t="shared" si="7"/>
        <v/>
      </c>
      <c r="L38" s="339"/>
      <c r="M38" s="339" t="str">
        <f>IF(SUBTOTAL(109,A38)=A38,"",-2220000)</f>
        <v/>
      </c>
      <c r="N38" s="339" t="str">
        <f>IF(SUBTOTAL(109,A38)=A38,"",689900)</f>
        <v/>
      </c>
      <c r="O38" s="339" t="str">
        <f>IF(SUBTOTAL(109,A38)=A38,"",-1391000)</f>
        <v/>
      </c>
      <c r="P38" s="339" t="str">
        <f>IF(SUBTOTAL(109,A38)=A38,"",-5160000)</f>
        <v/>
      </c>
      <c r="Q38" s="339" t="str">
        <f>IF(SUBTOTAL(109,A38)=A38,"",-1356947.423241)</f>
        <v/>
      </c>
      <c r="R38" s="341" t="str">
        <f>IF(SUBTOTAL(109,A38)=A38,"",-1838000)</f>
        <v/>
      </c>
      <c r="S38" s="339" t="str">
        <f>IF(SUBTOTAL(109,A38)=A38,"",-826000)</f>
        <v/>
      </c>
      <c r="T38" s="339" t="str">
        <f>IF(SUBTOTAL(109,A38)=A38,"",-2543000)</f>
        <v/>
      </c>
      <c r="U38" s="339" t="str">
        <f>IF(SUBTOTAL(109,A38)=A38,"",-1211061.528705)</f>
        <v/>
      </c>
      <c r="V38" s="339" t="str">
        <f>IF(SUBTOTAL(109,A38)=A38,"",-1533997.11852299)</f>
        <v/>
      </c>
      <c r="X38" s="390"/>
      <c r="Y38" s="388"/>
      <c r="Z38" s="388"/>
      <c r="AA38" s="388"/>
      <c r="AB38" s="388"/>
      <c r="AC38" s="388"/>
      <c r="AD38" s="388"/>
      <c r="AE38" s="388"/>
      <c r="AF38" s="388"/>
      <c r="AG38" s="388"/>
      <c r="AH38" s="388"/>
      <c r="AI38" s="388"/>
      <c r="AJ38" s="388"/>
      <c r="AK38" s="388"/>
      <c r="AL38" s="388"/>
      <c r="AM38" s="388"/>
      <c r="AN38" s="388"/>
      <c r="AO38" s="388"/>
      <c r="AP38" s="388"/>
      <c r="AQ38" s="388"/>
      <c r="AR38" s="388"/>
      <c r="AS38" s="388"/>
    </row>
    <row r="39" spans="1:124" outlineLevel="1" x14ac:dyDescent="0.2">
      <c r="A39" s="332">
        <v>1</v>
      </c>
      <c r="C39" s="342" t="str">
        <f>IF(SUBTOTAL(109,A39)=A39,"    Net Finance (Income)/Expense","    Total Net Finance (Income)/Expense")</f>
        <v xml:space="preserve">    Net Finance (Income)/Expense</v>
      </c>
      <c r="D39" s="343" t="str">
        <f t="shared" si="0"/>
        <v/>
      </c>
      <c r="E39" s="343" t="str">
        <f t="shared" si="1"/>
        <v/>
      </c>
      <c r="F39" s="343" t="str">
        <f t="shared" si="2"/>
        <v/>
      </c>
      <c r="G39" s="343" t="str">
        <f t="shared" si="3"/>
        <v/>
      </c>
      <c r="H39" s="343" t="str">
        <f t="shared" si="4"/>
        <v/>
      </c>
      <c r="I39" s="343" t="str">
        <f t="shared" si="5"/>
        <v/>
      </c>
      <c r="J39" s="343" t="str">
        <f t="shared" si="6"/>
        <v/>
      </c>
      <c r="K39" s="344" t="str">
        <f t="shared" si="7"/>
        <v/>
      </c>
      <c r="L39" s="345"/>
      <c r="M39" s="345" t="str">
        <f>IF(SUBTOTAL(109,A39)=A39,"",1406000)</f>
        <v/>
      </c>
      <c r="N39" s="345" t="str">
        <f>IF(SUBTOTAL(109,A39)=A39,"",157300)</f>
        <v/>
      </c>
      <c r="O39" s="345" t="str">
        <f>IF(SUBTOTAL(109,A39)=A39,"",1232000)</f>
        <v/>
      </c>
      <c r="P39" s="345" t="str">
        <f>IF(SUBTOTAL(109,A39)=A39,"",935000)</f>
        <v/>
      </c>
      <c r="Q39" s="345" t="str">
        <f>IF(SUBTOTAL(109,A39)=A39,"",1018018.684466)</f>
        <v/>
      </c>
      <c r="R39" s="346" t="str">
        <f>IF(SUBTOTAL(109,A39)=A39,"",805000)</f>
        <v/>
      </c>
      <c r="S39" s="345" t="str">
        <f>IF(SUBTOTAL(109,A39)=A39,"",633000)</f>
        <v/>
      </c>
      <c r="T39" s="345" t="str">
        <f>IF(SUBTOTAL(109,A39)=A39,"",987000)</f>
        <v/>
      </c>
      <c r="U39" s="345" t="str">
        <f>IF(SUBTOTAL(109,A39)=A39,"",593194.885184999)</f>
        <v/>
      </c>
      <c r="V39" s="345" t="str">
        <f>IF(SUBTOTAL(109,A39)=A39,"",242874.115406999)</f>
        <v/>
      </c>
      <c r="X39" s="390"/>
      <c r="Y39" s="388"/>
      <c r="Z39" s="388"/>
      <c r="AA39" s="388"/>
      <c r="AB39" s="388"/>
      <c r="AC39" s="388"/>
      <c r="AD39" s="388"/>
      <c r="AE39" s="388"/>
      <c r="AF39" s="388"/>
      <c r="AG39" s="388"/>
      <c r="AH39" s="388"/>
      <c r="AI39" s="388"/>
      <c r="AJ39" s="388"/>
      <c r="AK39" s="388"/>
      <c r="AL39" s="388"/>
      <c r="AM39" s="388"/>
      <c r="AN39" s="388"/>
      <c r="AO39" s="388"/>
      <c r="AP39" s="388"/>
      <c r="AQ39" s="388"/>
      <c r="AR39" s="388"/>
      <c r="AS39" s="388"/>
    </row>
    <row r="40" spans="1:124" outlineLevel="2" collapsed="1" x14ac:dyDescent="0.2">
      <c r="A40" s="332">
        <v>1</v>
      </c>
      <c r="C40" s="342" t="str">
        <f>IF(SUBTOTAL(109,A40)=A40,"        Net Interest (Income)/Expense","        Net Interest (Income)/Expense")</f>
        <v xml:space="preserve">        Net Interest (Income)/Expense</v>
      </c>
      <c r="D40" s="343" t="str">
        <f t="shared" si="0"/>
        <v/>
      </c>
      <c r="E40" s="343" t="str">
        <f t="shared" si="1"/>
        <v/>
      </c>
      <c r="F40" s="343" t="str">
        <f t="shared" si="2"/>
        <v/>
      </c>
      <c r="G40" s="343" t="str">
        <f t="shared" si="3"/>
        <v/>
      </c>
      <c r="H40" s="343" t="str">
        <f t="shared" si="4"/>
        <v/>
      </c>
      <c r="I40" s="343" t="str">
        <f t="shared" si="5"/>
        <v/>
      </c>
      <c r="J40" s="343" t="str">
        <f t="shared" si="6"/>
        <v/>
      </c>
      <c r="K40" s="344" t="str">
        <f t="shared" si="7"/>
        <v/>
      </c>
      <c r="L40" s="345"/>
      <c r="M40" s="345" t="str">
        <f>IF(SUBTOTAL(109,A40)=A40,"",1406000)</f>
        <v/>
      </c>
      <c r="N40" s="345" t="str">
        <f>IF(SUBTOTAL(109,A40)=A40,"",157300)</f>
        <v/>
      </c>
      <c r="O40" s="345" t="str">
        <f>IF(SUBTOTAL(109,A40)=A40,"",1232000)</f>
        <v/>
      </c>
      <c r="P40" s="345" t="str">
        <f>IF(SUBTOTAL(109,A40)=A40,"",935000)</f>
        <v/>
      </c>
      <c r="Q40" s="345" t="str">
        <f>IF(SUBTOTAL(109,A40)=A40,"",979812.172095)</f>
        <v/>
      </c>
      <c r="R40" s="346" t="str">
        <f>IF(SUBTOTAL(109,A40)=A40,"",805000)</f>
        <v/>
      </c>
      <c r="S40" s="345" t="str">
        <f>IF(SUBTOTAL(109,A40)=A40,"",458000)</f>
        <v/>
      </c>
      <c r="T40" s="345" t="str">
        <f>IF(SUBTOTAL(109,A40)=A40,"",987000)</f>
        <v/>
      </c>
      <c r="U40" s="345" t="str">
        <f>IF(SUBTOTAL(109,A40)=A40,"",547069.42395)</f>
        <v/>
      </c>
      <c r="V40" s="345" t="str">
        <f>IF(SUBTOTAL(109,A40)=A40,"",242874.115406999)</f>
        <v/>
      </c>
      <c r="X40" s="390"/>
      <c r="Y40" s="388"/>
      <c r="Z40" s="388"/>
      <c r="AA40" s="388"/>
      <c r="AB40" s="388"/>
      <c r="AC40" s="388"/>
      <c r="AD40" s="388"/>
      <c r="AE40" s="388"/>
      <c r="AF40" s="388"/>
      <c r="AG40" s="388"/>
      <c r="AH40" s="388"/>
      <c r="AI40" s="388"/>
      <c r="AJ40" s="388"/>
      <c r="AK40" s="388"/>
      <c r="AL40" s="388"/>
      <c r="AM40" s="388"/>
      <c r="AN40" s="388"/>
      <c r="AO40" s="388"/>
      <c r="AP40" s="388"/>
      <c r="AQ40" s="388"/>
      <c r="AR40" s="388"/>
      <c r="AS40" s="388"/>
    </row>
    <row r="41" spans="1:124" hidden="1" outlineLevel="3" x14ac:dyDescent="0.2">
      <c r="A41" s="332">
        <v>1</v>
      </c>
      <c r="C41" s="342" t="str">
        <f>"            Interest Expense Net of Capitalized Interest"</f>
        <v xml:space="preserve">            Interest Expense Net of Capitalized Interest</v>
      </c>
      <c r="D41" s="343">
        <f t="shared" si="0"/>
        <v>948500</v>
      </c>
      <c r="E41" s="343">
        <f t="shared" si="1"/>
        <v>891902.30553450005</v>
      </c>
      <c r="F41" s="343">
        <f t="shared" si="2"/>
        <v>246600</v>
      </c>
      <c r="G41" s="343">
        <f t="shared" si="3"/>
        <v>1406000</v>
      </c>
      <c r="H41" s="343">
        <f t="shared" si="4"/>
        <v>620356.58182125003</v>
      </c>
      <c r="I41" s="343">
        <f t="shared" si="5"/>
        <v>1178504.6711164999</v>
      </c>
      <c r="J41" s="343">
        <f t="shared" si="6"/>
        <v>367658.41332205257</v>
      </c>
      <c r="K41" s="344">
        <f t="shared" si="7"/>
        <v>0.41221825646220511</v>
      </c>
      <c r="L41" s="345"/>
      <c r="M41" s="345">
        <v>1406000</v>
      </c>
      <c r="N41" s="345">
        <v>246600</v>
      </c>
      <c r="O41" s="345">
        <v>1232000</v>
      </c>
      <c r="P41" s="345">
        <v>935000</v>
      </c>
      <c r="Q41" s="345">
        <v>1018018.6844659999</v>
      </c>
      <c r="R41" s="346">
        <v>962000</v>
      </c>
      <c r="S41" s="345">
        <v>837000</v>
      </c>
      <c r="T41" s="345">
        <v>1238000</v>
      </c>
      <c r="U41" s="345">
        <v>548142.10909499996</v>
      </c>
      <c r="V41" s="345">
        <v>496262.26178399997</v>
      </c>
      <c r="X41" s="390"/>
      <c r="Y41" s="388"/>
      <c r="Z41" s="388"/>
      <c r="AA41" s="388"/>
      <c r="AB41" s="388"/>
      <c r="AC41" s="388"/>
      <c r="AD41" s="388"/>
      <c r="AE41" s="388"/>
      <c r="AF41" s="388"/>
      <c r="AG41" s="388"/>
      <c r="AH41" s="388"/>
      <c r="AI41" s="388"/>
      <c r="AJ41" s="388"/>
      <c r="AK41" s="388"/>
      <c r="AL41" s="388"/>
      <c r="AM41" s="388"/>
      <c r="AN41" s="388"/>
      <c r="AO41" s="388"/>
      <c r="AP41" s="388"/>
      <c r="AQ41" s="388"/>
      <c r="AR41" s="388"/>
      <c r="AS41" s="388"/>
    </row>
    <row r="42" spans="1:124" hidden="1" outlineLevel="3" x14ac:dyDescent="0.2">
      <c r="A42" s="332">
        <v>1</v>
      </c>
      <c r="C42" s="342" t="str">
        <f>"            Interest Income"</f>
        <v xml:space="preserve">            Interest Income</v>
      </c>
      <c r="D42" s="343">
        <f t="shared" si="0"/>
        <v>204000</v>
      </c>
      <c r="E42" s="343">
        <f t="shared" si="1"/>
        <v>194649.10979133332</v>
      </c>
      <c r="F42" s="343">
        <f t="shared" si="2"/>
        <v>38206.512370999997</v>
      </c>
      <c r="G42" s="343">
        <f t="shared" si="3"/>
        <v>379000</v>
      </c>
      <c r="H42" s="343">
        <f t="shared" si="4"/>
        <v>106225</v>
      </c>
      <c r="I42" s="343">
        <f t="shared" si="5"/>
        <v>252791.10978274996</v>
      </c>
      <c r="J42" s="343">
        <f t="shared" si="6"/>
        <v>124580.19477956848</v>
      </c>
      <c r="K42" s="344">
        <f t="shared" si="7"/>
        <v>0.64002447744621216</v>
      </c>
      <c r="L42" s="345"/>
      <c r="M42" s="345" t="s">
        <v>679</v>
      </c>
      <c r="N42" s="345">
        <v>89300</v>
      </c>
      <c r="O42" s="345" t="s">
        <v>679</v>
      </c>
      <c r="P42" s="345" t="s">
        <v>679</v>
      </c>
      <c r="Q42" s="345">
        <v>38206.512370999997</v>
      </c>
      <c r="R42" s="346">
        <v>157000</v>
      </c>
      <c r="S42" s="345">
        <v>379000</v>
      </c>
      <c r="T42" s="345">
        <v>251000</v>
      </c>
      <c r="U42" s="345" t="s">
        <v>679</v>
      </c>
      <c r="V42" s="345">
        <v>253388.14637699997</v>
      </c>
      <c r="X42" s="390"/>
      <c r="Y42" s="388"/>
      <c r="Z42" s="388"/>
      <c r="AA42" s="388"/>
      <c r="AB42" s="388"/>
      <c r="AC42" s="388"/>
      <c r="AD42" s="388"/>
      <c r="AE42" s="388"/>
      <c r="AF42" s="388"/>
      <c r="AG42" s="388"/>
      <c r="AH42" s="388"/>
      <c r="AI42" s="388"/>
      <c r="AJ42" s="388"/>
      <c r="AK42" s="388"/>
      <c r="AL42" s="388"/>
      <c r="AM42" s="388"/>
      <c r="AN42" s="388"/>
      <c r="AO42" s="388"/>
      <c r="AP42" s="388"/>
      <c r="AQ42" s="388"/>
      <c r="AR42" s="388"/>
      <c r="AS42" s="388"/>
    </row>
    <row r="43" spans="1:124" hidden="1" outlineLevel="3" x14ac:dyDescent="0.2">
      <c r="A43" s="332">
        <v>1</v>
      </c>
      <c r="C43" s="347" t="str">
        <f>"            Total Net Interest (Income)/Expense"</f>
        <v xml:space="preserve">            Total Net Interest (Income)/Expense</v>
      </c>
      <c r="D43" s="348">
        <f t="shared" ref="D43:D74" si="8">IF(COUNT(M43:V43)&gt;0,MEDIAN(M43:V43),"")</f>
        <v>870000</v>
      </c>
      <c r="E43" s="348">
        <f t="shared" ref="E43:E74" si="9">IF(COUNT(M43:V43)&gt;0,AVERAGE(M43:V43),"")</f>
        <v>775005.57114519994</v>
      </c>
      <c r="F43" s="348">
        <f t="shared" ref="F43:F74" si="10">IF(COUNT(M43:V43)&gt;0,MIN(M43:V43),"")</f>
        <v>157300</v>
      </c>
      <c r="G43" s="348">
        <f t="shared" ref="G43:G74" si="11">IF(COUNT(M43:V43)&gt;0,MAX(M43:V43),"")</f>
        <v>1406000</v>
      </c>
      <c r="H43" s="348">
        <f t="shared" ref="H43:H74" si="12">IF(COUNT(M43:V43)&gt;0,QUARTILE(M43:V43,1),"")</f>
        <v>480267.35598749999</v>
      </c>
      <c r="I43" s="348">
        <f t="shared" ref="I43:I74" si="13">IF(COUNT(M43:V43)&gt;0,QUARTILE(M43:V43,3),"")</f>
        <v>985203.04302374995</v>
      </c>
      <c r="J43" s="348">
        <f t="shared" ref="J43:J74" si="14">IF(COUNT(M43:V43)&gt;1,STDEV(M43:V43),"")</f>
        <v>413327.23383675097</v>
      </c>
      <c r="K43" s="349">
        <f t="shared" ref="K43:K74" si="15">IF(COUNT(M43:V43)&gt;1,STDEV(M43:V43)/AVERAGE(M43:V43),"")</f>
        <v>0.53332162919292447</v>
      </c>
      <c r="L43" s="350"/>
      <c r="M43" s="350">
        <v>1406000</v>
      </c>
      <c r="N43" s="350">
        <v>157300</v>
      </c>
      <c r="O43" s="350">
        <v>1232000</v>
      </c>
      <c r="P43" s="350">
        <v>935000</v>
      </c>
      <c r="Q43" s="350">
        <v>979812.17209500005</v>
      </c>
      <c r="R43" s="351">
        <v>805000</v>
      </c>
      <c r="S43" s="350">
        <v>458000</v>
      </c>
      <c r="T43" s="350">
        <v>987000</v>
      </c>
      <c r="U43" s="350">
        <v>547069.42394999997</v>
      </c>
      <c r="V43" s="350">
        <v>242874.11540699998</v>
      </c>
      <c r="X43" s="390"/>
      <c r="Y43" s="388"/>
      <c r="Z43" s="388"/>
      <c r="AA43" s="388"/>
      <c r="AB43" s="388"/>
      <c r="AC43" s="388"/>
      <c r="AD43" s="388"/>
      <c r="AE43" s="388"/>
      <c r="AF43" s="388"/>
      <c r="AG43" s="388"/>
      <c r="AH43" s="388"/>
      <c r="AI43" s="388"/>
      <c r="AJ43" s="388"/>
      <c r="AK43" s="388"/>
      <c r="AL43" s="388"/>
      <c r="AM43" s="388"/>
      <c r="AN43" s="388"/>
      <c r="AO43" s="388"/>
      <c r="AP43" s="388"/>
      <c r="AQ43" s="388"/>
      <c r="AR43" s="388"/>
      <c r="AS43" s="388"/>
    </row>
    <row r="44" spans="1:124" outlineLevel="2" collapsed="1" x14ac:dyDescent="0.2">
      <c r="A44" s="332">
        <v>1</v>
      </c>
      <c r="C44" s="342" t="str">
        <f>IF(SUBTOTAL(109,A44)=A44,"        Other Finance (Income)/Expenses","        Other Finance (Income)/Expenses")</f>
        <v xml:space="preserve">        Other Finance (Income)/Expenses</v>
      </c>
      <c r="D44" s="343" t="str">
        <f t="shared" si="8"/>
        <v/>
      </c>
      <c r="E44" s="343" t="str">
        <f t="shared" si="9"/>
        <v/>
      </c>
      <c r="F44" s="343" t="str">
        <f t="shared" si="10"/>
        <v/>
      </c>
      <c r="G44" s="343" t="str">
        <f t="shared" si="11"/>
        <v/>
      </c>
      <c r="H44" s="343" t="str">
        <f t="shared" si="12"/>
        <v/>
      </c>
      <c r="I44" s="343" t="str">
        <f t="shared" si="13"/>
        <v/>
      </c>
      <c r="J44" s="343" t="str">
        <f t="shared" si="14"/>
        <v/>
      </c>
      <c r="K44" s="344" t="str">
        <f t="shared" si="15"/>
        <v/>
      </c>
      <c r="L44" s="345"/>
      <c r="M44" s="345" t="str">
        <f>IF(SUBTOTAL(109,A44)=A44,"","")</f>
        <v/>
      </c>
      <c r="N44" s="345" t="str">
        <f>IF(SUBTOTAL(109,A44)=A44,"","")</f>
        <v/>
      </c>
      <c r="O44" s="345" t="str">
        <f>IF(SUBTOTAL(109,A44)=A44,"","")</f>
        <v/>
      </c>
      <c r="P44" s="345" t="str">
        <f>IF(SUBTOTAL(109,A44)=A44,"","")</f>
        <v/>
      </c>
      <c r="Q44" s="345" t="str">
        <f>IF(SUBTOTAL(109,A44)=A44,"",38206.512371)</f>
        <v/>
      </c>
      <c r="R44" s="346" t="str">
        <f>IF(SUBTOTAL(109,A44)=A44,"","")</f>
        <v/>
      </c>
      <c r="S44" s="345" t="str">
        <f>IF(SUBTOTAL(109,A44)=A44,"",175000)</f>
        <v/>
      </c>
      <c r="T44" s="345" t="str">
        <f>IF(SUBTOTAL(109,A44)=A44,"","")</f>
        <v/>
      </c>
      <c r="U44" s="345" t="str">
        <f>IF(SUBTOTAL(109,A44)=A44,"",46125.4612349999)</f>
        <v/>
      </c>
      <c r="V44" s="345" t="str">
        <f>IF(SUBTOTAL(109,A44)=A44,"",0)</f>
        <v/>
      </c>
      <c r="X44" s="390"/>
      <c r="Y44" s="388"/>
      <c r="Z44" s="388"/>
      <c r="AA44" s="388"/>
      <c r="AB44" s="388"/>
      <c r="AC44" s="388"/>
      <c r="AD44" s="388"/>
      <c r="AE44" s="388"/>
      <c r="AF44" s="388"/>
      <c r="AG44" s="388"/>
      <c r="AH44" s="388"/>
      <c r="AI44" s="388"/>
      <c r="AJ44" s="388"/>
      <c r="AK44" s="388"/>
      <c r="AL44" s="388"/>
      <c r="AM44" s="388"/>
      <c r="AN44" s="388"/>
      <c r="AO44" s="388"/>
      <c r="AP44" s="388"/>
      <c r="AQ44" s="388"/>
      <c r="AR44" s="388"/>
      <c r="AS44" s="388"/>
    </row>
    <row r="45" spans="1:124" hidden="1" outlineLevel="3" x14ac:dyDescent="0.2">
      <c r="A45" s="332">
        <v>1</v>
      </c>
      <c r="C45" s="342" t="str">
        <f>"            Other Finance Income"</f>
        <v xml:space="preserve">            Other Finance Income</v>
      </c>
      <c r="D45" s="343">
        <f t="shared" si="8"/>
        <v>2464.9362820000001</v>
      </c>
      <c r="E45" s="343">
        <f t="shared" si="9"/>
        <v>7154.9787606666659</v>
      </c>
      <c r="F45" s="343">
        <f t="shared" si="10"/>
        <v>0</v>
      </c>
      <c r="G45" s="343">
        <f t="shared" si="11"/>
        <v>19000</v>
      </c>
      <c r="H45" s="343">
        <f t="shared" si="12"/>
        <v>1232.4681410000001</v>
      </c>
      <c r="I45" s="343">
        <f t="shared" si="13"/>
        <v>10732.468141000001</v>
      </c>
      <c r="J45" s="343">
        <f t="shared" si="14"/>
        <v>10331.862070254971</v>
      </c>
      <c r="K45" s="344">
        <f t="shared" si="15"/>
        <v>1.4440101663267968</v>
      </c>
      <c r="L45" s="345"/>
      <c r="M45" s="345" t="s">
        <v>679</v>
      </c>
      <c r="N45" s="345" t="s">
        <v>679</v>
      </c>
      <c r="O45" s="345" t="s">
        <v>679</v>
      </c>
      <c r="P45" s="345" t="s">
        <v>679</v>
      </c>
      <c r="Q45" s="345">
        <v>2464.9362820000001</v>
      </c>
      <c r="R45" s="346" t="s">
        <v>679</v>
      </c>
      <c r="S45" s="345">
        <v>19000</v>
      </c>
      <c r="T45" s="345" t="s">
        <v>679</v>
      </c>
      <c r="U45" s="345" t="s">
        <v>679</v>
      </c>
      <c r="V45" s="345">
        <v>0</v>
      </c>
      <c r="X45" s="390"/>
      <c r="Y45" s="388"/>
      <c r="Z45" s="388"/>
      <c r="AA45" s="388"/>
      <c r="AB45" s="388"/>
      <c r="AC45" s="388"/>
      <c r="AD45" s="388"/>
      <c r="AE45" s="388"/>
      <c r="AF45" s="388"/>
      <c r="AG45" s="388"/>
      <c r="AH45" s="388"/>
      <c r="AI45" s="388"/>
      <c r="AJ45" s="388"/>
      <c r="AK45" s="388"/>
      <c r="AL45" s="388"/>
      <c r="AM45" s="388"/>
      <c r="AN45" s="388"/>
      <c r="AO45" s="388"/>
      <c r="AP45" s="388"/>
      <c r="AQ45" s="388"/>
      <c r="AR45" s="388"/>
      <c r="AS45" s="388"/>
    </row>
    <row r="46" spans="1:124" hidden="1" outlineLevel="3" x14ac:dyDescent="0.2">
      <c r="A46" s="332">
        <v>1</v>
      </c>
      <c r="C46" s="342" t="str">
        <f>"            Other Finance Expenses"</f>
        <v xml:space="preserve">            Other Finance Expenses</v>
      </c>
      <c r="D46" s="343">
        <f t="shared" si="8"/>
        <v>117335.7243265</v>
      </c>
      <c r="E46" s="343">
        <f t="shared" si="9"/>
        <v>117335.7243265</v>
      </c>
      <c r="F46" s="343">
        <f t="shared" si="10"/>
        <v>40671.448652999999</v>
      </c>
      <c r="G46" s="343">
        <f t="shared" si="11"/>
        <v>194000</v>
      </c>
      <c r="H46" s="343">
        <f t="shared" si="12"/>
        <v>79003.58648975</v>
      </c>
      <c r="I46" s="343">
        <f t="shared" si="13"/>
        <v>155667.86216324999</v>
      </c>
      <c r="J46" s="343">
        <f t="shared" si="14"/>
        <v>108419.65840697345</v>
      </c>
      <c r="K46" s="344">
        <f t="shared" si="15"/>
        <v>0.92401235028202855</v>
      </c>
      <c r="L46" s="345"/>
      <c r="M46" s="345" t="s">
        <v>679</v>
      </c>
      <c r="N46" s="345" t="s">
        <v>679</v>
      </c>
      <c r="O46" s="345" t="s">
        <v>679</v>
      </c>
      <c r="P46" s="345" t="s">
        <v>679</v>
      </c>
      <c r="Q46" s="345">
        <v>40671.448652999999</v>
      </c>
      <c r="R46" s="346" t="s">
        <v>679</v>
      </c>
      <c r="S46" s="345">
        <v>194000</v>
      </c>
      <c r="T46" s="345" t="s">
        <v>679</v>
      </c>
      <c r="U46" s="345" t="s">
        <v>679</v>
      </c>
      <c r="V46" s="345" t="s">
        <v>679</v>
      </c>
      <c r="X46" s="390"/>
      <c r="Y46" s="388"/>
      <c r="Z46" s="388"/>
      <c r="AA46" s="388"/>
      <c r="AB46" s="388"/>
      <c r="AC46" s="388"/>
      <c r="AD46" s="388"/>
      <c r="AE46" s="388"/>
      <c r="AF46" s="388"/>
      <c r="AG46" s="388"/>
      <c r="AH46" s="388"/>
      <c r="AI46" s="388"/>
      <c r="AJ46" s="388"/>
      <c r="AK46" s="388"/>
      <c r="AL46" s="388"/>
      <c r="AM46" s="388"/>
      <c r="AN46" s="388"/>
      <c r="AO46" s="388"/>
      <c r="AP46" s="388"/>
      <c r="AQ46" s="388"/>
      <c r="AR46" s="388"/>
      <c r="AS46" s="388"/>
    </row>
    <row r="47" spans="1:124" hidden="1" outlineLevel="3" x14ac:dyDescent="0.2">
      <c r="A47" s="332">
        <v>1</v>
      </c>
      <c r="C47" s="347" t="str">
        <f>"            Total Other Finance (Income)/Expenses"</f>
        <v xml:space="preserve">            Total Other Finance (Income)/Expenses</v>
      </c>
      <c r="D47" s="348">
        <f t="shared" si="8"/>
        <v>42165.986802999993</v>
      </c>
      <c r="E47" s="348">
        <f t="shared" si="9"/>
        <v>64832.993401499996</v>
      </c>
      <c r="F47" s="348">
        <f t="shared" si="10"/>
        <v>0</v>
      </c>
      <c r="G47" s="348">
        <f t="shared" si="11"/>
        <v>175000</v>
      </c>
      <c r="H47" s="348">
        <f t="shared" si="12"/>
        <v>28654.88427825</v>
      </c>
      <c r="I47" s="348">
        <f t="shared" si="13"/>
        <v>78344.095926249996</v>
      </c>
      <c r="J47" s="348">
        <f t="shared" si="14"/>
        <v>76155.60305081759</v>
      </c>
      <c r="K47" s="349">
        <f t="shared" si="15"/>
        <v>1.1746427097573384</v>
      </c>
      <c r="L47" s="350"/>
      <c r="M47" s="350" t="s">
        <v>679</v>
      </c>
      <c r="N47" s="350" t="s">
        <v>679</v>
      </c>
      <c r="O47" s="350" t="s">
        <v>679</v>
      </c>
      <c r="P47" s="350" t="s">
        <v>679</v>
      </c>
      <c r="Q47" s="350">
        <v>38206.512370999997</v>
      </c>
      <c r="R47" s="351" t="s">
        <v>679</v>
      </c>
      <c r="S47" s="350">
        <v>175000</v>
      </c>
      <c r="T47" s="350" t="s">
        <v>679</v>
      </c>
      <c r="U47" s="350">
        <v>46125.461234999995</v>
      </c>
      <c r="V47" s="350">
        <v>0</v>
      </c>
      <c r="X47" s="390"/>
      <c r="Y47" s="388"/>
      <c r="Z47" s="388"/>
      <c r="AA47" s="388"/>
      <c r="AB47" s="388"/>
      <c r="AC47" s="388"/>
      <c r="AD47" s="388"/>
      <c r="AE47" s="388"/>
      <c r="AF47" s="388"/>
      <c r="AG47" s="388"/>
      <c r="AH47" s="388"/>
      <c r="AI47" s="388"/>
      <c r="AJ47" s="388"/>
      <c r="AK47" s="388"/>
      <c r="AL47" s="388"/>
      <c r="AM47" s="388"/>
      <c r="AN47" s="388"/>
      <c r="AO47" s="388"/>
      <c r="AP47" s="388"/>
      <c r="AQ47" s="388"/>
      <c r="AR47" s="388"/>
      <c r="AS47" s="388"/>
    </row>
    <row r="48" spans="1:124" outlineLevel="2" collapsed="1" x14ac:dyDescent="0.2">
      <c r="A48" s="332">
        <v>1</v>
      </c>
      <c r="C48" s="347" t="str">
        <f>"        Total Net Finance (Income)/Expense"</f>
        <v xml:space="preserve">        Total Net Finance (Income)/Expense</v>
      </c>
      <c r="D48" s="348">
        <f t="shared" si="8"/>
        <v>870000</v>
      </c>
      <c r="E48" s="348">
        <f t="shared" si="9"/>
        <v>800938.76850579993</v>
      </c>
      <c r="F48" s="348">
        <f t="shared" si="10"/>
        <v>157300</v>
      </c>
      <c r="G48" s="348">
        <f t="shared" si="11"/>
        <v>1406000</v>
      </c>
      <c r="H48" s="348">
        <f t="shared" si="12"/>
        <v>603146.1638887499</v>
      </c>
      <c r="I48" s="348">
        <f t="shared" si="13"/>
        <v>1010264.0133495</v>
      </c>
      <c r="J48" s="348">
        <f t="shared" si="14"/>
        <v>401208.20733689837</v>
      </c>
      <c r="K48" s="349">
        <f t="shared" si="15"/>
        <v>0.50092244640046169</v>
      </c>
      <c r="L48" s="350"/>
      <c r="M48" s="350">
        <v>1406000</v>
      </c>
      <c r="N48" s="350">
        <v>157300</v>
      </c>
      <c r="O48" s="350">
        <v>1232000</v>
      </c>
      <c r="P48" s="350">
        <v>935000</v>
      </c>
      <c r="Q48" s="350">
        <v>1018018.6844659999</v>
      </c>
      <c r="R48" s="351">
        <v>805000</v>
      </c>
      <c r="S48" s="350">
        <v>633000</v>
      </c>
      <c r="T48" s="350">
        <v>987000</v>
      </c>
      <c r="U48" s="350">
        <v>593194.8851849999</v>
      </c>
      <c r="V48" s="350">
        <v>242874.11540699998</v>
      </c>
      <c r="X48" s="390"/>
      <c r="Y48" s="388"/>
      <c r="Z48" s="388"/>
      <c r="AA48" s="388"/>
      <c r="AB48" s="388"/>
      <c r="AC48" s="388"/>
      <c r="AD48" s="388"/>
      <c r="AE48" s="388"/>
      <c r="AF48" s="388"/>
      <c r="AG48" s="388"/>
      <c r="AH48" s="388"/>
      <c r="AI48" s="388"/>
      <c r="AJ48" s="388"/>
      <c r="AK48" s="388"/>
      <c r="AL48" s="388"/>
      <c r="AM48" s="388"/>
      <c r="AN48" s="388"/>
      <c r="AO48" s="388"/>
      <c r="AP48" s="388"/>
      <c r="AQ48" s="388"/>
      <c r="AR48" s="388"/>
      <c r="AS48" s="388"/>
    </row>
    <row r="49" spans="1:45" outlineLevel="1" x14ac:dyDescent="0.2">
      <c r="A49" s="332">
        <v>1</v>
      </c>
      <c r="C49" s="342" t="str">
        <f>IF(SUBTOTAL(109,A49)=A49,"    Net Investment Income","    Net Investment Income")</f>
        <v xml:space="preserve">    Net Investment Income</v>
      </c>
      <c r="D49" s="343" t="str">
        <f t="shared" si="8"/>
        <v/>
      </c>
      <c r="E49" s="343" t="str">
        <f t="shared" si="9"/>
        <v/>
      </c>
      <c r="F49" s="343" t="str">
        <f t="shared" si="10"/>
        <v/>
      </c>
      <c r="G49" s="343" t="str">
        <f t="shared" si="11"/>
        <v/>
      </c>
      <c r="H49" s="343" t="str">
        <f t="shared" si="12"/>
        <v/>
      </c>
      <c r="I49" s="343" t="str">
        <f t="shared" si="13"/>
        <v/>
      </c>
      <c r="J49" s="343" t="str">
        <f t="shared" si="14"/>
        <v/>
      </c>
      <c r="K49" s="344" t="str">
        <f t="shared" si="15"/>
        <v/>
      </c>
      <c r="L49" s="345"/>
      <c r="M49" s="345" t="str">
        <f>IF(SUBTOTAL(109,A49)=A49,"","")</f>
        <v/>
      </c>
      <c r="N49" s="345" t="str">
        <f>IF(SUBTOTAL(109,A49)=A49,"",-312800)</f>
        <v/>
      </c>
      <c r="O49" s="345" t="str">
        <f>IF(SUBTOTAL(109,A49)=A49,"",-630000)</f>
        <v/>
      </c>
      <c r="P49" s="345" t="str">
        <f>IF(SUBTOTAL(109,A49)=A49,"","")</f>
        <v/>
      </c>
      <c r="Q49" s="345" t="str">
        <f>IF(SUBTOTAL(109,A49)=A49,"",1178239.542796)</f>
        <v/>
      </c>
      <c r="R49" s="346" t="str">
        <f>IF(SUBTOTAL(109,A49)=A49,"",-1656000)</f>
        <v/>
      </c>
      <c r="S49" s="345" t="str">
        <f>IF(SUBTOTAL(109,A49)=A49,"",-193000)</f>
        <v/>
      </c>
      <c r="T49" s="345" t="str">
        <f>IF(SUBTOTAL(109,A49)=A49,"",-837000)</f>
        <v/>
      </c>
      <c r="U49" s="345" t="str">
        <f>IF(SUBTOTAL(109,A49)=A49,"",-585686.089169999)</f>
        <v/>
      </c>
      <c r="V49" s="345" t="str">
        <f>IF(SUBTOTAL(109,A49)=A49,"",-3154.20929099999)</f>
        <v/>
      </c>
      <c r="X49" s="390"/>
      <c r="Y49" s="388"/>
      <c r="Z49" s="388"/>
      <c r="AA49" s="388"/>
      <c r="AB49" s="388"/>
      <c r="AC49" s="388"/>
      <c r="AD49" s="388"/>
      <c r="AE49" s="388"/>
      <c r="AF49" s="388"/>
      <c r="AG49" s="388"/>
      <c r="AH49" s="388"/>
      <c r="AI49" s="388"/>
      <c r="AJ49" s="388"/>
      <c r="AK49" s="388"/>
      <c r="AL49" s="388"/>
      <c r="AM49" s="388"/>
      <c r="AN49" s="388"/>
      <c r="AO49" s="388"/>
      <c r="AP49" s="388"/>
      <c r="AQ49" s="388"/>
      <c r="AR49" s="388"/>
      <c r="AS49" s="388"/>
    </row>
    <row r="50" spans="1:45" outlineLevel="2" x14ac:dyDescent="0.2">
      <c r="A50" s="332">
        <v>1</v>
      </c>
      <c r="C50" s="342" t="str">
        <f>"        Gain/(Loss) on Investments and Other Financial Instruments"</f>
        <v xml:space="preserve">        Gain/(Loss) on Investments and Other Financial Instruments</v>
      </c>
      <c r="D50" s="343">
        <f t="shared" si="8"/>
        <v>-343259.2464</v>
      </c>
      <c r="E50" s="343">
        <f t="shared" si="9"/>
        <v>-662301.56866059999</v>
      </c>
      <c r="F50" s="343">
        <f t="shared" si="10"/>
        <v>-1419000</v>
      </c>
      <c r="G50" s="343">
        <f t="shared" si="11"/>
        <v>1051.4030969999999</v>
      </c>
      <c r="H50" s="343">
        <f t="shared" si="12"/>
        <v>-1273000</v>
      </c>
      <c r="I50" s="343">
        <f t="shared" si="13"/>
        <v>-277300</v>
      </c>
      <c r="J50" s="343">
        <f t="shared" si="14"/>
        <v>639452.20040987234</v>
      </c>
      <c r="K50" s="344">
        <f t="shared" si="15"/>
        <v>-0.96550005415669349</v>
      </c>
      <c r="L50" s="345"/>
      <c r="M50" s="345" t="s">
        <v>679</v>
      </c>
      <c r="N50" s="345">
        <v>-277300</v>
      </c>
      <c r="O50" s="345" t="s">
        <v>679</v>
      </c>
      <c r="P50" s="345" t="s">
        <v>679</v>
      </c>
      <c r="Q50" s="345" t="s">
        <v>679</v>
      </c>
      <c r="R50" s="346">
        <v>-1419000</v>
      </c>
      <c r="S50" s="345" t="s">
        <v>679</v>
      </c>
      <c r="T50" s="345">
        <v>-1273000</v>
      </c>
      <c r="U50" s="345">
        <v>-343259.2464</v>
      </c>
      <c r="V50" s="345">
        <v>1051.4030969999999</v>
      </c>
      <c r="X50" s="390"/>
      <c r="Y50" s="388"/>
      <c r="Z50" s="388"/>
      <c r="AA50" s="388"/>
      <c r="AB50" s="388"/>
      <c r="AC50" s="388"/>
      <c r="AD50" s="388"/>
      <c r="AE50" s="388"/>
      <c r="AF50" s="388"/>
      <c r="AG50" s="388"/>
      <c r="AH50" s="388"/>
      <c r="AI50" s="388"/>
      <c r="AJ50" s="388"/>
      <c r="AK50" s="388"/>
      <c r="AL50" s="388"/>
      <c r="AM50" s="388"/>
      <c r="AN50" s="388"/>
      <c r="AO50" s="388"/>
      <c r="AP50" s="388"/>
      <c r="AQ50" s="388"/>
      <c r="AR50" s="388"/>
      <c r="AS50" s="388"/>
    </row>
    <row r="51" spans="1:45" outlineLevel="2" x14ac:dyDescent="0.2">
      <c r="A51" s="332">
        <v>1</v>
      </c>
      <c r="C51" s="342" t="str">
        <f>"        Fair Value or Unrealized Gain/(Loss) on Financial Assets"</f>
        <v xml:space="preserve">        Fair Value or Unrealized Gain/(Loss) on Financial Assets</v>
      </c>
      <c r="D51" s="343">
        <f t="shared" si="8"/>
        <v>1269442.1852299999</v>
      </c>
      <c r="E51" s="343">
        <f t="shared" si="9"/>
        <v>1269442.1852299999</v>
      </c>
      <c r="F51" s="343">
        <f t="shared" si="10"/>
        <v>1269442.1852299999</v>
      </c>
      <c r="G51" s="343">
        <f t="shared" si="11"/>
        <v>1269442.1852299999</v>
      </c>
      <c r="H51" s="343">
        <f t="shared" si="12"/>
        <v>1269442.1852299999</v>
      </c>
      <c r="I51" s="343">
        <f t="shared" si="13"/>
        <v>1269442.1852299999</v>
      </c>
      <c r="J51" s="343" t="str">
        <f t="shared" si="14"/>
        <v/>
      </c>
      <c r="K51" s="344" t="str">
        <f t="shared" si="15"/>
        <v/>
      </c>
      <c r="L51" s="345"/>
      <c r="M51" s="345" t="s">
        <v>679</v>
      </c>
      <c r="N51" s="345" t="s">
        <v>679</v>
      </c>
      <c r="O51" s="345" t="s">
        <v>679</v>
      </c>
      <c r="P51" s="345" t="s">
        <v>679</v>
      </c>
      <c r="Q51" s="345">
        <v>1269442.1852299999</v>
      </c>
      <c r="R51" s="346" t="s">
        <v>679</v>
      </c>
      <c r="S51" s="345" t="s">
        <v>679</v>
      </c>
      <c r="T51" s="345" t="s">
        <v>679</v>
      </c>
      <c r="U51" s="345" t="s">
        <v>679</v>
      </c>
      <c r="V51" s="345" t="s">
        <v>679</v>
      </c>
      <c r="X51" s="390"/>
      <c r="Y51" s="388"/>
      <c r="Z51" s="388"/>
      <c r="AA51" s="388"/>
      <c r="AB51" s="388"/>
      <c r="AC51" s="388"/>
      <c r="AD51" s="388"/>
      <c r="AE51" s="388"/>
      <c r="AF51" s="388"/>
      <c r="AG51" s="388"/>
      <c r="AH51" s="388"/>
      <c r="AI51" s="388"/>
      <c r="AJ51" s="388"/>
      <c r="AK51" s="388"/>
      <c r="AL51" s="388"/>
      <c r="AM51" s="388"/>
      <c r="AN51" s="388"/>
      <c r="AO51" s="388"/>
      <c r="AP51" s="388"/>
      <c r="AQ51" s="388"/>
      <c r="AR51" s="388"/>
      <c r="AS51" s="388"/>
    </row>
    <row r="52" spans="1:45" outlineLevel="2" collapsed="1" x14ac:dyDescent="0.2">
      <c r="A52" s="332">
        <v>1</v>
      </c>
      <c r="C52" s="342" t="str">
        <f>IF(SUBTOTAL(109,A52)=A52,"        Income from Associates, Joint Ventures and Other Participating Interests","        Income from Associates, Joint Ventures and Other Participating Interests")</f>
        <v xml:space="preserve">        Income from Associates, Joint Ventures and Other Participating Interests</v>
      </c>
      <c r="D52" s="343" t="str">
        <f t="shared" si="8"/>
        <v/>
      </c>
      <c r="E52" s="343" t="str">
        <f t="shared" si="9"/>
        <v/>
      </c>
      <c r="F52" s="343" t="str">
        <f t="shared" si="10"/>
        <v/>
      </c>
      <c r="G52" s="343" t="str">
        <f t="shared" si="11"/>
        <v/>
      </c>
      <c r="H52" s="343" t="str">
        <f t="shared" si="12"/>
        <v/>
      </c>
      <c r="I52" s="343" t="str">
        <f t="shared" si="13"/>
        <v/>
      </c>
      <c r="J52" s="343" t="str">
        <f t="shared" si="14"/>
        <v/>
      </c>
      <c r="K52" s="344" t="str">
        <f t="shared" si="15"/>
        <v/>
      </c>
      <c r="L52" s="345"/>
      <c r="M52" s="345" t="str">
        <f>IF(SUBTOTAL(109,A52)=A52,"","")</f>
        <v/>
      </c>
      <c r="N52" s="345" t="str">
        <f>IF(SUBTOTAL(109,A52)=A52,"","")</f>
        <v/>
      </c>
      <c r="O52" s="345" t="str">
        <f>IF(SUBTOTAL(109,A52)=A52,"",-801000)</f>
        <v/>
      </c>
      <c r="P52" s="345" t="str">
        <f>IF(SUBTOTAL(109,A52)=A52,"","")</f>
        <v/>
      </c>
      <c r="Q52" s="345" t="str">
        <f>IF(SUBTOTAL(109,A52)=A52,"",-2464.936282)</f>
        <v/>
      </c>
      <c r="R52" s="346" t="str">
        <f>IF(SUBTOTAL(109,A52)=A52,"","")</f>
        <v/>
      </c>
      <c r="S52" s="345" t="str">
        <f>IF(SUBTOTAL(109,A52)=A52,"",-9000)</f>
        <v/>
      </c>
      <c r="T52" s="345" t="str">
        <f>IF(SUBTOTAL(109,A52)=A52,"",436000)</f>
        <v/>
      </c>
      <c r="U52" s="345" t="str">
        <f>IF(SUBTOTAL(109,A52)=A52,"",-20381.017755)</f>
        <v/>
      </c>
      <c r="V52" s="345" t="str">
        <f>IF(SUBTOTAL(109,A52)=A52,"","")</f>
        <v/>
      </c>
      <c r="X52" s="390"/>
      <c r="Y52" s="388"/>
      <c r="Z52" s="388"/>
      <c r="AA52" s="388"/>
      <c r="AB52" s="388"/>
      <c r="AC52" s="388"/>
      <c r="AD52" s="388"/>
      <c r="AE52" s="388"/>
      <c r="AF52" s="388"/>
      <c r="AG52" s="388"/>
      <c r="AH52" s="388"/>
      <c r="AI52" s="388"/>
      <c r="AJ52" s="388"/>
      <c r="AK52" s="388"/>
      <c r="AL52" s="388"/>
      <c r="AM52" s="388"/>
      <c r="AN52" s="388"/>
      <c r="AO52" s="388"/>
      <c r="AP52" s="388"/>
      <c r="AQ52" s="388"/>
      <c r="AR52" s="388"/>
      <c r="AS52" s="388"/>
    </row>
    <row r="53" spans="1:45" hidden="1" outlineLevel="3" x14ac:dyDescent="0.2">
      <c r="A53" s="332">
        <v>1</v>
      </c>
      <c r="C53" s="342" t="str">
        <f>"            Share of Profit and Interest from Associates"</f>
        <v xml:space="preserve">            Share of Profit and Interest from Associates</v>
      </c>
      <c r="D53" s="343">
        <f t="shared" si="8"/>
        <v>-9000</v>
      </c>
      <c r="E53" s="343">
        <f t="shared" si="9"/>
        <v>-9382.8498713333338</v>
      </c>
      <c r="F53" s="343">
        <f t="shared" si="10"/>
        <v>-20381.017755000001</v>
      </c>
      <c r="G53" s="343">
        <f t="shared" si="11"/>
        <v>1232.4681410000001</v>
      </c>
      <c r="H53" s="343">
        <f t="shared" si="12"/>
        <v>-14690.5088775</v>
      </c>
      <c r="I53" s="343">
        <f t="shared" si="13"/>
        <v>-3883.7659295000003</v>
      </c>
      <c r="J53" s="343">
        <f t="shared" si="14"/>
        <v>10811.827951929901</v>
      </c>
      <c r="K53" s="344">
        <f t="shared" si="15"/>
        <v>-1.1522968074936815</v>
      </c>
      <c r="L53" s="345"/>
      <c r="M53" s="345" t="s">
        <v>679</v>
      </c>
      <c r="N53" s="345" t="s">
        <v>679</v>
      </c>
      <c r="O53" s="345" t="s">
        <v>679</v>
      </c>
      <c r="P53" s="345" t="s">
        <v>679</v>
      </c>
      <c r="Q53" s="345">
        <v>1232.4681410000001</v>
      </c>
      <c r="R53" s="346" t="s">
        <v>679</v>
      </c>
      <c r="S53" s="345">
        <v>-9000</v>
      </c>
      <c r="T53" s="345" t="s">
        <v>679</v>
      </c>
      <c r="U53" s="345">
        <v>-20381.017755000001</v>
      </c>
      <c r="V53" s="345" t="s">
        <v>679</v>
      </c>
      <c r="X53" s="390"/>
      <c r="Y53" s="388"/>
      <c r="Z53" s="388"/>
      <c r="AA53" s="388"/>
      <c r="AB53" s="388"/>
      <c r="AC53" s="388"/>
      <c r="AD53" s="388"/>
      <c r="AE53" s="388"/>
      <c r="AF53" s="388"/>
      <c r="AG53" s="388"/>
      <c r="AH53" s="388"/>
      <c r="AI53" s="388"/>
      <c r="AJ53" s="388"/>
      <c r="AK53" s="388"/>
      <c r="AL53" s="388"/>
      <c r="AM53" s="388"/>
      <c r="AN53" s="388"/>
      <c r="AO53" s="388"/>
      <c r="AP53" s="388"/>
      <c r="AQ53" s="388"/>
      <c r="AR53" s="388"/>
      <c r="AS53" s="388"/>
    </row>
    <row r="54" spans="1:45" hidden="1" outlineLevel="3" x14ac:dyDescent="0.2">
      <c r="A54" s="332">
        <v>1</v>
      </c>
      <c r="C54" s="342" t="str">
        <f>"            Share of Profit and Interest from Joint Ventures"</f>
        <v xml:space="preserve">            Share of Profit and Interest from Joint Ventures</v>
      </c>
      <c r="D54" s="343">
        <f t="shared" si="8"/>
        <v>216151.2977885</v>
      </c>
      <c r="E54" s="343">
        <f t="shared" si="9"/>
        <v>216151.2977885</v>
      </c>
      <c r="F54" s="343">
        <f t="shared" si="10"/>
        <v>-3697.404423</v>
      </c>
      <c r="G54" s="343">
        <f t="shared" si="11"/>
        <v>436000</v>
      </c>
      <c r="H54" s="343">
        <f t="shared" si="12"/>
        <v>106226.94668275</v>
      </c>
      <c r="I54" s="343">
        <f t="shared" si="13"/>
        <v>326075.64889424999</v>
      </c>
      <c r="J54" s="343">
        <f t="shared" si="14"/>
        <v>310913.0163376272</v>
      </c>
      <c r="K54" s="344">
        <f t="shared" si="15"/>
        <v>1.4384045782683654</v>
      </c>
      <c r="L54" s="345"/>
      <c r="M54" s="345" t="s">
        <v>679</v>
      </c>
      <c r="N54" s="345" t="s">
        <v>679</v>
      </c>
      <c r="O54" s="345" t="s">
        <v>679</v>
      </c>
      <c r="P54" s="345" t="s">
        <v>679</v>
      </c>
      <c r="Q54" s="345">
        <v>-3697.404423</v>
      </c>
      <c r="R54" s="346" t="s">
        <v>679</v>
      </c>
      <c r="S54" s="345" t="s">
        <v>679</v>
      </c>
      <c r="T54" s="345">
        <v>436000</v>
      </c>
      <c r="U54" s="345" t="s">
        <v>679</v>
      </c>
      <c r="V54" s="345" t="s">
        <v>679</v>
      </c>
      <c r="X54" s="390"/>
      <c r="Y54" s="388"/>
      <c r="Z54" s="388"/>
      <c r="AA54" s="388"/>
      <c r="AB54" s="388"/>
      <c r="AC54" s="388"/>
      <c r="AD54" s="388"/>
      <c r="AE54" s="388"/>
      <c r="AF54" s="388"/>
      <c r="AG54" s="388"/>
      <c r="AH54" s="388"/>
      <c r="AI54" s="388"/>
      <c r="AJ54" s="388"/>
      <c r="AK54" s="388"/>
      <c r="AL54" s="388"/>
      <c r="AM54" s="388"/>
      <c r="AN54" s="388"/>
      <c r="AO54" s="388"/>
      <c r="AP54" s="388"/>
      <c r="AQ54" s="388"/>
      <c r="AR54" s="388"/>
      <c r="AS54" s="388"/>
    </row>
    <row r="55" spans="1:45" hidden="1" outlineLevel="3" x14ac:dyDescent="0.2">
      <c r="A55" s="332">
        <v>1</v>
      </c>
      <c r="C55" s="347" t="str">
        <f>"            Total Income from Associates, Joint Ventures and Other Participating Interests"</f>
        <v xml:space="preserve">            Total Income from Associates, Joint Ventures and Other Participating Interests</v>
      </c>
      <c r="D55" s="348">
        <f t="shared" si="8"/>
        <v>-9000</v>
      </c>
      <c r="E55" s="348">
        <f t="shared" si="9"/>
        <v>-79369.190807400009</v>
      </c>
      <c r="F55" s="348">
        <f t="shared" si="10"/>
        <v>-801000</v>
      </c>
      <c r="G55" s="348">
        <f t="shared" si="11"/>
        <v>436000</v>
      </c>
      <c r="H55" s="348">
        <f t="shared" si="12"/>
        <v>-20381.017755000001</v>
      </c>
      <c r="I55" s="348">
        <f t="shared" si="13"/>
        <v>-2464.9362820000001</v>
      </c>
      <c r="J55" s="348">
        <f t="shared" si="14"/>
        <v>447409.80083936936</v>
      </c>
      <c r="K55" s="349">
        <f t="shared" si="15"/>
        <v>-5.6370714667492239</v>
      </c>
      <c r="L55" s="350"/>
      <c r="M55" s="350" t="s">
        <v>679</v>
      </c>
      <c r="N55" s="350" t="s">
        <v>679</v>
      </c>
      <c r="O55" s="350">
        <v>-801000</v>
      </c>
      <c r="P55" s="350" t="s">
        <v>679</v>
      </c>
      <c r="Q55" s="350">
        <v>-2464.9362820000001</v>
      </c>
      <c r="R55" s="351" t="s">
        <v>679</v>
      </c>
      <c r="S55" s="350">
        <v>-9000</v>
      </c>
      <c r="T55" s="350">
        <v>436000</v>
      </c>
      <c r="U55" s="350">
        <v>-20381.017755000001</v>
      </c>
      <c r="V55" s="350" t="s">
        <v>679</v>
      </c>
      <c r="X55" s="390"/>
      <c r="Y55" s="388"/>
      <c r="Z55" s="388"/>
      <c r="AA55" s="388"/>
      <c r="AB55" s="388"/>
      <c r="AC55" s="388"/>
      <c r="AD55" s="388"/>
      <c r="AE55" s="388"/>
      <c r="AF55" s="388"/>
      <c r="AG55" s="388"/>
      <c r="AH55" s="388"/>
      <c r="AI55" s="388"/>
      <c r="AJ55" s="388"/>
      <c r="AK55" s="388"/>
      <c r="AL55" s="388"/>
      <c r="AM55" s="388"/>
      <c r="AN55" s="388"/>
      <c r="AO55" s="388"/>
      <c r="AP55" s="388"/>
      <c r="AQ55" s="388"/>
      <c r="AR55" s="388"/>
      <c r="AS55" s="388"/>
    </row>
    <row r="56" spans="1:45" outlineLevel="2" collapsed="1" x14ac:dyDescent="0.2">
      <c r="A56" s="332">
        <v>1</v>
      </c>
      <c r="C56" s="342" t="str">
        <f>"        Gain/(Loss) on Foreign Exchange"</f>
        <v xml:space="preserve">        Gain/(Loss) on Foreign Exchange</v>
      </c>
      <c r="D56" s="343">
        <f t="shared" si="8"/>
        <v>-35500</v>
      </c>
      <c r="E56" s="343">
        <f t="shared" si="9"/>
        <v>33148.502458399977</v>
      </c>
      <c r="F56" s="343">
        <f t="shared" si="10"/>
        <v>-237000</v>
      </c>
      <c r="G56" s="343">
        <f t="shared" si="11"/>
        <v>626448.12467999989</v>
      </c>
      <c r="H56" s="343">
        <f t="shared" si="12"/>
        <v>-184000</v>
      </c>
      <c r="I56" s="343">
        <f t="shared" si="13"/>
        <v>-4205.6123879999996</v>
      </c>
      <c r="J56" s="343">
        <f t="shared" si="14"/>
        <v>345776.68877993862</v>
      </c>
      <c r="K56" s="344">
        <f t="shared" si="15"/>
        <v>10.431140568533204</v>
      </c>
      <c r="L56" s="345"/>
      <c r="M56" s="345" t="s">
        <v>679</v>
      </c>
      <c r="N56" s="345">
        <v>-35500</v>
      </c>
      <c r="O56" s="345" t="s">
        <v>679</v>
      </c>
      <c r="P56" s="345" t="s">
        <v>679</v>
      </c>
      <c r="Q56" s="345" t="s">
        <v>679</v>
      </c>
      <c r="R56" s="346">
        <v>-237000</v>
      </c>
      <c r="S56" s="345">
        <v>-184000</v>
      </c>
      <c r="T56" s="345" t="s">
        <v>679</v>
      </c>
      <c r="U56" s="345">
        <v>626448.12467999989</v>
      </c>
      <c r="V56" s="345">
        <v>-4205.6123879999996</v>
      </c>
      <c r="X56" s="390"/>
      <c r="Y56" s="388"/>
      <c r="Z56" s="388"/>
      <c r="AA56" s="388"/>
      <c r="AB56" s="388"/>
      <c r="AC56" s="388"/>
      <c r="AD56" s="388"/>
      <c r="AE56" s="388"/>
      <c r="AF56" s="388"/>
      <c r="AG56" s="388"/>
      <c r="AH56" s="388"/>
      <c r="AI56" s="388"/>
      <c r="AJ56" s="388"/>
      <c r="AK56" s="388"/>
      <c r="AL56" s="388"/>
      <c r="AM56" s="388"/>
      <c r="AN56" s="388"/>
      <c r="AO56" s="388"/>
      <c r="AP56" s="388"/>
      <c r="AQ56" s="388"/>
      <c r="AR56" s="388"/>
      <c r="AS56" s="388"/>
    </row>
    <row r="57" spans="1:45" outlineLevel="2" collapsed="1" x14ac:dyDescent="0.2">
      <c r="A57" s="332">
        <v>1</v>
      </c>
      <c r="C57" s="342" t="str">
        <f>IF(SUBTOTAL(109,A57)=A57,"        Gain/(Loss) on Derivatives","        Gain/(Loss) on Derivatives")</f>
        <v xml:space="preserve">        Gain/(Loss) on Derivatives</v>
      </c>
      <c r="D57" s="343" t="str">
        <f t="shared" si="8"/>
        <v/>
      </c>
      <c r="E57" s="343" t="str">
        <f t="shared" si="9"/>
        <v/>
      </c>
      <c r="F57" s="343" t="str">
        <f t="shared" si="10"/>
        <v/>
      </c>
      <c r="G57" s="343" t="str">
        <f t="shared" si="11"/>
        <v/>
      </c>
      <c r="H57" s="343" t="str">
        <f t="shared" si="12"/>
        <v/>
      </c>
      <c r="I57" s="343" t="str">
        <f t="shared" si="13"/>
        <v/>
      </c>
      <c r="J57" s="343" t="str">
        <f t="shared" si="14"/>
        <v/>
      </c>
      <c r="K57" s="344" t="str">
        <f t="shared" si="15"/>
        <v/>
      </c>
      <c r="L57" s="345"/>
      <c r="M57" s="345" t="str">
        <f>IF(SUBTOTAL(109,A57)=A57,"","")</f>
        <v/>
      </c>
      <c r="N57" s="345" t="str">
        <f>IF(SUBTOTAL(109,A57)=A57,"","")</f>
        <v/>
      </c>
      <c r="O57" s="345" t="str">
        <f>IF(SUBTOTAL(109,A57)=A57,"","")</f>
        <v/>
      </c>
      <c r="P57" s="345" t="str">
        <f>IF(SUBTOTAL(109,A57)=A57,"","")</f>
        <v/>
      </c>
      <c r="Q57" s="345" t="str">
        <f>IF(SUBTOTAL(109,A57)=A57,"",-88737.706152)</f>
        <v/>
      </c>
      <c r="R57" s="346" t="str">
        <f>IF(SUBTOTAL(109,A57)=A57,"","")</f>
        <v/>
      </c>
      <c r="S57" s="345" t="str">
        <f>IF(SUBTOTAL(109,A57)=A57,"","")</f>
        <v/>
      </c>
      <c r="T57" s="345" t="str">
        <f>IF(SUBTOTAL(109,A57)=A57,"","")</f>
        <v/>
      </c>
      <c r="U57" s="345" t="str">
        <f>IF(SUBTOTAL(109,A57)=A57,"",-848493.949695)</f>
        <v/>
      </c>
      <c r="V57" s="345" t="str">
        <f>IF(SUBTOTAL(109,A57)=A57,"","")</f>
        <v/>
      </c>
      <c r="X57" s="390"/>
      <c r="Y57" s="388"/>
      <c r="Z57" s="388"/>
      <c r="AA57" s="388"/>
      <c r="AB57" s="388"/>
      <c r="AC57" s="388"/>
      <c r="AD57" s="388"/>
      <c r="AE57" s="388"/>
      <c r="AF57" s="388"/>
      <c r="AG57" s="388"/>
      <c r="AH57" s="388"/>
      <c r="AI57" s="388"/>
      <c r="AJ57" s="388"/>
      <c r="AK57" s="388"/>
      <c r="AL57" s="388"/>
      <c r="AM57" s="388"/>
      <c r="AN57" s="388"/>
      <c r="AO57" s="388"/>
      <c r="AP57" s="388"/>
      <c r="AQ57" s="388"/>
      <c r="AR57" s="388"/>
      <c r="AS57" s="388"/>
    </row>
    <row r="58" spans="1:45" hidden="1" outlineLevel="3" x14ac:dyDescent="0.2">
      <c r="A58" s="332">
        <v>1</v>
      </c>
      <c r="C58" s="342" t="str">
        <f>"            Realized Gain/(Loss) on Derivatives"</f>
        <v xml:space="preserve">            Realized Gain/(Loss) on Derivatives</v>
      </c>
      <c r="D58" s="343">
        <f t="shared" si="8"/>
        <v>-417548.29157</v>
      </c>
      <c r="E58" s="343">
        <f t="shared" si="9"/>
        <v>-417548.29157</v>
      </c>
      <c r="F58" s="343">
        <f t="shared" si="10"/>
        <v>-847421.26454999996</v>
      </c>
      <c r="G58" s="343">
        <f t="shared" si="11"/>
        <v>12324.681410000001</v>
      </c>
      <c r="H58" s="343">
        <f t="shared" si="12"/>
        <v>-632484.77805999992</v>
      </c>
      <c r="I58" s="343">
        <f t="shared" si="13"/>
        <v>-202611.80508000008</v>
      </c>
      <c r="J58" s="343">
        <f t="shared" si="14"/>
        <v>607932.18848595896</v>
      </c>
      <c r="K58" s="344">
        <f t="shared" si="15"/>
        <v>-1.4559565941465289</v>
      </c>
      <c r="L58" s="345"/>
      <c r="M58" s="345" t="s">
        <v>679</v>
      </c>
      <c r="N58" s="345" t="s">
        <v>679</v>
      </c>
      <c r="O58" s="345" t="s">
        <v>679</v>
      </c>
      <c r="P58" s="345" t="s">
        <v>679</v>
      </c>
      <c r="Q58" s="345">
        <v>12324.681410000001</v>
      </c>
      <c r="R58" s="346" t="s">
        <v>679</v>
      </c>
      <c r="S58" s="345" t="s">
        <v>679</v>
      </c>
      <c r="T58" s="345" t="s">
        <v>679</v>
      </c>
      <c r="U58" s="345">
        <v>-847421.26454999996</v>
      </c>
      <c r="V58" s="345" t="s">
        <v>679</v>
      </c>
      <c r="X58" s="390"/>
      <c r="Y58" s="388"/>
      <c r="Z58" s="388"/>
      <c r="AA58" s="388"/>
      <c r="AB58" s="388"/>
      <c r="AC58" s="388"/>
      <c r="AD58" s="388"/>
      <c r="AE58" s="388"/>
      <c r="AF58" s="388"/>
      <c r="AG58" s="388"/>
      <c r="AH58" s="388"/>
      <c r="AI58" s="388"/>
      <c r="AJ58" s="388"/>
      <c r="AK58" s="388"/>
      <c r="AL58" s="388"/>
      <c r="AM58" s="388"/>
      <c r="AN58" s="388"/>
      <c r="AO58" s="388"/>
      <c r="AP58" s="388"/>
      <c r="AQ58" s="388"/>
      <c r="AR58" s="388"/>
      <c r="AS58" s="388"/>
    </row>
    <row r="59" spans="1:45" hidden="1" outlineLevel="3" x14ac:dyDescent="0.2">
      <c r="A59" s="332">
        <v>1</v>
      </c>
      <c r="C59" s="342" t="str">
        <f>"            Unrealized Gain/Loss on Derivatives"</f>
        <v xml:space="preserve">            Unrealized Gain/Loss on Derivatives</v>
      </c>
      <c r="D59" s="343">
        <f t="shared" si="8"/>
        <v>-101062.387562</v>
      </c>
      <c r="E59" s="343">
        <f t="shared" si="9"/>
        <v>-101062.387562</v>
      </c>
      <c r="F59" s="343">
        <f t="shared" si="10"/>
        <v>-101062.387562</v>
      </c>
      <c r="G59" s="343">
        <f t="shared" si="11"/>
        <v>-101062.387562</v>
      </c>
      <c r="H59" s="343">
        <f t="shared" si="12"/>
        <v>-101062.387562</v>
      </c>
      <c r="I59" s="343">
        <f t="shared" si="13"/>
        <v>-101062.387562</v>
      </c>
      <c r="J59" s="343" t="str">
        <f t="shared" si="14"/>
        <v/>
      </c>
      <c r="K59" s="344" t="str">
        <f t="shared" si="15"/>
        <v/>
      </c>
      <c r="L59" s="345"/>
      <c r="M59" s="345" t="s">
        <v>679</v>
      </c>
      <c r="N59" s="345" t="s">
        <v>679</v>
      </c>
      <c r="O59" s="345" t="s">
        <v>679</v>
      </c>
      <c r="P59" s="345" t="s">
        <v>679</v>
      </c>
      <c r="Q59" s="345">
        <v>-101062.387562</v>
      </c>
      <c r="R59" s="346" t="s">
        <v>679</v>
      </c>
      <c r="S59" s="345" t="s">
        <v>679</v>
      </c>
      <c r="T59" s="345" t="s">
        <v>679</v>
      </c>
      <c r="U59" s="345" t="s">
        <v>679</v>
      </c>
      <c r="V59" s="345" t="s">
        <v>679</v>
      </c>
      <c r="X59" s="390"/>
      <c r="Y59" s="388"/>
      <c r="Z59" s="388"/>
      <c r="AA59" s="388"/>
      <c r="AB59" s="388"/>
      <c r="AC59" s="388"/>
      <c r="AD59" s="388"/>
      <c r="AE59" s="388"/>
      <c r="AF59" s="388"/>
      <c r="AG59" s="388"/>
      <c r="AH59" s="388"/>
      <c r="AI59" s="388"/>
      <c r="AJ59" s="388"/>
      <c r="AK59" s="388"/>
      <c r="AL59" s="388"/>
      <c r="AM59" s="388"/>
      <c r="AN59" s="388"/>
      <c r="AO59" s="388"/>
      <c r="AP59" s="388"/>
      <c r="AQ59" s="388"/>
      <c r="AR59" s="388"/>
      <c r="AS59" s="388"/>
    </row>
    <row r="60" spans="1:45" hidden="1" outlineLevel="3" x14ac:dyDescent="0.2">
      <c r="A60" s="332">
        <v>1</v>
      </c>
      <c r="C60" s="347" t="str">
        <f>"            Total Gain/(Loss) on Derivatives"</f>
        <v xml:space="preserve">            Total Gain/(Loss) on Derivatives</v>
      </c>
      <c r="D60" s="348">
        <f t="shared" si="8"/>
        <v>-468615.82792349998</v>
      </c>
      <c r="E60" s="348">
        <f t="shared" si="9"/>
        <v>-468615.82792349998</v>
      </c>
      <c r="F60" s="348">
        <f t="shared" si="10"/>
        <v>-848493.94969499996</v>
      </c>
      <c r="G60" s="348">
        <f t="shared" si="11"/>
        <v>-88737.706151999999</v>
      </c>
      <c r="H60" s="348">
        <f t="shared" si="12"/>
        <v>-658554.88880924997</v>
      </c>
      <c r="I60" s="348">
        <f t="shared" si="13"/>
        <v>-278676.76703774999</v>
      </c>
      <c r="J60" s="348">
        <f t="shared" si="14"/>
        <v>537228.79185807332</v>
      </c>
      <c r="K60" s="349">
        <f t="shared" si="15"/>
        <v>-1.1464162323295963</v>
      </c>
      <c r="L60" s="350"/>
      <c r="M60" s="350" t="s">
        <v>679</v>
      </c>
      <c r="N60" s="350" t="s">
        <v>679</v>
      </c>
      <c r="O60" s="350" t="s">
        <v>679</v>
      </c>
      <c r="P60" s="350" t="s">
        <v>679</v>
      </c>
      <c r="Q60" s="350">
        <v>-88737.706151999999</v>
      </c>
      <c r="R60" s="351" t="s">
        <v>679</v>
      </c>
      <c r="S60" s="350" t="s">
        <v>679</v>
      </c>
      <c r="T60" s="350" t="s">
        <v>679</v>
      </c>
      <c r="U60" s="350">
        <v>-848493.94969499996</v>
      </c>
      <c r="V60" s="350" t="s">
        <v>679</v>
      </c>
      <c r="X60" s="390"/>
      <c r="Y60" s="388"/>
      <c r="Z60" s="388"/>
      <c r="AA60" s="388"/>
      <c r="AB60" s="388"/>
      <c r="AC60" s="388"/>
      <c r="AD60" s="388"/>
      <c r="AE60" s="388"/>
      <c r="AF60" s="388"/>
      <c r="AG60" s="388"/>
      <c r="AH60" s="388"/>
      <c r="AI60" s="388"/>
      <c r="AJ60" s="388"/>
      <c r="AK60" s="388"/>
      <c r="AL60" s="388"/>
      <c r="AM60" s="388"/>
      <c r="AN60" s="388"/>
      <c r="AO60" s="388"/>
      <c r="AP60" s="388"/>
      <c r="AQ60" s="388"/>
      <c r="AR60" s="388"/>
      <c r="AS60" s="388"/>
    </row>
    <row r="61" spans="1:45" outlineLevel="2" collapsed="1" x14ac:dyDescent="0.2">
      <c r="A61" s="332">
        <v>1</v>
      </c>
      <c r="C61" s="342" t="str">
        <f>"        Other Investment Income"</f>
        <v xml:space="preserve">        Other Investment Income</v>
      </c>
      <c r="D61" s="343">
        <f t="shared" si="8"/>
        <v>171000</v>
      </c>
      <c r="E61" s="343">
        <f t="shared" si="9"/>
        <v>171000</v>
      </c>
      <c r="F61" s="343">
        <f t="shared" si="10"/>
        <v>171000</v>
      </c>
      <c r="G61" s="343">
        <f t="shared" si="11"/>
        <v>171000</v>
      </c>
      <c r="H61" s="343">
        <f t="shared" si="12"/>
        <v>171000</v>
      </c>
      <c r="I61" s="343">
        <f t="shared" si="13"/>
        <v>171000</v>
      </c>
      <c r="J61" s="343" t="str">
        <f t="shared" si="14"/>
        <v/>
      </c>
      <c r="K61" s="344" t="str">
        <f t="shared" si="15"/>
        <v/>
      </c>
      <c r="L61" s="345"/>
      <c r="M61" s="345" t="s">
        <v>679</v>
      </c>
      <c r="N61" s="345" t="s">
        <v>679</v>
      </c>
      <c r="O61" s="345">
        <v>171000</v>
      </c>
      <c r="P61" s="345" t="s">
        <v>679</v>
      </c>
      <c r="Q61" s="345" t="s">
        <v>679</v>
      </c>
      <c r="R61" s="346" t="s">
        <v>679</v>
      </c>
      <c r="S61" s="345" t="s">
        <v>679</v>
      </c>
      <c r="T61" s="345" t="s">
        <v>679</v>
      </c>
      <c r="U61" s="345" t="s">
        <v>679</v>
      </c>
      <c r="V61" s="345" t="s">
        <v>679</v>
      </c>
      <c r="X61" s="390"/>
      <c r="Y61" s="388"/>
      <c r="Z61" s="388"/>
      <c r="AA61" s="388"/>
      <c r="AB61" s="388"/>
      <c r="AC61" s="388"/>
      <c r="AD61" s="388"/>
      <c r="AE61" s="388"/>
      <c r="AF61" s="388"/>
      <c r="AG61" s="388"/>
      <c r="AH61" s="388"/>
      <c r="AI61" s="388"/>
      <c r="AJ61" s="388"/>
      <c r="AK61" s="388"/>
      <c r="AL61" s="388"/>
      <c r="AM61" s="388"/>
      <c r="AN61" s="388"/>
      <c r="AO61" s="388"/>
      <c r="AP61" s="388"/>
      <c r="AQ61" s="388"/>
      <c r="AR61" s="388"/>
      <c r="AS61" s="388"/>
    </row>
    <row r="62" spans="1:45" outlineLevel="2" x14ac:dyDescent="0.2">
      <c r="A62" s="332">
        <v>1</v>
      </c>
      <c r="C62" s="347" t="str">
        <f>"        Total Net Investment Income"</f>
        <v xml:space="preserve">        Total Net Investment Income</v>
      </c>
      <c r="D62" s="348">
        <f t="shared" si="8"/>
        <v>-449243.04458499997</v>
      </c>
      <c r="E62" s="348">
        <f t="shared" si="9"/>
        <v>-379925.09445812501</v>
      </c>
      <c r="F62" s="348">
        <f t="shared" si="10"/>
        <v>-1656000</v>
      </c>
      <c r="G62" s="348">
        <f t="shared" si="11"/>
        <v>1178239.5427959999</v>
      </c>
      <c r="H62" s="348">
        <f t="shared" si="12"/>
        <v>-681750</v>
      </c>
      <c r="I62" s="348">
        <f t="shared" si="13"/>
        <v>-145538.55232275001</v>
      </c>
      <c r="J62" s="348">
        <f t="shared" si="14"/>
        <v>806353.32428510743</v>
      </c>
      <c r="K62" s="349">
        <f t="shared" si="15"/>
        <v>-2.1224007996502134</v>
      </c>
      <c r="L62" s="350"/>
      <c r="M62" s="350" t="s">
        <v>679</v>
      </c>
      <c r="N62" s="350">
        <v>-312800</v>
      </c>
      <c r="O62" s="350">
        <v>-630000</v>
      </c>
      <c r="P62" s="350" t="s">
        <v>679</v>
      </c>
      <c r="Q62" s="350">
        <v>1178239.5427959999</v>
      </c>
      <c r="R62" s="351">
        <v>-1656000</v>
      </c>
      <c r="S62" s="350">
        <v>-193000</v>
      </c>
      <c r="T62" s="350">
        <v>-837000</v>
      </c>
      <c r="U62" s="350">
        <v>-585686.08916999993</v>
      </c>
      <c r="V62" s="350">
        <v>-3154.2092909999997</v>
      </c>
      <c r="X62" s="390"/>
      <c r="Y62" s="388"/>
      <c r="Z62" s="388"/>
      <c r="AA62" s="388"/>
      <c r="AB62" s="388"/>
      <c r="AC62" s="388"/>
      <c r="AD62" s="388"/>
      <c r="AE62" s="388"/>
      <c r="AF62" s="388"/>
      <c r="AG62" s="388"/>
      <c r="AH62" s="388"/>
      <c r="AI62" s="388"/>
      <c r="AJ62" s="388"/>
      <c r="AK62" s="388"/>
      <c r="AL62" s="388"/>
      <c r="AM62" s="388"/>
      <c r="AN62" s="388"/>
      <c r="AO62" s="388"/>
      <c r="AP62" s="388"/>
      <c r="AQ62" s="388"/>
      <c r="AR62" s="388"/>
      <c r="AS62" s="388"/>
    </row>
    <row r="63" spans="1:45" outlineLevel="1" x14ac:dyDescent="0.2">
      <c r="A63" s="332">
        <v>1</v>
      </c>
      <c r="C63" s="342" t="str">
        <f>IF(SUBTOTAL(109,A63)=A63,"    Irregular (Income)/Expenses","    Irregular (Income)/Expenses")</f>
        <v xml:space="preserve">    Irregular (Income)/Expenses</v>
      </c>
      <c r="D63" s="343" t="str">
        <f t="shared" si="8"/>
        <v/>
      </c>
      <c r="E63" s="343" t="str">
        <f t="shared" si="9"/>
        <v/>
      </c>
      <c r="F63" s="343" t="str">
        <f t="shared" si="10"/>
        <v/>
      </c>
      <c r="G63" s="343" t="str">
        <f t="shared" si="11"/>
        <v/>
      </c>
      <c r="H63" s="343" t="str">
        <f t="shared" si="12"/>
        <v/>
      </c>
      <c r="I63" s="343" t="str">
        <f t="shared" si="13"/>
        <v/>
      </c>
      <c r="J63" s="343" t="str">
        <f t="shared" si="14"/>
        <v/>
      </c>
      <c r="K63" s="344" t="str">
        <f t="shared" si="15"/>
        <v/>
      </c>
      <c r="L63" s="345"/>
      <c r="M63" s="345" t="str">
        <f>IF(SUBTOTAL(109,A63)=A63,"",0)</f>
        <v/>
      </c>
      <c r="N63" s="345" t="str">
        <f>IF(SUBTOTAL(109,A63)=A63,"",-1170100)</f>
        <v/>
      </c>
      <c r="O63" s="345" t="str">
        <f>IF(SUBTOTAL(109,A63)=A63,"",1554000)</f>
        <v/>
      </c>
      <c r="P63" s="345" t="str">
        <f>IF(SUBTOTAL(109,A63)=A63,"",3644000)</f>
        <v/>
      </c>
      <c r="Q63" s="345" t="str">
        <f>IF(SUBTOTAL(109,A63)=A63,"",1517168.281571)</f>
        <v/>
      </c>
      <c r="R63" s="346" t="str">
        <f>IF(SUBTOTAL(109,A63)=A63,"",337000)</f>
        <v/>
      </c>
      <c r="S63" s="345" t="str">
        <f>IF(SUBTOTAL(109,A63)=A63,"","")</f>
        <v/>
      </c>
      <c r="T63" s="345" t="str">
        <f>IF(SUBTOTAL(109,A63)=A63,"",2791000)</f>
        <v/>
      </c>
      <c r="U63" s="345" t="str">
        <f>IF(SUBTOTAL(109,A63)=A63,"",32180.55435)</f>
        <v/>
      </c>
      <c r="V63" s="345" t="str">
        <f>IF(SUBTOTAL(109,A63)=A63,"",898949.647934999)</f>
        <v/>
      </c>
      <c r="X63" s="390"/>
      <c r="Y63" s="388"/>
      <c r="Z63" s="388"/>
      <c r="AA63" s="388"/>
      <c r="AB63" s="388"/>
      <c r="AC63" s="388"/>
      <c r="AD63" s="388"/>
      <c r="AE63" s="388"/>
      <c r="AF63" s="388"/>
      <c r="AG63" s="388"/>
      <c r="AH63" s="388"/>
      <c r="AI63" s="388"/>
      <c r="AJ63" s="388"/>
      <c r="AK63" s="388"/>
      <c r="AL63" s="388"/>
      <c r="AM63" s="388"/>
      <c r="AN63" s="388"/>
      <c r="AO63" s="388"/>
      <c r="AP63" s="388"/>
      <c r="AQ63" s="388"/>
      <c r="AR63" s="388"/>
      <c r="AS63" s="388"/>
    </row>
    <row r="64" spans="1:45" outlineLevel="2" x14ac:dyDescent="0.2">
      <c r="A64" s="332">
        <v>1</v>
      </c>
      <c r="C64" s="342" t="str">
        <f>"        (Gain)/Loss on Disposal of Businesses"</f>
        <v xml:space="preserve">        (Gain)/Loss on Disposal of Businesses</v>
      </c>
      <c r="D64" s="343">
        <f t="shared" si="8"/>
        <v>-264980.65031499998</v>
      </c>
      <c r="E64" s="343">
        <f t="shared" si="9"/>
        <v>-660460.21677166666</v>
      </c>
      <c r="F64" s="343">
        <f t="shared" si="10"/>
        <v>-1505400</v>
      </c>
      <c r="G64" s="343">
        <f t="shared" si="11"/>
        <v>-211000</v>
      </c>
      <c r="H64" s="343">
        <f t="shared" si="12"/>
        <v>-885190.32515749999</v>
      </c>
      <c r="I64" s="343">
        <f t="shared" si="13"/>
        <v>-237990.32515749999</v>
      </c>
      <c r="J64" s="343">
        <f t="shared" si="14"/>
        <v>732236.91904571757</v>
      </c>
      <c r="K64" s="344">
        <f t="shared" si="15"/>
        <v>-1.1086767990733732</v>
      </c>
      <c r="L64" s="345"/>
      <c r="M64" s="345" t="s">
        <v>679</v>
      </c>
      <c r="N64" s="345">
        <v>-1505400</v>
      </c>
      <c r="O64" s="345">
        <v>-211000</v>
      </c>
      <c r="P64" s="345" t="s">
        <v>679</v>
      </c>
      <c r="Q64" s="345">
        <v>-264980.65031499998</v>
      </c>
      <c r="R64" s="346" t="s">
        <v>679</v>
      </c>
      <c r="S64" s="345" t="s">
        <v>679</v>
      </c>
      <c r="T64" s="345" t="s">
        <v>679</v>
      </c>
      <c r="U64" s="345" t="s">
        <v>679</v>
      </c>
      <c r="V64" s="345" t="s">
        <v>679</v>
      </c>
      <c r="X64" s="390"/>
      <c r="Y64" s="388"/>
      <c r="Z64" s="388"/>
      <c r="AA64" s="388"/>
      <c r="AB64" s="388"/>
      <c r="AC64" s="388"/>
      <c r="AD64" s="388"/>
      <c r="AE64" s="388"/>
      <c r="AF64" s="388"/>
      <c r="AG64" s="388"/>
      <c r="AH64" s="388"/>
      <c r="AI64" s="388"/>
      <c r="AJ64" s="388"/>
      <c r="AK64" s="388"/>
      <c r="AL64" s="388"/>
      <c r="AM64" s="388"/>
      <c r="AN64" s="388"/>
      <c r="AO64" s="388"/>
      <c r="AP64" s="388"/>
      <c r="AQ64" s="388"/>
      <c r="AR64" s="388"/>
      <c r="AS64" s="388"/>
    </row>
    <row r="65" spans="1:45" outlineLevel="2" x14ac:dyDescent="0.2">
      <c r="A65" s="332">
        <v>1</v>
      </c>
      <c r="C65" s="342" t="str">
        <f>"        (Gain)/Loss on Asset Disposals"</f>
        <v xml:space="preserve">        (Gain)/Loss on Asset Disposals</v>
      </c>
      <c r="D65" s="343">
        <f t="shared" si="8"/>
        <v>-251850</v>
      </c>
      <c r="E65" s="343">
        <f t="shared" si="9"/>
        <v>-251850</v>
      </c>
      <c r="F65" s="343">
        <f t="shared" si="10"/>
        <v>-503700</v>
      </c>
      <c r="G65" s="343">
        <f t="shared" si="11"/>
        <v>0</v>
      </c>
      <c r="H65" s="343">
        <f t="shared" si="12"/>
        <v>-377775</v>
      </c>
      <c r="I65" s="343">
        <f t="shared" si="13"/>
        <v>-125925</v>
      </c>
      <c r="J65" s="343">
        <f t="shared" si="14"/>
        <v>356169.68568366399</v>
      </c>
      <c r="K65" s="344">
        <f t="shared" si="15"/>
        <v>-1.4142135623730951</v>
      </c>
      <c r="L65" s="345"/>
      <c r="M65" s="345" t="s">
        <v>679</v>
      </c>
      <c r="N65" s="345">
        <v>-503700</v>
      </c>
      <c r="O65" s="345" t="s">
        <v>679</v>
      </c>
      <c r="P65" s="345" t="s">
        <v>679</v>
      </c>
      <c r="Q65" s="345" t="s">
        <v>679</v>
      </c>
      <c r="R65" s="346" t="s">
        <v>679</v>
      </c>
      <c r="S65" s="345" t="s">
        <v>679</v>
      </c>
      <c r="T65" s="345">
        <v>0</v>
      </c>
      <c r="U65" s="345" t="s">
        <v>679</v>
      </c>
      <c r="V65" s="345" t="s">
        <v>679</v>
      </c>
      <c r="X65" s="390"/>
      <c r="Y65" s="388"/>
      <c r="Z65" s="388"/>
      <c r="AA65" s="388"/>
      <c r="AB65" s="388"/>
      <c r="AC65" s="388"/>
      <c r="AD65" s="388"/>
      <c r="AE65" s="388"/>
      <c r="AF65" s="388"/>
      <c r="AG65" s="388"/>
      <c r="AH65" s="388"/>
      <c r="AI65" s="388"/>
      <c r="AJ65" s="388"/>
      <c r="AK65" s="388"/>
      <c r="AL65" s="388"/>
      <c r="AM65" s="388"/>
      <c r="AN65" s="388"/>
      <c r="AO65" s="388"/>
      <c r="AP65" s="388"/>
      <c r="AQ65" s="388"/>
      <c r="AR65" s="388"/>
      <c r="AS65" s="388"/>
    </row>
    <row r="66" spans="1:45" outlineLevel="2" x14ac:dyDescent="0.2">
      <c r="A66" s="332">
        <v>1</v>
      </c>
      <c r="C66" s="342" t="str">
        <f>"        Impairment/Write Off/Write Down of Capital Assets"</f>
        <v xml:space="preserve">        Impairment/Write Off/Write Down of Capital Assets</v>
      </c>
      <c r="D66" s="343">
        <f t="shared" si="8"/>
        <v>-28168.503018999996</v>
      </c>
      <c r="E66" s="343">
        <f t="shared" si="9"/>
        <v>-28168.503018999967</v>
      </c>
      <c r="F66" s="343">
        <f t="shared" si="10"/>
        <v>-477337.00603799993</v>
      </c>
      <c r="G66" s="343">
        <f t="shared" si="11"/>
        <v>421000</v>
      </c>
      <c r="H66" s="343">
        <f t="shared" si="12"/>
        <v>-252752.75452849997</v>
      </c>
      <c r="I66" s="343">
        <f t="shared" si="13"/>
        <v>196415.74849049997</v>
      </c>
      <c r="J66" s="343">
        <f t="shared" si="14"/>
        <v>635220.18876029027</v>
      </c>
      <c r="K66" s="344">
        <f t="shared" si="15"/>
        <v>-22.550725834874051</v>
      </c>
      <c r="L66" s="345"/>
      <c r="M66" s="345" t="s">
        <v>679</v>
      </c>
      <c r="N66" s="345" t="s">
        <v>679</v>
      </c>
      <c r="O66" s="345" t="s">
        <v>679</v>
      </c>
      <c r="P66" s="345" t="s">
        <v>679</v>
      </c>
      <c r="Q66" s="345" t="s">
        <v>679</v>
      </c>
      <c r="R66" s="346" t="s">
        <v>679</v>
      </c>
      <c r="S66" s="345" t="s">
        <v>679</v>
      </c>
      <c r="T66" s="345">
        <v>421000</v>
      </c>
      <c r="U66" s="345" t="s">
        <v>679</v>
      </c>
      <c r="V66" s="345">
        <v>-477337.00603799993</v>
      </c>
      <c r="X66" s="390"/>
      <c r="Y66" s="388"/>
      <c r="Z66" s="388"/>
      <c r="AA66" s="388"/>
      <c r="AB66" s="388"/>
      <c r="AC66" s="388"/>
      <c r="AD66" s="388"/>
      <c r="AE66" s="388"/>
      <c r="AF66" s="388"/>
      <c r="AG66" s="388"/>
      <c r="AH66" s="388"/>
      <c r="AI66" s="388"/>
      <c r="AJ66" s="388"/>
      <c r="AK66" s="388"/>
      <c r="AL66" s="388"/>
      <c r="AM66" s="388"/>
      <c r="AN66" s="388"/>
      <c r="AO66" s="388"/>
      <c r="AP66" s="388"/>
      <c r="AQ66" s="388"/>
      <c r="AR66" s="388"/>
      <c r="AS66" s="388"/>
    </row>
    <row r="67" spans="1:45" outlineLevel="2" x14ac:dyDescent="0.2">
      <c r="A67" s="332">
        <v>1</v>
      </c>
      <c r="C67" s="342" t="str">
        <f>"        Goodwill Impairment/Write Off"</f>
        <v xml:space="preserve">        Goodwill Impairment/Write Off</v>
      </c>
      <c r="D67" s="343" t="str">
        <f t="shared" si="8"/>
        <v/>
      </c>
      <c r="E67" s="343" t="str">
        <f t="shared" si="9"/>
        <v/>
      </c>
      <c r="F67" s="343" t="str">
        <f t="shared" si="10"/>
        <v/>
      </c>
      <c r="G67" s="343" t="str">
        <f t="shared" si="11"/>
        <v/>
      </c>
      <c r="H67" s="343" t="str">
        <f t="shared" si="12"/>
        <v/>
      </c>
      <c r="I67" s="343" t="str">
        <f t="shared" si="13"/>
        <v/>
      </c>
      <c r="J67" s="343" t="str">
        <f t="shared" si="14"/>
        <v/>
      </c>
      <c r="K67" s="344" t="str">
        <f t="shared" si="15"/>
        <v/>
      </c>
      <c r="L67" s="345"/>
      <c r="M67" s="345" t="s">
        <v>679</v>
      </c>
      <c r="N67" s="345" t="s">
        <v>679</v>
      </c>
      <c r="O67" s="345" t="s">
        <v>679</v>
      </c>
      <c r="P67" s="345" t="s">
        <v>679</v>
      </c>
      <c r="Q67" s="345" t="s">
        <v>679</v>
      </c>
      <c r="R67" s="346" t="s">
        <v>679</v>
      </c>
      <c r="S67" s="345" t="s">
        <v>679</v>
      </c>
      <c r="T67" s="345" t="s">
        <v>679</v>
      </c>
      <c r="U67" s="345" t="s">
        <v>679</v>
      </c>
      <c r="V67" s="345" t="s">
        <v>679</v>
      </c>
      <c r="X67" s="390"/>
      <c r="Y67" s="388"/>
      <c r="Z67" s="388"/>
      <c r="AA67" s="388"/>
      <c r="AB67" s="388"/>
      <c r="AC67" s="388"/>
      <c r="AD67" s="388"/>
      <c r="AE67" s="388"/>
      <c r="AF67" s="388"/>
      <c r="AG67" s="388"/>
      <c r="AH67" s="388"/>
      <c r="AI67" s="388"/>
      <c r="AJ67" s="388"/>
      <c r="AK67" s="388"/>
      <c r="AL67" s="388"/>
      <c r="AM67" s="388"/>
      <c r="AN67" s="388"/>
      <c r="AO67" s="388"/>
      <c r="AP67" s="388"/>
      <c r="AQ67" s="388"/>
      <c r="AR67" s="388"/>
      <c r="AS67" s="388"/>
    </row>
    <row r="68" spans="1:45" outlineLevel="2" x14ac:dyDescent="0.2">
      <c r="A68" s="332">
        <v>1</v>
      </c>
      <c r="C68" s="342" t="str">
        <f>"        Impairment/Write Off/Write Down of Other Assets"</f>
        <v xml:space="preserve">        Impairment/Write Off/Write Down of Other Assets</v>
      </c>
      <c r="D68" s="343">
        <f t="shared" si="8"/>
        <v>2700000</v>
      </c>
      <c r="E68" s="343">
        <f t="shared" si="9"/>
        <v>2700000</v>
      </c>
      <c r="F68" s="343">
        <f t="shared" si="10"/>
        <v>2700000</v>
      </c>
      <c r="G68" s="343">
        <f t="shared" si="11"/>
        <v>2700000</v>
      </c>
      <c r="H68" s="343">
        <f t="shared" si="12"/>
        <v>2700000</v>
      </c>
      <c r="I68" s="343">
        <f t="shared" si="13"/>
        <v>2700000</v>
      </c>
      <c r="J68" s="343" t="str">
        <f t="shared" si="14"/>
        <v/>
      </c>
      <c r="K68" s="344" t="str">
        <f t="shared" si="15"/>
        <v/>
      </c>
      <c r="L68" s="345"/>
      <c r="M68" s="345" t="s">
        <v>679</v>
      </c>
      <c r="N68" s="345" t="s">
        <v>679</v>
      </c>
      <c r="O68" s="345" t="s">
        <v>679</v>
      </c>
      <c r="P68" s="345">
        <v>2700000</v>
      </c>
      <c r="Q68" s="345" t="s">
        <v>679</v>
      </c>
      <c r="R68" s="346" t="s">
        <v>679</v>
      </c>
      <c r="S68" s="345" t="s">
        <v>679</v>
      </c>
      <c r="T68" s="345" t="s">
        <v>679</v>
      </c>
      <c r="U68" s="345" t="s">
        <v>679</v>
      </c>
      <c r="V68" s="345" t="s">
        <v>679</v>
      </c>
      <c r="X68" s="390"/>
      <c r="Y68" s="388"/>
      <c r="Z68" s="388"/>
      <c r="AA68" s="388"/>
      <c r="AB68" s="388"/>
      <c r="AC68" s="388"/>
      <c r="AD68" s="388"/>
      <c r="AE68" s="388"/>
      <c r="AF68" s="388"/>
      <c r="AG68" s="388"/>
      <c r="AH68" s="388"/>
      <c r="AI68" s="388"/>
      <c r="AJ68" s="388"/>
      <c r="AK68" s="388"/>
      <c r="AL68" s="388"/>
      <c r="AM68" s="388"/>
      <c r="AN68" s="388"/>
      <c r="AO68" s="388"/>
      <c r="AP68" s="388"/>
      <c r="AQ68" s="388"/>
      <c r="AR68" s="388"/>
      <c r="AS68" s="388"/>
    </row>
    <row r="69" spans="1:45" outlineLevel="2" x14ac:dyDescent="0.2">
      <c r="A69" s="332">
        <v>1</v>
      </c>
      <c r="C69" s="342" t="str">
        <f>"        (Gain)/Loss on Extinguishment of Debt"</f>
        <v xml:space="preserve">        (Gain)/Loss on Extinguishment of Debt</v>
      </c>
      <c r="D69" s="343">
        <f t="shared" si="8"/>
        <v>266000</v>
      </c>
      <c r="E69" s="343">
        <f t="shared" si="9"/>
        <v>266000</v>
      </c>
      <c r="F69" s="343">
        <f t="shared" si="10"/>
        <v>266000</v>
      </c>
      <c r="G69" s="343">
        <f t="shared" si="11"/>
        <v>266000</v>
      </c>
      <c r="H69" s="343">
        <f t="shared" si="12"/>
        <v>266000</v>
      </c>
      <c r="I69" s="343">
        <f t="shared" si="13"/>
        <v>266000</v>
      </c>
      <c r="J69" s="343" t="str">
        <f t="shared" si="14"/>
        <v/>
      </c>
      <c r="K69" s="344" t="str">
        <f t="shared" si="15"/>
        <v/>
      </c>
      <c r="L69" s="345"/>
      <c r="M69" s="345" t="s">
        <v>679</v>
      </c>
      <c r="N69" s="345" t="s">
        <v>679</v>
      </c>
      <c r="O69" s="345">
        <v>266000</v>
      </c>
      <c r="P69" s="345" t="s">
        <v>679</v>
      </c>
      <c r="Q69" s="345" t="s">
        <v>679</v>
      </c>
      <c r="R69" s="346" t="s">
        <v>679</v>
      </c>
      <c r="S69" s="345" t="s">
        <v>679</v>
      </c>
      <c r="T69" s="345" t="s">
        <v>679</v>
      </c>
      <c r="U69" s="345" t="s">
        <v>679</v>
      </c>
      <c r="V69" s="345" t="s">
        <v>679</v>
      </c>
      <c r="X69" s="390"/>
      <c r="Y69" s="388"/>
      <c r="Z69" s="388"/>
      <c r="AA69" s="388"/>
      <c r="AB69" s="388"/>
      <c r="AC69" s="388"/>
      <c r="AD69" s="388"/>
      <c r="AE69" s="388"/>
      <c r="AF69" s="388"/>
      <c r="AG69" s="388"/>
      <c r="AH69" s="388"/>
      <c r="AI69" s="388"/>
      <c r="AJ69" s="388"/>
      <c r="AK69" s="388"/>
      <c r="AL69" s="388"/>
      <c r="AM69" s="388"/>
      <c r="AN69" s="388"/>
      <c r="AO69" s="388"/>
      <c r="AP69" s="388"/>
      <c r="AQ69" s="388"/>
      <c r="AR69" s="388"/>
      <c r="AS69" s="388"/>
    </row>
    <row r="70" spans="1:45" outlineLevel="2" x14ac:dyDescent="0.2">
      <c r="A70" s="332">
        <v>1</v>
      </c>
      <c r="C70" s="342" t="str">
        <f>"        Debt Restructuring"</f>
        <v xml:space="preserve">        Debt Restructuring</v>
      </c>
      <c r="D70" s="343">
        <f t="shared" si="8"/>
        <v>468954.12765049998</v>
      </c>
      <c r="E70" s="343">
        <f t="shared" si="9"/>
        <v>468954.12765049998</v>
      </c>
      <c r="F70" s="343">
        <f t="shared" si="10"/>
        <v>0</v>
      </c>
      <c r="G70" s="343">
        <f t="shared" si="11"/>
        <v>937908.25530099997</v>
      </c>
      <c r="H70" s="343">
        <f t="shared" si="12"/>
        <v>234477.06382524999</v>
      </c>
      <c r="I70" s="343">
        <f t="shared" si="13"/>
        <v>703431.19147574995</v>
      </c>
      <c r="J70" s="343">
        <f t="shared" si="14"/>
        <v>663201.28745418077</v>
      </c>
      <c r="K70" s="344">
        <f t="shared" si="15"/>
        <v>1.4142135623730951</v>
      </c>
      <c r="L70" s="345"/>
      <c r="M70" s="345" t="s">
        <v>679</v>
      </c>
      <c r="N70" s="345" t="s">
        <v>679</v>
      </c>
      <c r="O70" s="345" t="s">
        <v>679</v>
      </c>
      <c r="P70" s="345" t="s">
        <v>679</v>
      </c>
      <c r="Q70" s="345">
        <v>937908.25530099997</v>
      </c>
      <c r="R70" s="346" t="s">
        <v>679</v>
      </c>
      <c r="S70" s="345" t="s">
        <v>679</v>
      </c>
      <c r="T70" s="345" t="s">
        <v>679</v>
      </c>
      <c r="U70" s="345">
        <v>0</v>
      </c>
      <c r="V70" s="345" t="s">
        <v>679</v>
      </c>
      <c r="X70" s="390"/>
      <c r="Y70" s="388"/>
      <c r="Z70" s="388"/>
      <c r="AA70" s="388"/>
      <c r="AB70" s="388"/>
      <c r="AC70" s="388"/>
      <c r="AD70" s="388"/>
      <c r="AE70" s="388"/>
      <c r="AF70" s="388"/>
      <c r="AG70" s="388"/>
      <c r="AH70" s="388"/>
      <c r="AI70" s="388"/>
      <c r="AJ70" s="388"/>
      <c r="AK70" s="388"/>
      <c r="AL70" s="388"/>
      <c r="AM70" s="388"/>
      <c r="AN70" s="388"/>
      <c r="AO70" s="388"/>
      <c r="AP70" s="388"/>
      <c r="AQ70" s="388"/>
      <c r="AR70" s="388"/>
      <c r="AS70" s="388"/>
    </row>
    <row r="71" spans="1:45" outlineLevel="2" x14ac:dyDescent="0.2">
      <c r="A71" s="332">
        <v>1</v>
      </c>
      <c r="C71" s="342" t="str">
        <f>"        Litigation (Income)/Expense"</f>
        <v xml:space="preserve">        Litigation (Income)/Expense</v>
      </c>
      <c r="D71" s="343">
        <f t="shared" si="8"/>
        <v>204000</v>
      </c>
      <c r="E71" s="343">
        <f t="shared" si="9"/>
        <v>47166.093499499955</v>
      </c>
      <c r="F71" s="343">
        <f t="shared" si="10"/>
        <v>-1136335.6260020002</v>
      </c>
      <c r="G71" s="343">
        <f t="shared" si="11"/>
        <v>917000</v>
      </c>
      <c r="H71" s="343">
        <f t="shared" si="12"/>
        <v>-150583.90650050004</v>
      </c>
      <c r="I71" s="343">
        <f t="shared" si="13"/>
        <v>401750</v>
      </c>
      <c r="J71" s="343">
        <f t="shared" si="14"/>
        <v>857871.99772020057</v>
      </c>
      <c r="K71" s="344">
        <f t="shared" si="15"/>
        <v>18.188319915222479</v>
      </c>
      <c r="L71" s="345"/>
      <c r="M71" s="345" t="s">
        <v>679</v>
      </c>
      <c r="N71" s="345">
        <v>917000</v>
      </c>
      <c r="O71" s="345">
        <v>178000</v>
      </c>
      <c r="P71" s="345" t="s">
        <v>679</v>
      </c>
      <c r="Q71" s="345">
        <v>-1136335.6260020002</v>
      </c>
      <c r="R71" s="346" t="s">
        <v>679</v>
      </c>
      <c r="S71" s="345" t="s">
        <v>679</v>
      </c>
      <c r="T71" s="345">
        <v>230000</v>
      </c>
      <c r="U71" s="345" t="s">
        <v>679</v>
      </c>
      <c r="V71" s="345" t="s">
        <v>679</v>
      </c>
      <c r="X71" s="390"/>
      <c r="Y71" s="388"/>
      <c r="Z71" s="388"/>
      <c r="AA71" s="388"/>
      <c r="AB71" s="388"/>
      <c r="AC71" s="388"/>
      <c r="AD71" s="388"/>
      <c r="AE71" s="388"/>
      <c r="AF71" s="388"/>
      <c r="AG71" s="388"/>
      <c r="AH71" s="388"/>
      <c r="AI71" s="388"/>
      <c r="AJ71" s="388"/>
      <c r="AK71" s="388"/>
      <c r="AL71" s="388"/>
      <c r="AM71" s="388"/>
      <c r="AN71" s="388"/>
      <c r="AO71" s="388"/>
      <c r="AP71" s="388"/>
      <c r="AQ71" s="388"/>
      <c r="AR71" s="388"/>
      <c r="AS71" s="388"/>
    </row>
    <row r="72" spans="1:45" outlineLevel="2" x14ac:dyDescent="0.2">
      <c r="A72" s="332">
        <v>1</v>
      </c>
      <c r="C72" s="342" t="str">
        <f>"        Merger and Acquisition (Income)/Expense"</f>
        <v xml:space="preserve">        Merger and Acquisition (Income)/Expense</v>
      </c>
      <c r="D72" s="343">
        <f t="shared" si="8"/>
        <v>608806.05819050001</v>
      </c>
      <c r="E72" s="343">
        <f t="shared" si="9"/>
        <v>747272.104742</v>
      </c>
      <c r="F72" s="343">
        <f t="shared" si="10"/>
        <v>-209100</v>
      </c>
      <c r="G72" s="343">
        <f t="shared" si="11"/>
        <v>1980576.3025870002</v>
      </c>
      <c r="H72" s="343">
        <f t="shared" si="12"/>
        <v>-73565.912714250007</v>
      </c>
      <c r="I72" s="343">
        <f t="shared" si="13"/>
        <v>1429644.0756467502</v>
      </c>
      <c r="J72" s="343">
        <f t="shared" si="14"/>
        <v>1046592.0533177201</v>
      </c>
      <c r="K72" s="344">
        <f t="shared" si="15"/>
        <v>1.4005501432159868</v>
      </c>
      <c r="L72" s="345"/>
      <c r="M72" s="345" t="s">
        <v>679</v>
      </c>
      <c r="N72" s="345">
        <v>-209100</v>
      </c>
      <c r="O72" s="345">
        <v>1246000</v>
      </c>
      <c r="P72" s="345" t="s">
        <v>679</v>
      </c>
      <c r="Q72" s="345">
        <v>1980576.3025870002</v>
      </c>
      <c r="R72" s="346" t="s">
        <v>679</v>
      </c>
      <c r="S72" s="345" t="s">
        <v>679</v>
      </c>
      <c r="T72" s="345" t="s">
        <v>679</v>
      </c>
      <c r="U72" s="345" t="s">
        <v>679</v>
      </c>
      <c r="V72" s="345">
        <v>-28387.883619</v>
      </c>
      <c r="X72" s="390"/>
      <c r="Y72" s="388"/>
      <c r="Z72" s="388"/>
      <c r="AA72" s="388"/>
      <c r="AB72" s="388"/>
      <c r="AC72" s="388"/>
      <c r="AD72" s="388"/>
      <c r="AE72" s="388"/>
      <c r="AF72" s="388"/>
      <c r="AG72" s="388"/>
      <c r="AH72" s="388"/>
      <c r="AI72" s="388"/>
      <c r="AJ72" s="388"/>
      <c r="AK72" s="388"/>
      <c r="AL72" s="388"/>
      <c r="AM72" s="388"/>
      <c r="AN72" s="388"/>
      <c r="AO72" s="388"/>
      <c r="AP72" s="388"/>
      <c r="AQ72" s="388"/>
      <c r="AR72" s="388"/>
      <c r="AS72" s="388"/>
    </row>
    <row r="73" spans="1:45" outlineLevel="2" x14ac:dyDescent="0.2">
      <c r="A73" s="332">
        <v>1</v>
      </c>
      <c r="C73" s="342" t="str">
        <f>"        Restructuring and Reorganization (Income)/Expense"</f>
        <v xml:space="preserve">        Restructuring and Reorganization (Income)/Expense</v>
      </c>
      <c r="D73" s="343">
        <f t="shared" si="8"/>
        <v>337000</v>
      </c>
      <c r="E73" s="343">
        <f t="shared" si="9"/>
        <v>664554.9075184</v>
      </c>
      <c r="F73" s="343">
        <f t="shared" si="10"/>
        <v>75000</v>
      </c>
      <c r="G73" s="343">
        <f t="shared" si="11"/>
        <v>1404674.5375919999</v>
      </c>
      <c r="H73" s="343">
        <f t="shared" si="12"/>
        <v>131100</v>
      </c>
      <c r="I73" s="343">
        <f t="shared" si="13"/>
        <v>1375000</v>
      </c>
      <c r="J73" s="343">
        <f t="shared" si="14"/>
        <v>669318.80315462395</v>
      </c>
      <c r="K73" s="344">
        <f t="shared" si="15"/>
        <v>1.0071685508335397</v>
      </c>
      <c r="L73" s="345"/>
      <c r="M73" s="345" t="s">
        <v>679</v>
      </c>
      <c r="N73" s="345">
        <v>131100</v>
      </c>
      <c r="O73" s="345">
        <v>75000</v>
      </c>
      <c r="P73" s="345" t="s">
        <v>679</v>
      </c>
      <c r="Q73" s="345" t="s">
        <v>679</v>
      </c>
      <c r="R73" s="346">
        <v>337000</v>
      </c>
      <c r="S73" s="345" t="s">
        <v>679</v>
      </c>
      <c r="T73" s="345">
        <v>1375000</v>
      </c>
      <c r="U73" s="345" t="s">
        <v>679</v>
      </c>
      <c r="V73" s="345">
        <v>1404674.5375919999</v>
      </c>
      <c r="X73" s="390"/>
      <c r="Y73" s="388"/>
      <c r="Z73" s="388"/>
      <c r="AA73" s="388"/>
      <c r="AB73" s="388"/>
      <c r="AC73" s="388"/>
      <c r="AD73" s="388"/>
      <c r="AE73" s="388"/>
      <c r="AF73" s="388"/>
      <c r="AG73" s="388"/>
      <c r="AH73" s="388"/>
      <c r="AI73" s="388"/>
      <c r="AJ73" s="388"/>
      <c r="AK73" s="388"/>
      <c r="AL73" s="388"/>
      <c r="AM73" s="388"/>
      <c r="AN73" s="388"/>
      <c r="AO73" s="388"/>
      <c r="AP73" s="388"/>
      <c r="AQ73" s="388"/>
      <c r="AR73" s="388"/>
      <c r="AS73" s="388"/>
    </row>
    <row r="74" spans="1:45" outlineLevel="2" x14ac:dyDescent="0.2">
      <c r="A74" s="332">
        <v>1</v>
      </c>
      <c r="C74" s="342" t="str">
        <f>"        Other Irregular Income/(Expenses)"</f>
        <v xml:space="preserve">        Other Irregular Income/(Expenses)</v>
      </c>
      <c r="D74" s="343">
        <f t="shared" si="8"/>
        <v>32180.554349999999</v>
      </c>
      <c r="E74" s="343">
        <f t="shared" si="9"/>
        <v>348236.11087000003</v>
      </c>
      <c r="F74" s="343">
        <f t="shared" si="10"/>
        <v>0</v>
      </c>
      <c r="G74" s="343">
        <f t="shared" si="11"/>
        <v>944000</v>
      </c>
      <c r="H74" s="343">
        <f t="shared" si="12"/>
        <v>0</v>
      </c>
      <c r="I74" s="343">
        <f t="shared" si="13"/>
        <v>765000</v>
      </c>
      <c r="J74" s="343">
        <f t="shared" si="14"/>
        <v>466651.54117096798</v>
      </c>
      <c r="K74" s="344">
        <f t="shared" si="15"/>
        <v>1.3400435124465699</v>
      </c>
      <c r="L74" s="345"/>
      <c r="M74" s="345">
        <v>0</v>
      </c>
      <c r="N74" s="345">
        <v>0</v>
      </c>
      <c r="O74" s="345" t="s">
        <v>679</v>
      </c>
      <c r="P74" s="345">
        <v>944000</v>
      </c>
      <c r="Q74" s="345" t="s">
        <v>679</v>
      </c>
      <c r="R74" s="346" t="s">
        <v>679</v>
      </c>
      <c r="S74" s="345" t="s">
        <v>679</v>
      </c>
      <c r="T74" s="345">
        <v>765000</v>
      </c>
      <c r="U74" s="345">
        <v>32180.554349999999</v>
      </c>
      <c r="V74" s="345" t="s">
        <v>679</v>
      </c>
      <c r="X74" s="390"/>
      <c r="Y74" s="388"/>
      <c r="Z74" s="388"/>
      <c r="AA74" s="388"/>
      <c r="AB74" s="388"/>
      <c r="AC74" s="388"/>
      <c r="AD74" s="388"/>
      <c r="AE74" s="388"/>
      <c r="AF74" s="388"/>
      <c r="AG74" s="388"/>
      <c r="AH74" s="388"/>
      <c r="AI74" s="388"/>
      <c r="AJ74" s="388"/>
      <c r="AK74" s="388"/>
      <c r="AL74" s="388"/>
      <c r="AM74" s="388"/>
      <c r="AN74" s="388"/>
      <c r="AO74" s="388"/>
      <c r="AP74" s="388"/>
      <c r="AQ74" s="388"/>
      <c r="AR74" s="388"/>
      <c r="AS74" s="388"/>
    </row>
    <row r="75" spans="1:45" outlineLevel="2" x14ac:dyDescent="0.2">
      <c r="A75" s="332">
        <v>1</v>
      </c>
      <c r="C75" s="347" t="str">
        <f>"        Total Irregular (Income)/Expenses"</f>
        <v xml:space="preserve">        Total Irregular (Income)/Expenses</v>
      </c>
      <c r="D75" s="348">
        <f t="shared" ref="D75:D107" si="16">IF(COUNT(M75:V75)&gt;0,MEDIAN(M75:V75),"")</f>
        <v>898949.6479349999</v>
      </c>
      <c r="E75" s="348">
        <f t="shared" ref="E75:E107" si="17">IF(COUNT(M75:V75)&gt;0,AVERAGE(M75:V75),"")</f>
        <v>1067133.1648728889</v>
      </c>
      <c r="F75" s="348">
        <f t="shared" ref="F75:F107" si="18">IF(COUNT(M75:V75)&gt;0,MIN(M75:V75),"")</f>
        <v>-1170100</v>
      </c>
      <c r="G75" s="348">
        <f t="shared" ref="G75:G107" si="19">IF(COUNT(M75:V75)&gt;0,MAX(M75:V75),"")</f>
        <v>3644000</v>
      </c>
      <c r="H75" s="348">
        <f t="shared" ref="H75:H107" si="20">IF(COUNT(M75:V75)&gt;0,QUARTILE(M75:V75,1),"")</f>
        <v>32180.554349999999</v>
      </c>
      <c r="I75" s="348">
        <f t="shared" ref="I75:I107" si="21">IF(COUNT(M75:V75)&gt;0,QUARTILE(M75:V75,3),"")</f>
        <v>1554000</v>
      </c>
      <c r="J75" s="348">
        <f t="shared" ref="J75:J107" si="22">IF(COUNT(M75:V75)&gt;1,STDEV(M75:V75),"")</f>
        <v>1492817.0910254368</v>
      </c>
      <c r="K75" s="349">
        <f t="shared" ref="K75:K107" si="23">IF(COUNT(M75:V75)&gt;1,STDEV(M75:V75)/AVERAGE(M75:V75),"")</f>
        <v>1.3989042231699855</v>
      </c>
      <c r="L75" s="350"/>
      <c r="M75" s="350">
        <v>0</v>
      </c>
      <c r="N75" s="350">
        <v>-1170100</v>
      </c>
      <c r="O75" s="350">
        <v>1554000</v>
      </c>
      <c r="P75" s="350">
        <v>3644000</v>
      </c>
      <c r="Q75" s="350">
        <v>1517168.2815710001</v>
      </c>
      <c r="R75" s="351">
        <v>337000</v>
      </c>
      <c r="S75" s="350" t="s">
        <v>679</v>
      </c>
      <c r="T75" s="350">
        <v>2791000</v>
      </c>
      <c r="U75" s="350">
        <v>32180.554349999999</v>
      </c>
      <c r="V75" s="350">
        <v>898949.6479349999</v>
      </c>
      <c r="X75" s="390"/>
      <c r="Y75" s="388"/>
      <c r="Z75" s="388"/>
      <c r="AA75" s="388"/>
      <c r="AB75" s="388"/>
      <c r="AC75" s="388"/>
      <c r="AD75" s="388"/>
      <c r="AE75" s="388"/>
      <c r="AF75" s="388"/>
      <c r="AG75" s="388"/>
      <c r="AH75" s="388"/>
      <c r="AI75" s="388"/>
      <c r="AJ75" s="388"/>
      <c r="AK75" s="388"/>
      <c r="AL75" s="388"/>
      <c r="AM75" s="388"/>
      <c r="AN75" s="388"/>
      <c r="AO75" s="388"/>
      <c r="AP75" s="388"/>
      <c r="AQ75" s="388"/>
      <c r="AR75" s="388"/>
      <c r="AS75" s="388"/>
    </row>
    <row r="76" spans="1:45" outlineLevel="1" x14ac:dyDescent="0.2">
      <c r="A76" s="332">
        <v>1</v>
      </c>
      <c r="C76" s="342" t="str">
        <f>"    Other Income/(Expense), Non-Operating"</f>
        <v xml:space="preserve">    Other Income/(Expense), Non-Operating</v>
      </c>
      <c r="D76" s="343">
        <f t="shared" si="16"/>
        <v>-10100</v>
      </c>
      <c r="E76" s="343">
        <f t="shared" si="17"/>
        <v>466125.83630142862</v>
      </c>
      <c r="F76" s="343">
        <f t="shared" si="18"/>
        <v>-814000</v>
      </c>
      <c r="G76" s="343">
        <f t="shared" si="19"/>
        <v>2072000</v>
      </c>
      <c r="H76" s="343">
        <f t="shared" si="20"/>
        <v>-485009.57294500002</v>
      </c>
      <c r="I76" s="343">
        <f t="shared" si="21"/>
        <v>1492500</v>
      </c>
      <c r="J76" s="343">
        <f t="shared" si="22"/>
        <v>1221071.3082504668</v>
      </c>
      <c r="K76" s="344">
        <f t="shared" si="23"/>
        <v>2.6196173075050044</v>
      </c>
      <c r="L76" s="345"/>
      <c r="M76" s="345">
        <v>-814000</v>
      </c>
      <c r="N76" s="345">
        <v>-10100</v>
      </c>
      <c r="O76" s="345">
        <v>2025000</v>
      </c>
      <c r="P76" s="345">
        <v>-581000</v>
      </c>
      <c r="Q76" s="345" t="s">
        <v>679</v>
      </c>
      <c r="R76" s="346">
        <v>960000</v>
      </c>
      <c r="S76" s="345" t="s">
        <v>679</v>
      </c>
      <c r="T76" s="345">
        <v>2072000</v>
      </c>
      <c r="U76" s="345" t="s">
        <v>679</v>
      </c>
      <c r="V76" s="345">
        <v>-389019.14588999999</v>
      </c>
      <c r="X76" s="390"/>
      <c r="Y76" s="388"/>
      <c r="Z76" s="388"/>
      <c r="AA76" s="388"/>
      <c r="AB76" s="388"/>
      <c r="AC76" s="388"/>
      <c r="AD76" s="388"/>
      <c r="AE76" s="388"/>
      <c r="AF76" s="388"/>
      <c r="AG76" s="388"/>
      <c r="AH76" s="388"/>
      <c r="AI76" s="388"/>
      <c r="AJ76" s="388"/>
      <c r="AK76" s="388"/>
      <c r="AL76" s="388"/>
      <c r="AM76" s="388"/>
      <c r="AN76" s="388"/>
      <c r="AO76" s="388"/>
      <c r="AP76" s="388"/>
      <c r="AQ76" s="388"/>
      <c r="AR76" s="388"/>
      <c r="AS76" s="388"/>
    </row>
    <row r="77" spans="1:45" outlineLevel="1" x14ac:dyDescent="0.2">
      <c r="A77" s="332">
        <v>1</v>
      </c>
      <c r="C77" s="335" t="str">
        <f>"    Total Non-Operating Income/(Expenses), Total"</f>
        <v xml:space="preserve">    Total Non-Operating Income/(Expenses), Total</v>
      </c>
      <c r="D77" s="348">
        <f t="shared" si="16"/>
        <v>-1462498.5592614999</v>
      </c>
      <c r="E77" s="348">
        <f t="shared" si="17"/>
        <v>-1739010.6070468999</v>
      </c>
      <c r="F77" s="348">
        <f t="shared" si="18"/>
        <v>-5160000</v>
      </c>
      <c r="G77" s="348">
        <f t="shared" si="19"/>
        <v>689900</v>
      </c>
      <c r="H77" s="348">
        <f t="shared" si="20"/>
        <v>-2124500</v>
      </c>
      <c r="I77" s="348">
        <f t="shared" si="21"/>
        <v>-1247533.0023389999</v>
      </c>
      <c r="J77" s="348">
        <f t="shared" si="22"/>
        <v>1487419.7117891505</v>
      </c>
      <c r="K77" s="349">
        <f t="shared" si="23"/>
        <v>-0.85532526700053413</v>
      </c>
      <c r="L77" s="348"/>
      <c r="M77" s="348">
        <v>-2220000</v>
      </c>
      <c r="N77" s="348">
        <v>689900</v>
      </c>
      <c r="O77" s="348">
        <v>-1391000</v>
      </c>
      <c r="P77" s="348">
        <v>-5160000</v>
      </c>
      <c r="Q77" s="348">
        <v>-1356947.4232409999</v>
      </c>
      <c r="R77" s="352">
        <v>-1838000</v>
      </c>
      <c r="S77" s="348">
        <v>-826000</v>
      </c>
      <c r="T77" s="348">
        <v>-2543000</v>
      </c>
      <c r="U77" s="348">
        <v>-1211061.5287049999</v>
      </c>
      <c r="V77" s="348">
        <v>-1533997.1185229998</v>
      </c>
      <c r="X77" s="390"/>
      <c r="Y77" s="388"/>
      <c r="Z77" s="388"/>
      <c r="AA77" s="388"/>
      <c r="AB77" s="388"/>
      <c r="AC77" s="388"/>
      <c r="AD77" s="388"/>
      <c r="AE77" s="388"/>
      <c r="AF77" s="388"/>
      <c r="AG77" s="388"/>
      <c r="AH77" s="388"/>
      <c r="AI77" s="388"/>
      <c r="AJ77" s="388"/>
      <c r="AK77" s="388"/>
      <c r="AL77" s="388"/>
      <c r="AM77" s="388"/>
      <c r="AN77" s="388"/>
      <c r="AO77" s="388"/>
      <c r="AP77" s="388"/>
      <c r="AQ77" s="388"/>
      <c r="AR77" s="388"/>
      <c r="AS77" s="388"/>
    </row>
    <row r="78" spans="1:45" x14ac:dyDescent="0.2">
      <c r="A78" s="332">
        <v>1</v>
      </c>
      <c r="C78" s="335" t="str">
        <f>"Pretax Income"</f>
        <v>Pretax Income</v>
      </c>
      <c r="D78" s="339">
        <f t="shared" si="16"/>
        <v>8042000</v>
      </c>
      <c r="E78" s="339">
        <f t="shared" si="17"/>
        <v>12174323.821640199</v>
      </c>
      <c r="F78" s="339">
        <f t="shared" si="18"/>
        <v>3591800</v>
      </c>
      <c r="G78" s="339">
        <f t="shared" si="19"/>
        <v>34729000</v>
      </c>
      <c r="H78" s="339">
        <f t="shared" si="20"/>
        <v>7038748.0231609996</v>
      </c>
      <c r="I78" s="339">
        <f t="shared" si="21"/>
        <v>15072430.769233499</v>
      </c>
      <c r="J78" s="339">
        <f t="shared" si="22"/>
        <v>9347748.1214469746</v>
      </c>
      <c r="K78" s="340">
        <f t="shared" si="23"/>
        <v>0.7678248302243359</v>
      </c>
      <c r="L78" s="339"/>
      <c r="M78" s="339">
        <v>7346000</v>
      </c>
      <c r="N78" s="339">
        <v>3591800</v>
      </c>
      <c r="O78" s="339">
        <v>7713000</v>
      </c>
      <c r="P78" s="339">
        <v>5814000</v>
      </c>
      <c r="Q78" s="339">
        <v>6936330.6975480001</v>
      </c>
      <c r="R78" s="341">
        <v>16444000</v>
      </c>
      <c r="S78" s="339">
        <v>8371000</v>
      </c>
      <c r="T78" s="339">
        <v>34729000</v>
      </c>
      <c r="U78" s="339">
        <v>19840384.441919997</v>
      </c>
      <c r="V78" s="339">
        <v>10957723.076933999</v>
      </c>
      <c r="X78" s="390"/>
      <c r="Y78" s="388"/>
      <c r="Z78" s="388"/>
      <c r="AA78" s="388"/>
      <c r="AB78" s="388"/>
      <c r="AC78" s="388"/>
      <c r="AD78" s="388"/>
      <c r="AE78" s="388"/>
      <c r="AF78" s="388"/>
      <c r="AG78" s="388"/>
      <c r="AH78" s="388"/>
      <c r="AI78" s="388"/>
      <c r="AJ78" s="388"/>
      <c r="AK78" s="388"/>
      <c r="AL78" s="388"/>
      <c r="AM78" s="388"/>
      <c r="AN78" s="388"/>
      <c r="AO78" s="388"/>
      <c r="AP78" s="388"/>
      <c r="AQ78" s="388"/>
      <c r="AR78" s="388"/>
      <c r="AS78" s="388"/>
    </row>
    <row r="79" spans="1:45" x14ac:dyDescent="0.2">
      <c r="A79" s="332">
        <v>1</v>
      </c>
      <c r="C79" s="335" t="str">
        <f>IF(SUBTOTAL(109,A79)=A79,"Provision for Income Tax","Provision for Income Tax")</f>
        <v>Provision for Income Tax</v>
      </c>
      <c r="D79" s="339" t="str">
        <f t="shared" si="16"/>
        <v/>
      </c>
      <c r="E79" s="339" t="str">
        <f t="shared" si="17"/>
        <v/>
      </c>
      <c r="F79" s="339" t="str">
        <f t="shared" si="18"/>
        <v/>
      </c>
      <c r="G79" s="339" t="str">
        <f t="shared" si="19"/>
        <v/>
      </c>
      <c r="H79" s="339" t="str">
        <f t="shared" si="20"/>
        <v/>
      </c>
      <c r="I79" s="339" t="str">
        <f t="shared" si="21"/>
        <v/>
      </c>
      <c r="J79" s="339" t="str">
        <f t="shared" si="22"/>
        <v/>
      </c>
      <c r="K79" s="340" t="str">
        <f t="shared" si="23"/>
        <v/>
      </c>
      <c r="L79" s="339"/>
      <c r="M79" s="339" t="str">
        <f>IF(SUBTOTAL(109,A79)=A79,"",794000)</f>
        <v/>
      </c>
      <c r="N79" s="339" t="str">
        <f>IF(SUBTOTAL(109,A79)=A79,"",632800)</f>
        <v/>
      </c>
      <c r="O79" s="339" t="str">
        <f>IF(SUBTOTAL(109,A79)=A79,"",1368000)</f>
        <v/>
      </c>
      <c r="P79" s="339" t="str">
        <f>IF(SUBTOTAL(109,A79)=A79,"",1248000)</f>
        <v/>
      </c>
      <c r="Q79" s="339" t="str">
        <f>IF(SUBTOTAL(109,A79)=A79,"",871354.975687)</f>
        <v/>
      </c>
      <c r="R79" s="341" t="str">
        <f>IF(SUBTOTAL(109,A79)=A79,"",1918000)</f>
        <v/>
      </c>
      <c r="S79" s="339" t="str">
        <f>IF(SUBTOTAL(109,A79)=A79,"",1416000)</f>
        <v/>
      </c>
      <c r="T79" s="339" t="str">
        <f>IF(SUBTOTAL(109,A79)=A79,"",3328000)</f>
        <v/>
      </c>
      <c r="U79" s="339" t="str">
        <f>IF(SUBTOTAL(109,A79)=A79,"",2806144.33932)</f>
        <v/>
      </c>
      <c r="V79" s="339" t="str">
        <f>IF(SUBTOTAL(109,A79)=A79,"",2109114.612582)</f>
        <v/>
      </c>
      <c r="X79" s="390"/>
      <c r="Y79" s="388"/>
      <c r="Z79" s="388"/>
      <c r="AA79" s="388"/>
      <c r="AB79" s="388"/>
      <c r="AC79" s="388"/>
      <c r="AD79" s="388"/>
      <c r="AE79" s="388"/>
      <c r="AF79" s="388"/>
      <c r="AG79" s="388"/>
      <c r="AH79" s="388"/>
      <c r="AI79" s="388"/>
      <c r="AJ79" s="388"/>
      <c r="AK79" s="388"/>
      <c r="AL79" s="388"/>
      <c r="AM79" s="388"/>
      <c r="AN79" s="388"/>
      <c r="AO79" s="388"/>
      <c r="AP79" s="388"/>
      <c r="AQ79" s="388"/>
      <c r="AR79" s="388"/>
      <c r="AS79" s="388"/>
    </row>
    <row r="80" spans="1:45" outlineLevel="1" x14ac:dyDescent="0.2">
      <c r="A80" s="332">
        <v>1</v>
      </c>
      <c r="C80" s="342" t="str">
        <f>"    Current Tax"</f>
        <v xml:space="preserve">    Current Tax</v>
      </c>
      <c r="D80" s="343">
        <f t="shared" si="16"/>
        <v>-73948.088460000014</v>
      </c>
      <c r="E80" s="343">
        <f t="shared" si="17"/>
        <v>-73948.088460000014</v>
      </c>
      <c r="F80" s="343">
        <f t="shared" si="18"/>
        <v>-73948.088460000014</v>
      </c>
      <c r="G80" s="343">
        <f t="shared" si="19"/>
        <v>-73948.088460000014</v>
      </c>
      <c r="H80" s="343">
        <f t="shared" si="20"/>
        <v>-73948.088460000014</v>
      </c>
      <c r="I80" s="343">
        <f t="shared" si="21"/>
        <v>-73948.088460000014</v>
      </c>
      <c r="J80" s="343" t="str">
        <f t="shared" si="22"/>
        <v/>
      </c>
      <c r="K80" s="344" t="str">
        <f t="shared" si="23"/>
        <v/>
      </c>
      <c r="L80" s="345"/>
      <c r="M80" s="345" t="s">
        <v>679</v>
      </c>
      <c r="N80" s="345" t="s">
        <v>679</v>
      </c>
      <c r="O80" s="345" t="s">
        <v>679</v>
      </c>
      <c r="P80" s="345" t="s">
        <v>679</v>
      </c>
      <c r="Q80" s="345">
        <v>-73948.088460000014</v>
      </c>
      <c r="R80" s="346" t="s">
        <v>679</v>
      </c>
      <c r="S80" s="345" t="s">
        <v>679</v>
      </c>
      <c r="T80" s="345" t="s">
        <v>679</v>
      </c>
      <c r="U80" s="345" t="s">
        <v>679</v>
      </c>
      <c r="V80" s="345" t="s">
        <v>679</v>
      </c>
      <c r="X80" s="390"/>
      <c r="Y80" s="388"/>
      <c r="Z80" s="388"/>
      <c r="AA80" s="388"/>
      <c r="AB80" s="388"/>
      <c r="AC80" s="388"/>
      <c r="AD80" s="388"/>
      <c r="AE80" s="388"/>
      <c r="AF80" s="388"/>
      <c r="AG80" s="388"/>
      <c r="AH80" s="388"/>
      <c r="AI80" s="388"/>
      <c r="AJ80" s="388"/>
      <c r="AK80" s="388"/>
      <c r="AL80" s="388"/>
      <c r="AM80" s="388"/>
      <c r="AN80" s="388"/>
      <c r="AO80" s="388"/>
      <c r="AP80" s="388"/>
      <c r="AQ80" s="388"/>
      <c r="AR80" s="388"/>
      <c r="AS80" s="388"/>
    </row>
    <row r="81" spans="1:45" outlineLevel="1" x14ac:dyDescent="0.2">
      <c r="A81" s="332">
        <v>1</v>
      </c>
      <c r="C81" s="342" t="str">
        <f>"    Deferred Tax"</f>
        <v xml:space="preserve">    Deferred Tax</v>
      </c>
      <c r="D81" s="343">
        <f t="shared" si="16"/>
        <v>-966255.02254400006</v>
      </c>
      <c r="E81" s="343">
        <f t="shared" si="17"/>
        <v>-966255.02254400006</v>
      </c>
      <c r="F81" s="343">
        <f t="shared" si="18"/>
        <v>-966255.02254400006</v>
      </c>
      <c r="G81" s="343">
        <f t="shared" si="19"/>
        <v>-966255.02254400006</v>
      </c>
      <c r="H81" s="343">
        <f t="shared" si="20"/>
        <v>-966255.02254400006</v>
      </c>
      <c r="I81" s="343">
        <f t="shared" si="21"/>
        <v>-966255.02254400006</v>
      </c>
      <c r="J81" s="343" t="str">
        <f t="shared" si="22"/>
        <v/>
      </c>
      <c r="K81" s="344" t="str">
        <f t="shared" si="23"/>
        <v/>
      </c>
      <c r="L81" s="345"/>
      <c r="M81" s="345" t="s">
        <v>679</v>
      </c>
      <c r="N81" s="345" t="s">
        <v>679</v>
      </c>
      <c r="O81" s="345" t="s">
        <v>679</v>
      </c>
      <c r="P81" s="345" t="s">
        <v>679</v>
      </c>
      <c r="Q81" s="345">
        <v>-966255.02254400006</v>
      </c>
      <c r="R81" s="346" t="s">
        <v>679</v>
      </c>
      <c r="S81" s="345" t="s">
        <v>679</v>
      </c>
      <c r="T81" s="345" t="s">
        <v>679</v>
      </c>
      <c r="U81" s="345" t="s">
        <v>679</v>
      </c>
      <c r="V81" s="345" t="s">
        <v>679</v>
      </c>
      <c r="X81" s="390"/>
      <c r="Y81" s="388"/>
      <c r="Z81" s="388"/>
      <c r="AA81" s="388"/>
      <c r="AB81" s="388"/>
      <c r="AC81" s="388"/>
      <c r="AD81" s="388"/>
      <c r="AE81" s="388"/>
      <c r="AF81" s="388"/>
      <c r="AG81" s="388"/>
      <c r="AH81" s="388"/>
      <c r="AI81" s="388"/>
      <c r="AJ81" s="388"/>
      <c r="AK81" s="388"/>
      <c r="AL81" s="388"/>
      <c r="AM81" s="388"/>
      <c r="AN81" s="388"/>
      <c r="AO81" s="388"/>
      <c r="AP81" s="388"/>
      <c r="AQ81" s="388"/>
      <c r="AR81" s="388"/>
      <c r="AS81" s="388"/>
    </row>
    <row r="82" spans="1:45" outlineLevel="1" x14ac:dyDescent="0.2">
      <c r="A82" s="332">
        <v>1</v>
      </c>
      <c r="C82" s="342" t="str">
        <f>"    Domestic Tax"</f>
        <v xml:space="preserve">    Domestic Tax</v>
      </c>
      <c r="D82" s="343">
        <f t="shared" si="16"/>
        <v>246493.62820000001</v>
      </c>
      <c r="E82" s="343">
        <f t="shared" si="17"/>
        <v>246493.62820000001</v>
      </c>
      <c r="F82" s="343">
        <f t="shared" si="18"/>
        <v>246493.62820000001</v>
      </c>
      <c r="G82" s="343">
        <f t="shared" si="19"/>
        <v>246493.62820000001</v>
      </c>
      <c r="H82" s="343">
        <f t="shared" si="20"/>
        <v>246493.62820000001</v>
      </c>
      <c r="I82" s="343">
        <f t="shared" si="21"/>
        <v>246493.62820000001</v>
      </c>
      <c r="J82" s="343" t="str">
        <f t="shared" si="22"/>
        <v/>
      </c>
      <c r="K82" s="344" t="str">
        <f t="shared" si="23"/>
        <v/>
      </c>
      <c r="L82" s="345"/>
      <c r="M82" s="345" t="s">
        <v>679</v>
      </c>
      <c r="N82" s="345" t="s">
        <v>679</v>
      </c>
      <c r="O82" s="345" t="s">
        <v>679</v>
      </c>
      <c r="P82" s="345" t="s">
        <v>679</v>
      </c>
      <c r="Q82" s="345">
        <v>246493.62820000001</v>
      </c>
      <c r="R82" s="346" t="s">
        <v>679</v>
      </c>
      <c r="S82" s="345" t="s">
        <v>679</v>
      </c>
      <c r="T82" s="345" t="s">
        <v>679</v>
      </c>
      <c r="U82" s="345" t="s">
        <v>679</v>
      </c>
      <c r="V82" s="345" t="s">
        <v>679</v>
      </c>
      <c r="X82" s="390"/>
      <c r="Y82" s="388"/>
      <c r="Z82" s="388"/>
      <c r="AA82" s="388"/>
      <c r="AB82" s="388"/>
      <c r="AC82" s="388"/>
      <c r="AD82" s="388"/>
      <c r="AE82" s="388"/>
      <c r="AF82" s="388"/>
      <c r="AG82" s="388"/>
      <c r="AH82" s="388"/>
      <c r="AI82" s="388"/>
      <c r="AJ82" s="388"/>
      <c r="AK82" s="388"/>
      <c r="AL82" s="388"/>
      <c r="AM82" s="388"/>
      <c r="AN82" s="388"/>
      <c r="AO82" s="388"/>
      <c r="AP82" s="388"/>
      <c r="AQ82" s="388"/>
      <c r="AR82" s="388"/>
      <c r="AS82" s="388"/>
    </row>
    <row r="83" spans="1:45" outlineLevel="1" x14ac:dyDescent="0.2">
      <c r="A83" s="332">
        <v>1</v>
      </c>
      <c r="C83" s="342" t="str">
        <f>"    Foreign Tax"</f>
        <v xml:space="preserve">    Foreign Tax</v>
      </c>
      <c r="D83" s="343">
        <f t="shared" si="16"/>
        <v>1665064.4584909999</v>
      </c>
      <c r="E83" s="343">
        <f t="shared" si="17"/>
        <v>1665064.4584909999</v>
      </c>
      <c r="F83" s="343">
        <f t="shared" si="18"/>
        <v>1665064.4584909999</v>
      </c>
      <c r="G83" s="343">
        <f t="shared" si="19"/>
        <v>1665064.4584909999</v>
      </c>
      <c r="H83" s="343">
        <f t="shared" si="20"/>
        <v>1665064.4584909999</v>
      </c>
      <c r="I83" s="343">
        <f t="shared" si="21"/>
        <v>1665064.4584909999</v>
      </c>
      <c r="J83" s="343" t="str">
        <f t="shared" si="22"/>
        <v/>
      </c>
      <c r="K83" s="344" t="str">
        <f t="shared" si="23"/>
        <v/>
      </c>
      <c r="L83" s="345"/>
      <c r="M83" s="345" t="s">
        <v>679</v>
      </c>
      <c r="N83" s="345" t="s">
        <v>679</v>
      </c>
      <c r="O83" s="345" t="s">
        <v>679</v>
      </c>
      <c r="P83" s="345" t="s">
        <v>679</v>
      </c>
      <c r="Q83" s="345">
        <v>1665064.4584909999</v>
      </c>
      <c r="R83" s="346" t="s">
        <v>679</v>
      </c>
      <c r="S83" s="345" t="s">
        <v>679</v>
      </c>
      <c r="T83" s="345" t="s">
        <v>679</v>
      </c>
      <c r="U83" s="345" t="s">
        <v>679</v>
      </c>
      <c r="V83" s="345" t="s">
        <v>679</v>
      </c>
      <c r="X83" s="390"/>
      <c r="Y83" s="388"/>
      <c r="Z83" s="388"/>
      <c r="AA83" s="388"/>
      <c r="AB83" s="388"/>
      <c r="AC83" s="388"/>
      <c r="AD83" s="388"/>
      <c r="AE83" s="388"/>
      <c r="AF83" s="388"/>
      <c r="AG83" s="388"/>
      <c r="AH83" s="388"/>
      <c r="AI83" s="388"/>
      <c r="AJ83" s="388"/>
      <c r="AK83" s="388"/>
      <c r="AL83" s="388"/>
      <c r="AM83" s="388"/>
      <c r="AN83" s="388"/>
      <c r="AO83" s="388"/>
      <c r="AP83" s="388"/>
      <c r="AQ83" s="388"/>
      <c r="AR83" s="388"/>
      <c r="AS83" s="388"/>
    </row>
    <row r="84" spans="1:45" outlineLevel="1" x14ac:dyDescent="0.2">
      <c r="A84" s="332">
        <v>1</v>
      </c>
      <c r="C84" s="342" t="str">
        <f>"    Other Tax"</f>
        <v xml:space="preserve">    Other Tax</v>
      </c>
      <c r="D84" s="343" t="str">
        <f t="shared" si="16"/>
        <v/>
      </c>
      <c r="E84" s="343" t="str">
        <f t="shared" si="17"/>
        <v/>
      </c>
      <c r="F84" s="343" t="str">
        <f t="shared" si="18"/>
        <v/>
      </c>
      <c r="G84" s="343" t="str">
        <f t="shared" si="19"/>
        <v/>
      </c>
      <c r="H84" s="343" t="str">
        <f t="shared" si="20"/>
        <v/>
      </c>
      <c r="I84" s="343" t="str">
        <f t="shared" si="21"/>
        <v/>
      </c>
      <c r="J84" s="343" t="str">
        <f t="shared" si="22"/>
        <v/>
      </c>
      <c r="K84" s="344" t="str">
        <f t="shared" si="23"/>
        <v/>
      </c>
      <c r="L84" s="345"/>
      <c r="M84" s="345" t="s">
        <v>679</v>
      </c>
      <c r="N84" s="345" t="s">
        <v>679</v>
      </c>
      <c r="O84" s="345" t="s">
        <v>679</v>
      </c>
      <c r="P84" s="345" t="s">
        <v>679</v>
      </c>
      <c r="Q84" s="345" t="s">
        <v>679</v>
      </c>
      <c r="R84" s="346" t="s">
        <v>679</v>
      </c>
      <c r="S84" s="345" t="s">
        <v>679</v>
      </c>
      <c r="T84" s="345" t="s">
        <v>679</v>
      </c>
      <c r="U84" s="345" t="s">
        <v>679</v>
      </c>
      <c r="V84" s="345" t="s">
        <v>679</v>
      </c>
      <c r="X84" s="390"/>
      <c r="Y84" s="388"/>
      <c r="Z84" s="388"/>
      <c r="AA84" s="388"/>
      <c r="AB84" s="388"/>
      <c r="AC84" s="388"/>
      <c r="AD84" s="388"/>
      <c r="AE84" s="388"/>
      <c r="AF84" s="388"/>
      <c r="AG84" s="388"/>
      <c r="AH84" s="388"/>
      <c r="AI84" s="388"/>
      <c r="AJ84" s="388"/>
      <c r="AK84" s="388"/>
      <c r="AL84" s="388"/>
      <c r="AM84" s="388"/>
      <c r="AN84" s="388"/>
      <c r="AO84" s="388"/>
      <c r="AP84" s="388"/>
      <c r="AQ84" s="388"/>
      <c r="AR84" s="388"/>
      <c r="AS84" s="388"/>
    </row>
    <row r="85" spans="1:45" outlineLevel="1" x14ac:dyDescent="0.2">
      <c r="A85" s="332">
        <v>1</v>
      </c>
      <c r="C85" s="335" t="str">
        <f>"    Total Provision for Income Tax"</f>
        <v xml:space="preserve">    Total Provision for Income Tax</v>
      </c>
      <c r="D85" s="348">
        <f t="shared" si="16"/>
        <v>1392000</v>
      </c>
      <c r="E85" s="348">
        <f t="shared" si="17"/>
        <v>1649141.3927589001</v>
      </c>
      <c r="F85" s="348">
        <f t="shared" si="18"/>
        <v>632800</v>
      </c>
      <c r="G85" s="348">
        <f t="shared" si="19"/>
        <v>3328000</v>
      </c>
      <c r="H85" s="348">
        <f t="shared" si="20"/>
        <v>965516.23176525009</v>
      </c>
      <c r="I85" s="348">
        <f t="shared" si="21"/>
        <v>2061335.9594365</v>
      </c>
      <c r="J85" s="348">
        <f t="shared" si="22"/>
        <v>888479.38153100444</v>
      </c>
      <c r="K85" s="349">
        <f t="shared" si="23"/>
        <v>0.53875270212255089</v>
      </c>
      <c r="L85" s="348"/>
      <c r="M85" s="348">
        <v>794000</v>
      </c>
      <c r="N85" s="348">
        <v>632800</v>
      </c>
      <c r="O85" s="348">
        <v>1368000</v>
      </c>
      <c r="P85" s="348">
        <v>1248000</v>
      </c>
      <c r="Q85" s="348">
        <v>871354.97568700009</v>
      </c>
      <c r="R85" s="352">
        <v>1918000</v>
      </c>
      <c r="S85" s="348">
        <v>1416000</v>
      </c>
      <c r="T85" s="348">
        <v>3328000</v>
      </c>
      <c r="U85" s="348">
        <v>2806144.3393199998</v>
      </c>
      <c r="V85" s="348">
        <v>2109114.612582</v>
      </c>
      <c r="X85" s="390"/>
      <c r="Y85" s="388"/>
      <c r="Z85" s="388"/>
      <c r="AA85" s="388"/>
      <c r="AB85" s="388"/>
      <c r="AC85" s="388"/>
      <c r="AD85" s="388"/>
      <c r="AE85" s="388"/>
      <c r="AF85" s="388"/>
      <c r="AG85" s="388"/>
      <c r="AH85" s="388"/>
      <c r="AI85" s="388"/>
      <c r="AJ85" s="388"/>
      <c r="AK85" s="388"/>
      <c r="AL85" s="388"/>
      <c r="AM85" s="388"/>
      <c r="AN85" s="388"/>
      <c r="AO85" s="388"/>
      <c r="AP85" s="388"/>
      <c r="AQ85" s="388"/>
      <c r="AR85" s="388"/>
      <c r="AS85" s="388"/>
    </row>
    <row r="86" spans="1:45" x14ac:dyDescent="0.2">
      <c r="A86" s="332">
        <v>1</v>
      </c>
      <c r="C86" s="335" t="str">
        <f>"Earnings from Equity Interest, Post-Tax"</f>
        <v>Earnings from Equity Interest, Post-Tax</v>
      </c>
      <c r="D86" s="339">
        <f t="shared" si="16"/>
        <v>37047.705297999993</v>
      </c>
      <c r="E86" s="339">
        <f t="shared" si="17"/>
        <v>37047.705297999993</v>
      </c>
      <c r="F86" s="339">
        <f t="shared" si="18"/>
        <v>2600</v>
      </c>
      <c r="G86" s="339">
        <f t="shared" si="19"/>
        <v>71495.410595999987</v>
      </c>
      <c r="H86" s="339">
        <f t="shared" si="20"/>
        <v>19823.852648999997</v>
      </c>
      <c r="I86" s="339">
        <f t="shared" si="21"/>
        <v>54271.557946999994</v>
      </c>
      <c r="J86" s="339">
        <f t="shared" si="22"/>
        <v>48716.412025063117</v>
      </c>
      <c r="K86" s="340">
        <f t="shared" si="23"/>
        <v>1.3149643583375474</v>
      </c>
      <c r="L86" s="339"/>
      <c r="M86" s="339" t="s">
        <v>679</v>
      </c>
      <c r="N86" s="339">
        <v>2600</v>
      </c>
      <c r="O86" s="339" t="s">
        <v>679</v>
      </c>
      <c r="P86" s="339" t="s">
        <v>679</v>
      </c>
      <c r="Q86" s="339" t="s">
        <v>679</v>
      </c>
      <c r="R86" s="341" t="s">
        <v>679</v>
      </c>
      <c r="S86" s="339" t="s">
        <v>679</v>
      </c>
      <c r="T86" s="339" t="s">
        <v>679</v>
      </c>
      <c r="U86" s="339" t="s">
        <v>679</v>
      </c>
      <c r="V86" s="339">
        <v>71495.410595999987</v>
      </c>
      <c r="X86" s="390"/>
      <c r="Y86" s="388"/>
      <c r="Z86" s="388"/>
      <c r="AA86" s="388"/>
      <c r="AB86" s="388"/>
      <c r="AC86" s="388"/>
      <c r="AD86" s="388"/>
      <c r="AE86" s="388"/>
      <c r="AF86" s="388"/>
      <c r="AG86" s="388"/>
      <c r="AH86" s="388"/>
      <c r="AI86" s="388"/>
      <c r="AJ86" s="388"/>
      <c r="AK86" s="388"/>
      <c r="AL86" s="388"/>
      <c r="AM86" s="388"/>
      <c r="AN86" s="388"/>
      <c r="AO86" s="388"/>
      <c r="AP86" s="388"/>
      <c r="AQ86" s="388"/>
      <c r="AR86" s="388"/>
      <c r="AS86" s="388"/>
    </row>
    <row r="87" spans="1:45" x14ac:dyDescent="0.2">
      <c r="A87" s="332">
        <v>1</v>
      </c>
      <c r="C87" s="335" t="str">
        <f>"Net Income from Continuing Operations"</f>
        <v>Net Income from Continuing Operations</v>
      </c>
      <c r="D87" s="339">
        <f t="shared" si="16"/>
        <v>6753500</v>
      </c>
      <c r="E87" s="339">
        <f t="shared" si="17"/>
        <v>10532591.969940899</v>
      </c>
      <c r="F87" s="339">
        <f t="shared" si="18"/>
        <v>2961600</v>
      </c>
      <c r="G87" s="339">
        <f t="shared" si="19"/>
        <v>31401000</v>
      </c>
      <c r="H87" s="339">
        <f t="shared" si="20"/>
        <v>6134981.7913957499</v>
      </c>
      <c r="I87" s="339">
        <f t="shared" si="21"/>
        <v>13124525.968737001</v>
      </c>
      <c r="J87" s="339">
        <f t="shared" si="22"/>
        <v>8533393.5220990386</v>
      </c>
      <c r="K87" s="340">
        <f t="shared" si="23"/>
        <v>0.81018931963305907</v>
      </c>
      <c r="L87" s="339"/>
      <c r="M87" s="339">
        <v>6552000</v>
      </c>
      <c r="N87" s="339">
        <v>2961600</v>
      </c>
      <c r="O87" s="339">
        <v>6345000</v>
      </c>
      <c r="P87" s="339">
        <v>4566000</v>
      </c>
      <c r="Q87" s="339">
        <v>6064975.7218610002</v>
      </c>
      <c r="R87" s="341">
        <v>14526000</v>
      </c>
      <c r="S87" s="339">
        <v>6955000</v>
      </c>
      <c r="T87" s="339">
        <v>31401000</v>
      </c>
      <c r="U87" s="339">
        <v>17034240.102599997</v>
      </c>
      <c r="V87" s="339">
        <v>8920103.8749480005</v>
      </c>
      <c r="X87" s="390"/>
      <c r="Y87" s="388"/>
      <c r="Z87" s="388"/>
      <c r="AA87" s="388"/>
      <c r="AB87" s="388"/>
      <c r="AC87" s="388"/>
      <c r="AD87" s="388"/>
      <c r="AE87" s="388"/>
      <c r="AF87" s="388"/>
      <c r="AG87" s="388"/>
      <c r="AH87" s="388"/>
      <c r="AI87" s="388"/>
      <c r="AJ87" s="388"/>
      <c r="AK87" s="388"/>
      <c r="AL87" s="388"/>
      <c r="AM87" s="388"/>
      <c r="AN87" s="388"/>
      <c r="AO87" s="388"/>
      <c r="AP87" s="388"/>
      <c r="AQ87" s="388"/>
      <c r="AR87" s="388"/>
      <c r="AS87" s="388"/>
    </row>
    <row r="88" spans="1:45" x14ac:dyDescent="0.2">
      <c r="A88" s="332">
        <v>1</v>
      </c>
      <c r="C88" s="335" t="str">
        <f>"Discontinued Operations"</f>
        <v>Discontinued Operations</v>
      </c>
      <c r="D88" s="339">
        <f t="shared" si="16"/>
        <v>6596704.5543500008</v>
      </c>
      <c r="E88" s="339">
        <f t="shared" si="17"/>
        <v>6596704.5543500008</v>
      </c>
      <c r="F88" s="339">
        <f t="shared" si="18"/>
        <v>6000</v>
      </c>
      <c r="G88" s="339">
        <f t="shared" si="19"/>
        <v>13187409.108700002</v>
      </c>
      <c r="H88" s="339">
        <f t="shared" si="20"/>
        <v>3301352.2771750004</v>
      </c>
      <c r="I88" s="339">
        <f t="shared" si="21"/>
        <v>9892056.8315250017</v>
      </c>
      <c r="J88" s="339">
        <f t="shared" si="22"/>
        <v>9320663.7663558982</v>
      </c>
      <c r="K88" s="340">
        <f t="shared" si="23"/>
        <v>1.4129272714221623</v>
      </c>
      <c r="L88" s="339"/>
      <c r="M88" s="339" t="s">
        <v>679</v>
      </c>
      <c r="N88" s="339" t="s">
        <v>679</v>
      </c>
      <c r="O88" s="339" t="s">
        <v>679</v>
      </c>
      <c r="P88" s="339" t="s">
        <v>679</v>
      </c>
      <c r="Q88" s="339">
        <v>13187409.108700002</v>
      </c>
      <c r="R88" s="341" t="s">
        <v>679</v>
      </c>
      <c r="S88" s="339" t="s">
        <v>679</v>
      </c>
      <c r="T88" s="339">
        <v>6000</v>
      </c>
      <c r="U88" s="339" t="s">
        <v>679</v>
      </c>
      <c r="V88" s="339" t="s">
        <v>679</v>
      </c>
      <c r="X88" s="390"/>
      <c r="Y88" s="388"/>
      <c r="Z88" s="388"/>
      <c r="AA88" s="388"/>
      <c r="AB88" s="388"/>
      <c r="AC88" s="388"/>
      <c r="AD88" s="388"/>
      <c r="AE88" s="388"/>
      <c r="AF88" s="388"/>
      <c r="AG88" s="388"/>
      <c r="AH88" s="388"/>
      <c r="AI88" s="388"/>
      <c r="AJ88" s="388"/>
      <c r="AK88" s="388"/>
      <c r="AL88" s="388"/>
      <c r="AM88" s="388"/>
      <c r="AN88" s="388"/>
      <c r="AO88" s="388"/>
      <c r="AP88" s="388"/>
      <c r="AQ88" s="388"/>
      <c r="AR88" s="388"/>
      <c r="AS88" s="388"/>
    </row>
    <row r="89" spans="1:45" x14ac:dyDescent="0.2">
      <c r="A89" s="332">
        <v>1</v>
      </c>
      <c r="C89" s="335" t="str">
        <f>"Net Income after Extraordinary Items and Discontinued Operations"</f>
        <v>Net Income after Extraordinary Items and Discontinued Operations</v>
      </c>
      <c r="D89" s="339">
        <f t="shared" si="16"/>
        <v>7937551.9374740003</v>
      </c>
      <c r="E89" s="339">
        <f t="shared" si="17"/>
        <v>11851932.880810898</v>
      </c>
      <c r="F89" s="339">
        <f t="shared" si="18"/>
        <v>2961600</v>
      </c>
      <c r="G89" s="339">
        <f t="shared" si="19"/>
        <v>31407000</v>
      </c>
      <c r="H89" s="339">
        <f t="shared" si="20"/>
        <v>6396750</v>
      </c>
      <c r="I89" s="339">
        <f t="shared" si="21"/>
        <v>16407180.076949999</v>
      </c>
      <c r="J89" s="339">
        <f t="shared" si="22"/>
        <v>8783116.9494183455</v>
      </c>
      <c r="K89" s="340">
        <f t="shared" si="23"/>
        <v>0.74107042604323403</v>
      </c>
      <c r="L89" s="339"/>
      <c r="M89" s="339">
        <v>6552000</v>
      </c>
      <c r="N89" s="339">
        <v>2961600</v>
      </c>
      <c r="O89" s="339">
        <v>6345000</v>
      </c>
      <c r="P89" s="339">
        <v>4566000</v>
      </c>
      <c r="Q89" s="339">
        <v>19252384.830561001</v>
      </c>
      <c r="R89" s="341">
        <v>14526000</v>
      </c>
      <c r="S89" s="339">
        <v>6955000</v>
      </c>
      <c r="T89" s="339">
        <v>31407000</v>
      </c>
      <c r="U89" s="339">
        <v>17034240.102599997</v>
      </c>
      <c r="V89" s="339">
        <v>8920103.8749480005</v>
      </c>
      <c r="X89" s="390"/>
      <c r="Y89" s="388"/>
      <c r="Z89" s="388"/>
      <c r="AA89" s="388"/>
      <c r="AB89" s="388"/>
      <c r="AC89" s="388"/>
      <c r="AD89" s="388"/>
      <c r="AE89" s="388"/>
      <c r="AF89" s="388"/>
      <c r="AG89" s="388"/>
      <c r="AH89" s="388"/>
      <c r="AI89" s="388"/>
      <c r="AJ89" s="388"/>
      <c r="AK89" s="388"/>
      <c r="AL89" s="388"/>
      <c r="AM89" s="388"/>
      <c r="AN89" s="388"/>
      <c r="AO89" s="388"/>
      <c r="AP89" s="388"/>
      <c r="AQ89" s="388"/>
      <c r="AR89" s="388"/>
      <c r="AS89" s="388"/>
    </row>
    <row r="90" spans="1:45" x14ac:dyDescent="0.2">
      <c r="A90" s="332">
        <v>1</v>
      </c>
      <c r="C90" s="335" t="str">
        <f>"Non-Controlling/Minority Interests"</f>
        <v>Non-Controlling/Minority Interests</v>
      </c>
      <c r="D90" s="339">
        <f t="shared" si="16"/>
        <v>18000</v>
      </c>
      <c r="E90" s="339">
        <f t="shared" si="17"/>
        <v>244332.64400677776</v>
      </c>
      <c r="F90" s="339">
        <f t="shared" si="18"/>
        <v>-85300</v>
      </c>
      <c r="G90" s="339">
        <f t="shared" si="19"/>
        <v>1311893.9323349998</v>
      </c>
      <c r="H90" s="339">
        <f t="shared" si="20"/>
        <v>0</v>
      </c>
      <c r="I90" s="339">
        <f t="shared" si="21"/>
        <v>118808.549961</v>
      </c>
      <c r="J90" s="339">
        <f t="shared" si="22"/>
        <v>484661.63512472517</v>
      </c>
      <c r="K90" s="340">
        <f t="shared" si="23"/>
        <v>1.9836139255763168</v>
      </c>
      <c r="L90" s="339"/>
      <c r="M90" s="339" t="s">
        <v>679</v>
      </c>
      <c r="N90" s="339">
        <v>-85300</v>
      </c>
      <c r="O90" s="339">
        <v>18000</v>
      </c>
      <c r="P90" s="339">
        <v>-26000</v>
      </c>
      <c r="Q90" s="339">
        <v>819591.31376499997</v>
      </c>
      <c r="R90" s="341">
        <v>7000</v>
      </c>
      <c r="S90" s="339">
        <v>0</v>
      </c>
      <c r="T90" s="339">
        <v>35000</v>
      </c>
      <c r="U90" s="339">
        <v>1311893.9323349998</v>
      </c>
      <c r="V90" s="339">
        <v>118808.549961</v>
      </c>
      <c r="X90" s="390"/>
      <c r="Y90" s="388"/>
      <c r="Z90" s="388"/>
      <c r="AA90" s="388"/>
      <c r="AB90" s="388"/>
      <c r="AC90" s="388"/>
      <c r="AD90" s="388"/>
      <c r="AE90" s="388"/>
      <c r="AF90" s="388"/>
      <c r="AG90" s="388"/>
      <c r="AH90" s="388"/>
      <c r="AI90" s="388"/>
      <c r="AJ90" s="388"/>
      <c r="AK90" s="388"/>
      <c r="AL90" s="388"/>
      <c r="AM90" s="388"/>
      <c r="AN90" s="388"/>
      <c r="AO90" s="388"/>
      <c r="AP90" s="388"/>
      <c r="AQ90" s="388"/>
      <c r="AR90" s="388"/>
      <c r="AS90" s="388"/>
    </row>
    <row r="91" spans="1:45" x14ac:dyDescent="0.2">
      <c r="A91" s="332">
        <v>1</v>
      </c>
      <c r="C91" s="335" t="str">
        <f>"Net Income after Non-Controlling/Minority Interests"</f>
        <v>Net Income after Non-Controlling/Minority Interests</v>
      </c>
      <c r="D91" s="339">
        <f t="shared" si="16"/>
        <v>7878147.6624934999</v>
      </c>
      <c r="E91" s="339">
        <f t="shared" si="17"/>
        <v>11632033.5012048</v>
      </c>
      <c r="F91" s="339">
        <f t="shared" si="18"/>
        <v>3046900</v>
      </c>
      <c r="G91" s="339">
        <f t="shared" si="19"/>
        <v>31372000</v>
      </c>
      <c r="H91" s="339">
        <f t="shared" si="20"/>
        <v>6383250</v>
      </c>
      <c r="I91" s="339">
        <f t="shared" si="21"/>
        <v>15421509.627698749</v>
      </c>
      <c r="J91" s="339">
        <f t="shared" si="22"/>
        <v>8615788.3382557463</v>
      </c>
      <c r="K91" s="340">
        <f t="shared" si="23"/>
        <v>0.74069493845279566</v>
      </c>
      <c r="L91" s="339"/>
      <c r="M91" s="339">
        <v>6552000</v>
      </c>
      <c r="N91" s="339">
        <v>3046900</v>
      </c>
      <c r="O91" s="339">
        <v>6327000</v>
      </c>
      <c r="P91" s="339">
        <v>4592000</v>
      </c>
      <c r="Q91" s="339">
        <v>18432793.516796</v>
      </c>
      <c r="R91" s="341">
        <v>14519000</v>
      </c>
      <c r="S91" s="339">
        <v>6955000</v>
      </c>
      <c r="T91" s="339">
        <v>31372000</v>
      </c>
      <c r="U91" s="339">
        <v>15722346.170265</v>
      </c>
      <c r="V91" s="339">
        <v>8801295.3249869999</v>
      </c>
      <c r="X91" s="390"/>
      <c r="Y91" s="388"/>
      <c r="Z91" s="388"/>
      <c r="AA91" s="388"/>
      <c r="AB91" s="388"/>
      <c r="AC91" s="388"/>
      <c r="AD91" s="388"/>
      <c r="AE91" s="388"/>
      <c r="AF91" s="388"/>
      <c r="AG91" s="388"/>
      <c r="AH91" s="388"/>
      <c r="AI91" s="388"/>
      <c r="AJ91" s="388"/>
      <c r="AK91" s="388"/>
      <c r="AL91" s="388"/>
      <c r="AM91" s="388"/>
      <c r="AN91" s="388"/>
      <c r="AO91" s="388"/>
      <c r="AP91" s="388"/>
      <c r="AQ91" s="388"/>
      <c r="AR91" s="388"/>
      <c r="AS91" s="388"/>
    </row>
    <row r="92" spans="1:45" x14ac:dyDescent="0.2">
      <c r="A92" s="332">
        <v>1</v>
      </c>
      <c r="C92" s="335" t="str">
        <f>IF(SUBTOTAL(109,A92)=A92,"Preferred/Other Stock Distribution","Preferred/Other Stock Distribution")</f>
        <v>Preferred/Other Stock Distribution</v>
      </c>
      <c r="D92" s="339" t="str">
        <f t="shared" si="16"/>
        <v/>
      </c>
      <c r="E92" s="339" t="str">
        <f t="shared" si="17"/>
        <v/>
      </c>
      <c r="F92" s="339" t="str">
        <f t="shared" si="18"/>
        <v/>
      </c>
      <c r="G92" s="339" t="str">
        <f t="shared" si="19"/>
        <v/>
      </c>
      <c r="H92" s="339" t="str">
        <f t="shared" si="20"/>
        <v/>
      </c>
      <c r="I92" s="339" t="str">
        <f t="shared" si="21"/>
        <v/>
      </c>
      <c r="J92" s="339" t="str">
        <f t="shared" si="22"/>
        <v/>
      </c>
      <c r="K92" s="340" t="str">
        <f t="shared" si="23"/>
        <v/>
      </c>
      <c r="L92" s="339"/>
      <c r="M92" s="339" t="str">
        <f>IF(SUBTOTAL(109,A92)=A92,"","")</f>
        <v/>
      </c>
      <c r="N92" s="339" t="str">
        <f>IF(SUBTOTAL(109,A92)=A92,"","")</f>
        <v/>
      </c>
      <c r="O92" s="339" t="str">
        <f>IF(SUBTOTAL(109,A92)=A92,"","")</f>
        <v/>
      </c>
      <c r="P92" s="339" t="str">
        <f>IF(SUBTOTAL(109,A92)=A92,"","")</f>
        <v/>
      </c>
      <c r="Q92" s="339" t="str">
        <f>IF(SUBTOTAL(109,A92)=A92,"","")</f>
        <v/>
      </c>
      <c r="R92" s="341" t="str">
        <f>IF(SUBTOTAL(109,A92)=A92,"","")</f>
        <v/>
      </c>
      <c r="S92" s="339" t="str">
        <f>IF(SUBTOTAL(109,A92)=A92,"","")</f>
        <v/>
      </c>
      <c r="T92" s="339" t="str">
        <f>IF(SUBTOTAL(109,A92)=A92,"","")</f>
        <v/>
      </c>
      <c r="U92" s="339" t="str">
        <f>IF(SUBTOTAL(109,A92)=A92,"","")</f>
        <v/>
      </c>
      <c r="V92" s="339" t="str">
        <f>IF(SUBTOTAL(109,A92)=A92,"","")</f>
        <v/>
      </c>
      <c r="X92" s="390"/>
      <c r="Y92" s="388"/>
      <c r="Z92" s="388"/>
      <c r="AA92" s="388"/>
      <c r="AB92" s="388"/>
      <c r="AC92" s="388"/>
      <c r="AD92" s="388"/>
      <c r="AE92" s="388"/>
      <c r="AF92" s="388"/>
      <c r="AG92" s="388"/>
      <c r="AH92" s="388"/>
      <c r="AI92" s="388"/>
      <c r="AJ92" s="388"/>
      <c r="AK92" s="388"/>
      <c r="AL92" s="388"/>
      <c r="AM92" s="388"/>
      <c r="AN92" s="388"/>
      <c r="AO92" s="388"/>
      <c r="AP92" s="388"/>
      <c r="AQ92" s="388"/>
      <c r="AR92" s="388"/>
      <c r="AS92" s="388"/>
    </row>
    <row r="93" spans="1:45" outlineLevel="1" x14ac:dyDescent="0.2">
      <c r="A93" s="332">
        <v>1</v>
      </c>
      <c r="C93" s="342" t="str">
        <f>"    Preferred Stock Dividends"</f>
        <v xml:space="preserve">    Preferred Stock Dividends</v>
      </c>
      <c r="D93" s="343" t="str">
        <f t="shared" si="16"/>
        <v/>
      </c>
      <c r="E93" s="343" t="str">
        <f t="shared" si="17"/>
        <v/>
      </c>
      <c r="F93" s="343" t="str">
        <f t="shared" si="18"/>
        <v/>
      </c>
      <c r="G93" s="343" t="str">
        <f t="shared" si="19"/>
        <v/>
      </c>
      <c r="H93" s="343" t="str">
        <f t="shared" si="20"/>
        <v/>
      </c>
      <c r="I93" s="343" t="str">
        <f t="shared" si="21"/>
        <v/>
      </c>
      <c r="J93" s="343" t="str">
        <f t="shared" si="22"/>
        <v/>
      </c>
      <c r="K93" s="344" t="str">
        <f t="shared" si="23"/>
        <v/>
      </c>
      <c r="L93" s="345"/>
      <c r="M93" s="345" t="s">
        <v>679</v>
      </c>
      <c r="N93" s="345" t="s">
        <v>679</v>
      </c>
      <c r="O93" s="345" t="s">
        <v>679</v>
      </c>
      <c r="P93" s="345" t="s">
        <v>679</v>
      </c>
      <c r="Q93" s="345" t="s">
        <v>679</v>
      </c>
      <c r="R93" s="346" t="s">
        <v>679</v>
      </c>
      <c r="S93" s="345" t="s">
        <v>679</v>
      </c>
      <c r="T93" s="345" t="s">
        <v>679</v>
      </c>
      <c r="U93" s="345" t="s">
        <v>679</v>
      </c>
      <c r="V93" s="345" t="s">
        <v>679</v>
      </c>
      <c r="X93" s="390"/>
      <c r="Y93" s="388"/>
      <c r="Z93" s="388"/>
      <c r="AA93" s="388"/>
      <c r="AB93" s="388"/>
      <c r="AC93" s="388"/>
      <c r="AD93" s="388"/>
      <c r="AE93" s="388"/>
      <c r="AF93" s="388"/>
      <c r="AG93" s="388"/>
      <c r="AH93" s="388"/>
      <c r="AI93" s="388"/>
      <c r="AJ93" s="388"/>
      <c r="AK93" s="388"/>
      <c r="AL93" s="388"/>
      <c r="AM93" s="388"/>
      <c r="AN93" s="388"/>
      <c r="AO93" s="388"/>
      <c r="AP93" s="388"/>
      <c r="AQ93" s="388"/>
      <c r="AR93" s="388"/>
      <c r="AS93" s="388"/>
    </row>
    <row r="94" spans="1:45" outlineLevel="1" x14ac:dyDescent="0.2">
      <c r="A94" s="332">
        <v>1</v>
      </c>
      <c r="C94" s="335" t="str">
        <f>"    Total Preferred/Other Stock Distribution"</f>
        <v xml:space="preserve">    Total Preferred/Other Stock Distribution</v>
      </c>
      <c r="D94" s="348" t="str">
        <f t="shared" si="16"/>
        <v/>
      </c>
      <c r="E94" s="348" t="str">
        <f t="shared" si="17"/>
        <v/>
      </c>
      <c r="F94" s="348" t="str">
        <f t="shared" si="18"/>
        <v/>
      </c>
      <c r="G94" s="348" t="str">
        <f t="shared" si="19"/>
        <v/>
      </c>
      <c r="H94" s="348" t="str">
        <f t="shared" si="20"/>
        <v/>
      </c>
      <c r="I94" s="348" t="str">
        <f t="shared" si="21"/>
        <v/>
      </c>
      <c r="J94" s="348" t="str">
        <f t="shared" si="22"/>
        <v/>
      </c>
      <c r="K94" s="349" t="str">
        <f t="shared" si="23"/>
        <v/>
      </c>
      <c r="L94" s="348"/>
      <c r="M94" s="348" t="s">
        <v>679</v>
      </c>
      <c r="N94" s="348" t="s">
        <v>679</v>
      </c>
      <c r="O94" s="348" t="s">
        <v>679</v>
      </c>
      <c r="P94" s="348" t="s">
        <v>679</v>
      </c>
      <c r="Q94" s="348" t="s">
        <v>679</v>
      </c>
      <c r="R94" s="352" t="s">
        <v>679</v>
      </c>
      <c r="S94" s="348" t="s">
        <v>679</v>
      </c>
      <c r="T94" s="348" t="s">
        <v>679</v>
      </c>
      <c r="U94" s="348" t="s">
        <v>679</v>
      </c>
      <c r="V94" s="348" t="s">
        <v>679</v>
      </c>
      <c r="X94" s="390"/>
      <c r="Y94" s="388"/>
      <c r="Z94" s="388"/>
      <c r="AA94" s="388"/>
      <c r="AB94" s="388"/>
      <c r="AC94" s="388"/>
      <c r="AD94" s="388"/>
      <c r="AE94" s="388"/>
      <c r="AF94" s="388"/>
      <c r="AG94" s="388"/>
      <c r="AH94" s="388"/>
      <c r="AI94" s="388"/>
      <c r="AJ94" s="388"/>
      <c r="AK94" s="388"/>
      <c r="AL94" s="388"/>
      <c r="AM94" s="388"/>
      <c r="AN94" s="388"/>
      <c r="AO94" s="388"/>
      <c r="AP94" s="388"/>
      <c r="AQ94" s="388"/>
      <c r="AR94" s="388"/>
      <c r="AS94" s="388"/>
    </row>
    <row r="95" spans="1:45" x14ac:dyDescent="0.2">
      <c r="A95" s="332">
        <v>1</v>
      </c>
      <c r="C95" s="335" t="str">
        <f>"Net Income Available to Common Stockholders"</f>
        <v>Net Income Available to Common Stockholders</v>
      </c>
      <c r="D95" s="339">
        <f t="shared" si="16"/>
        <v>7878147.6624934999</v>
      </c>
      <c r="E95" s="339">
        <f t="shared" si="17"/>
        <v>11632033.5012048</v>
      </c>
      <c r="F95" s="339">
        <f t="shared" si="18"/>
        <v>3046900</v>
      </c>
      <c r="G95" s="339">
        <f t="shared" si="19"/>
        <v>31372000</v>
      </c>
      <c r="H95" s="339">
        <f t="shared" si="20"/>
        <v>6383250</v>
      </c>
      <c r="I95" s="339">
        <f t="shared" si="21"/>
        <v>15421509.627698749</v>
      </c>
      <c r="J95" s="339">
        <f t="shared" si="22"/>
        <v>8615788.3382557463</v>
      </c>
      <c r="K95" s="340">
        <f t="shared" si="23"/>
        <v>0.74069493845279566</v>
      </c>
      <c r="L95" s="339"/>
      <c r="M95" s="339">
        <v>6552000</v>
      </c>
      <c r="N95" s="339">
        <v>3046900</v>
      </c>
      <c r="O95" s="339">
        <v>6327000</v>
      </c>
      <c r="P95" s="339">
        <v>4592000</v>
      </c>
      <c r="Q95" s="339">
        <v>18432793.516796</v>
      </c>
      <c r="R95" s="341">
        <v>14519000</v>
      </c>
      <c r="S95" s="339">
        <v>6955000</v>
      </c>
      <c r="T95" s="339">
        <v>31372000</v>
      </c>
      <c r="U95" s="339">
        <v>15722346.170265</v>
      </c>
      <c r="V95" s="339">
        <v>8801295.3249869999</v>
      </c>
      <c r="X95" s="390"/>
      <c r="Y95" s="388"/>
      <c r="Z95" s="388"/>
      <c r="AA95" s="388"/>
      <c r="AB95" s="388"/>
      <c r="AC95" s="388"/>
      <c r="AD95" s="388"/>
      <c r="AE95" s="388"/>
      <c r="AF95" s="388"/>
      <c r="AG95" s="388"/>
      <c r="AH95" s="388"/>
      <c r="AI95" s="388"/>
      <c r="AJ95" s="388"/>
      <c r="AK95" s="388"/>
      <c r="AL95" s="388"/>
      <c r="AM95" s="388"/>
      <c r="AN95" s="388"/>
      <c r="AO95" s="388"/>
      <c r="AP95" s="388"/>
      <c r="AQ95" s="388"/>
      <c r="AR95" s="388"/>
      <c r="AS95" s="388"/>
    </row>
    <row r="96" spans="1:45" x14ac:dyDescent="0.2">
      <c r="A96" s="332">
        <v>1</v>
      </c>
      <c r="C96" s="335" t="str">
        <f>"Dilution to Earnings"</f>
        <v>Dilution to Earnings</v>
      </c>
      <c r="D96" s="339">
        <f t="shared" si="16"/>
        <v>-1072.6851449999997</v>
      </c>
      <c r="E96" s="339">
        <f t="shared" si="17"/>
        <v>-1072.6851449999997</v>
      </c>
      <c r="F96" s="339">
        <f t="shared" si="18"/>
        <v>-1072.6851449999997</v>
      </c>
      <c r="G96" s="339">
        <f t="shared" si="19"/>
        <v>-1072.6851449999997</v>
      </c>
      <c r="H96" s="339">
        <f t="shared" si="20"/>
        <v>-1072.6851449999997</v>
      </c>
      <c r="I96" s="339">
        <f t="shared" si="21"/>
        <v>-1072.6851449999997</v>
      </c>
      <c r="J96" s="339" t="str">
        <f t="shared" si="22"/>
        <v/>
      </c>
      <c r="K96" s="340" t="str">
        <f t="shared" si="23"/>
        <v/>
      </c>
      <c r="L96" s="339"/>
      <c r="M96" s="339" t="s">
        <v>679</v>
      </c>
      <c r="N96" s="339" t="s">
        <v>679</v>
      </c>
      <c r="O96" s="339" t="s">
        <v>679</v>
      </c>
      <c r="P96" s="339" t="s">
        <v>679</v>
      </c>
      <c r="Q96" s="339" t="s">
        <v>679</v>
      </c>
      <c r="R96" s="341" t="s">
        <v>679</v>
      </c>
      <c r="S96" s="339" t="s">
        <v>679</v>
      </c>
      <c r="T96" s="339" t="s">
        <v>679</v>
      </c>
      <c r="U96" s="339">
        <v>-1072.6851449999997</v>
      </c>
      <c r="V96" s="339" t="s">
        <v>679</v>
      </c>
      <c r="X96" s="390"/>
      <c r="Y96" s="388"/>
      <c r="Z96" s="388"/>
      <c r="AA96" s="388"/>
      <c r="AB96" s="388"/>
      <c r="AC96" s="388"/>
      <c r="AD96" s="388"/>
      <c r="AE96" s="388"/>
      <c r="AF96" s="388"/>
      <c r="AG96" s="388"/>
      <c r="AH96" s="388"/>
      <c r="AI96" s="388"/>
      <c r="AJ96" s="388"/>
      <c r="AK96" s="388"/>
      <c r="AL96" s="388"/>
      <c r="AM96" s="388"/>
      <c r="AN96" s="388"/>
      <c r="AO96" s="388"/>
      <c r="AP96" s="388"/>
      <c r="AQ96" s="388"/>
      <c r="AR96" s="388"/>
      <c r="AS96" s="388"/>
    </row>
    <row r="97" spans="1:45" x14ac:dyDescent="0.2">
      <c r="A97" s="332">
        <v>1</v>
      </c>
      <c r="C97" s="335" t="str">
        <f>"Diluted Net Income Available to Common Stockholders"</f>
        <v>Diluted Net Income Available to Common Stockholders</v>
      </c>
      <c r="D97" s="339">
        <f t="shared" si="16"/>
        <v>7878147.6624934999</v>
      </c>
      <c r="E97" s="339">
        <f t="shared" si="17"/>
        <v>11631926.232690299</v>
      </c>
      <c r="F97" s="339">
        <f t="shared" si="18"/>
        <v>3046900</v>
      </c>
      <c r="G97" s="339">
        <f t="shared" si="19"/>
        <v>31372000</v>
      </c>
      <c r="H97" s="339">
        <f t="shared" si="20"/>
        <v>6383250</v>
      </c>
      <c r="I97" s="339">
        <f t="shared" si="21"/>
        <v>15420705.113839999</v>
      </c>
      <c r="J97" s="339">
        <f t="shared" si="22"/>
        <v>8615731.7610605303</v>
      </c>
      <c r="K97" s="340">
        <f t="shared" si="23"/>
        <v>0.74069690511335318</v>
      </c>
      <c r="L97" s="339"/>
      <c r="M97" s="339">
        <v>6552000</v>
      </c>
      <c r="N97" s="339">
        <v>3046900</v>
      </c>
      <c r="O97" s="339">
        <v>6327000</v>
      </c>
      <c r="P97" s="339">
        <v>4592000</v>
      </c>
      <c r="Q97" s="339">
        <v>18432793.516796</v>
      </c>
      <c r="R97" s="341">
        <v>14519000</v>
      </c>
      <c r="S97" s="339">
        <v>6955000</v>
      </c>
      <c r="T97" s="339">
        <v>31372000</v>
      </c>
      <c r="U97" s="339">
        <v>15721273.485119998</v>
      </c>
      <c r="V97" s="339">
        <v>8801295.3249869999</v>
      </c>
      <c r="X97" s="390"/>
      <c r="Y97" s="388"/>
      <c r="Z97" s="388"/>
      <c r="AA97" s="388"/>
      <c r="AB97" s="388"/>
      <c r="AC97" s="388"/>
      <c r="AD97" s="388"/>
      <c r="AE97" s="388"/>
      <c r="AF97" s="388"/>
      <c r="AG97" s="388"/>
      <c r="AH97" s="388"/>
      <c r="AI97" s="388"/>
      <c r="AJ97" s="388"/>
      <c r="AK97" s="388"/>
      <c r="AL97" s="388"/>
      <c r="AM97" s="388"/>
      <c r="AN97" s="388"/>
      <c r="AO97" s="388"/>
      <c r="AP97" s="388"/>
      <c r="AQ97" s="388"/>
      <c r="AR97" s="388"/>
      <c r="AS97" s="388"/>
    </row>
    <row r="98" spans="1:45" x14ac:dyDescent="0.2">
      <c r="A98" s="332">
        <v>1</v>
      </c>
      <c r="C98" s="335" t="str">
        <f>IF(SUBTOTAL(109,A98)=A98,"Basic EPS","Basic EPS")</f>
        <v>Basic EPS</v>
      </c>
      <c r="D98" s="340" t="str">
        <f t="shared" si="16"/>
        <v/>
      </c>
      <c r="E98" s="340" t="str">
        <f t="shared" si="17"/>
        <v/>
      </c>
      <c r="F98" s="340" t="str">
        <f t="shared" si="18"/>
        <v/>
      </c>
      <c r="G98" s="340" t="str">
        <f t="shared" si="19"/>
        <v/>
      </c>
      <c r="H98" s="340" t="str">
        <f t="shared" si="20"/>
        <v/>
      </c>
      <c r="I98" s="340" t="str">
        <f t="shared" si="21"/>
        <v/>
      </c>
      <c r="J98" s="340" t="str">
        <f t="shared" si="22"/>
        <v/>
      </c>
      <c r="K98" s="340" t="str">
        <f t="shared" si="23"/>
        <v/>
      </c>
      <c r="L98" s="340"/>
      <c r="M98" s="340" t="str">
        <f>IF(SUBTOTAL(109,A98)=A98,"",12.18)</f>
        <v/>
      </c>
      <c r="N98" s="340" t="str">
        <f>IF(SUBTOTAL(109,A98)=A98,"",20.96)</f>
        <v/>
      </c>
      <c r="O98" s="340" t="str">
        <f>IF(SUBTOTAL(109,A98)=A98,"",2.97)</f>
        <v/>
      </c>
      <c r="P98" s="340" t="str">
        <f>IF(SUBTOTAL(109,A98)=A98,"",3.66)</f>
        <v/>
      </c>
      <c r="Q98" s="340" t="str">
        <f>IF(SUBTOTAL(109,A98)=A98,"",4.577386675674)</f>
        <v/>
      </c>
      <c r="R98" s="353" t="str">
        <f>IF(SUBTOTAL(109,A98)=A98,"",5.73)</f>
        <v/>
      </c>
      <c r="S98" s="340" t="str">
        <f>IF(SUBTOTAL(109,A98)=A98,"",3.19)</f>
        <v/>
      </c>
      <c r="T98" s="340" t="str">
        <f>IF(SUBTOTAL(109,A98)=A98,"",5.59)</f>
        <v/>
      </c>
      <c r="U98" s="340" t="str">
        <f>IF(SUBTOTAL(109,A98)=A98,"",19.19033724405)</f>
        <v/>
      </c>
      <c r="V98" s="340" t="str">
        <f>IF(SUBTOTAL(109,A98)=A98,"",7.03388671893)</f>
        <v/>
      </c>
      <c r="X98" s="390"/>
      <c r="Y98" s="388"/>
      <c r="Z98" s="388"/>
      <c r="AA98" s="388"/>
      <c r="AB98" s="388"/>
      <c r="AC98" s="388"/>
      <c r="AD98" s="388"/>
      <c r="AE98" s="388"/>
      <c r="AF98" s="388"/>
      <c r="AG98" s="388"/>
      <c r="AH98" s="388"/>
      <c r="AI98" s="388"/>
      <c r="AJ98" s="388"/>
      <c r="AK98" s="388"/>
      <c r="AL98" s="388"/>
      <c r="AM98" s="388"/>
      <c r="AN98" s="388"/>
      <c r="AO98" s="388"/>
      <c r="AP98" s="388"/>
      <c r="AQ98" s="388"/>
      <c r="AR98" s="388"/>
      <c r="AS98" s="388"/>
    </row>
    <row r="99" spans="1:45" outlineLevel="1" x14ac:dyDescent="0.2">
      <c r="A99" s="332">
        <v>1</v>
      </c>
      <c r="C99" s="342" t="str">
        <f>"    Basic EPS from Continuing Operations"</f>
        <v xml:space="preserve">    Basic EPS from Continuing Operations</v>
      </c>
      <c r="D99" s="344">
        <f t="shared" si="16"/>
        <v>5.66</v>
      </c>
      <c r="E99" s="344">
        <f t="shared" si="17"/>
        <v>8.1869798663208009</v>
      </c>
      <c r="F99" s="344">
        <f t="shared" si="18"/>
        <v>1.3655747002280001</v>
      </c>
      <c r="G99" s="344">
        <f t="shared" si="19"/>
        <v>20.96</v>
      </c>
      <c r="H99" s="344">
        <f t="shared" si="20"/>
        <v>3.3075000000000001</v>
      </c>
      <c r="I99" s="344">
        <f t="shared" si="21"/>
        <v>10.8934716797325</v>
      </c>
      <c r="J99" s="344">
        <f t="shared" si="22"/>
        <v>6.9401457466411705</v>
      </c>
      <c r="K99" s="344">
        <f t="shared" si="23"/>
        <v>0.84770524173281581</v>
      </c>
      <c r="L99" s="354"/>
      <c r="M99" s="354">
        <v>12.18</v>
      </c>
      <c r="N99" s="354">
        <v>20.96</v>
      </c>
      <c r="O99" s="354">
        <v>2.97</v>
      </c>
      <c r="P99" s="354">
        <v>3.66</v>
      </c>
      <c r="Q99" s="354">
        <v>1.3655747002280001</v>
      </c>
      <c r="R99" s="355">
        <v>5.73</v>
      </c>
      <c r="S99" s="354">
        <v>3.19</v>
      </c>
      <c r="T99" s="354">
        <v>5.59</v>
      </c>
      <c r="U99" s="354">
        <v>19.190337244049999</v>
      </c>
      <c r="V99" s="354">
        <v>7.0338867189299998</v>
      </c>
      <c r="X99" s="390"/>
      <c r="Y99" s="388"/>
      <c r="Z99" s="388"/>
      <c r="AA99" s="388"/>
      <c r="AB99" s="388"/>
      <c r="AC99" s="388"/>
      <c r="AD99" s="388"/>
      <c r="AE99" s="388"/>
      <c r="AF99" s="388"/>
      <c r="AG99" s="388"/>
      <c r="AH99" s="388"/>
      <c r="AI99" s="388"/>
      <c r="AJ99" s="388"/>
      <c r="AK99" s="388"/>
      <c r="AL99" s="388"/>
      <c r="AM99" s="388"/>
      <c r="AN99" s="388"/>
      <c r="AO99" s="388"/>
      <c r="AP99" s="388"/>
      <c r="AQ99" s="388"/>
      <c r="AR99" s="388"/>
      <c r="AS99" s="388"/>
    </row>
    <row r="100" spans="1:45" outlineLevel="1" x14ac:dyDescent="0.2">
      <c r="A100" s="332">
        <v>1</v>
      </c>
      <c r="C100" s="342" t="str">
        <f>"    Basic EPS from Discontinued Operations"</f>
        <v xml:space="preserve">    Basic EPS from Discontinued Operations</v>
      </c>
      <c r="D100" s="344">
        <f t="shared" si="16"/>
        <v>1.6109059877230001</v>
      </c>
      <c r="E100" s="344">
        <f t="shared" si="17"/>
        <v>1.6109059877229999</v>
      </c>
      <c r="F100" s="344">
        <f t="shared" si="18"/>
        <v>0.01</v>
      </c>
      <c r="G100" s="344">
        <f t="shared" si="19"/>
        <v>3.2118119754459999</v>
      </c>
      <c r="H100" s="344">
        <f t="shared" si="20"/>
        <v>0.81045299386150005</v>
      </c>
      <c r="I100" s="344">
        <f t="shared" si="21"/>
        <v>2.4113589815844998</v>
      </c>
      <c r="J100" s="344">
        <f t="shared" si="22"/>
        <v>2.2640229599221624</v>
      </c>
      <c r="K100" s="344">
        <f t="shared" si="23"/>
        <v>1.4054345673656208</v>
      </c>
      <c r="L100" s="354"/>
      <c r="M100" s="354" t="s">
        <v>679</v>
      </c>
      <c r="N100" s="354" t="s">
        <v>679</v>
      </c>
      <c r="O100" s="354" t="s">
        <v>679</v>
      </c>
      <c r="P100" s="354" t="s">
        <v>679</v>
      </c>
      <c r="Q100" s="354">
        <v>3.2118119754459999</v>
      </c>
      <c r="R100" s="355" t="s">
        <v>679</v>
      </c>
      <c r="S100" s="354" t="s">
        <v>679</v>
      </c>
      <c r="T100" s="354">
        <v>0.01</v>
      </c>
      <c r="U100" s="354" t="s">
        <v>679</v>
      </c>
      <c r="V100" s="354" t="s">
        <v>679</v>
      </c>
      <c r="X100" s="390"/>
      <c r="Y100" s="388"/>
      <c r="Z100" s="388"/>
      <c r="AA100" s="388"/>
      <c r="AB100" s="388"/>
      <c r="AC100" s="388"/>
      <c r="AD100" s="388"/>
      <c r="AE100" s="388"/>
      <c r="AF100" s="388"/>
      <c r="AG100" s="388"/>
      <c r="AH100" s="388"/>
      <c r="AI100" s="388"/>
      <c r="AJ100" s="388"/>
      <c r="AK100" s="388"/>
      <c r="AL100" s="388"/>
      <c r="AM100" s="388"/>
      <c r="AN100" s="388"/>
      <c r="AO100" s="388"/>
      <c r="AP100" s="388"/>
      <c r="AQ100" s="388"/>
      <c r="AR100" s="388"/>
      <c r="AS100" s="388"/>
    </row>
    <row r="101" spans="1:45" outlineLevel="1" x14ac:dyDescent="0.2">
      <c r="A101" s="332">
        <v>1</v>
      </c>
      <c r="C101" s="335" t="str">
        <f>"    Total Basic EPS"</f>
        <v xml:space="preserve">    Total Basic EPS</v>
      </c>
      <c r="D101" s="349">
        <f t="shared" si="16"/>
        <v>5.66</v>
      </c>
      <c r="E101" s="349">
        <f t="shared" si="17"/>
        <v>8.5081610638653995</v>
      </c>
      <c r="F101" s="349">
        <f t="shared" si="18"/>
        <v>2.97</v>
      </c>
      <c r="G101" s="349">
        <f t="shared" si="19"/>
        <v>20.96</v>
      </c>
      <c r="H101" s="349">
        <f t="shared" si="20"/>
        <v>3.8893466689184999</v>
      </c>
      <c r="I101" s="349">
        <f t="shared" si="21"/>
        <v>10.8934716797325</v>
      </c>
      <c r="J101" s="349">
        <f t="shared" si="22"/>
        <v>6.6579662210601214</v>
      </c>
      <c r="K101" s="349">
        <f t="shared" si="23"/>
        <v>0.78253880845496082</v>
      </c>
      <c r="L101" s="349"/>
      <c r="M101" s="349">
        <v>12.18</v>
      </c>
      <c r="N101" s="349">
        <v>20.96</v>
      </c>
      <c r="O101" s="349">
        <v>2.97</v>
      </c>
      <c r="P101" s="349">
        <v>3.66</v>
      </c>
      <c r="Q101" s="349">
        <v>4.577386675674</v>
      </c>
      <c r="R101" s="356">
        <v>5.73</v>
      </c>
      <c r="S101" s="349">
        <v>3.19</v>
      </c>
      <c r="T101" s="349">
        <v>5.59</v>
      </c>
      <c r="U101" s="349">
        <v>19.190337244049999</v>
      </c>
      <c r="V101" s="349">
        <v>7.0338867189299998</v>
      </c>
      <c r="X101" s="390"/>
      <c r="Y101" s="388"/>
      <c r="Z101" s="388"/>
      <c r="AA101" s="388"/>
      <c r="AB101" s="388"/>
      <c r="AC101" s="388"/>
      <c r="AD101" s="388"/>
      <c r="AE101" s="388"/>
      <c r="AF101" s="388"/>
      <c r="AG101" s="388"/>
      <c r="AH101" s="388"/>
      <c r="AI101" s="388"/>
      <c r="AJ101" s="388"/>
      <c r="AK101" s="388"/>
      <c r="AL101" s="388"/>
      <c r="AM101" s="388"/>
      <c r="AN101" s="388"/>
      <c r="AO101" s="388"/>
      <c r="AP101" s="388"/>
      <c r="AQ101" s="388"/>
      <c r="AR101" s="388"/>
      <c r="AS101" s="388"/>
    </row>
    <row r="102" spans="1:45" x14ac:dyDescent="0.2">
      <c r="A102" s="332">
        <v>1</v>
      </c>
      <c r="C102" s="335" t="str">
        <f>IF(SUBTOTAL(109,A102)=A102,"Diluted EPS","Diluted EPS")</f>
        <v>Diluted EPS</v>
      </c>
      <c r="D102" s="340" t="str">
        <f t="shared" si="16"/>
        <v/>
      </c>
      <c r="E102" s="340" t="str">
        <f t="shared" si="17"/>
        <v/>
      </c>
      <c r="F102" s="340" t="str">
        <f t="shared" si="18"/>
        <v/>
      </c>
      <c r="G102" s="340" t="str">
        <f t="shared" si="19"/>
        <v/>
      </c>
      <c r="H102" s="340" t="str">
        <f t="shared" si="20"/>
        <v/>
      </c>
      <c r="I102" s="340" t="str">
        <f t="shared" si="21"/>
        <v/>
      </c>
      <c r="J102" s="340" t="str">
        <f t="shared" si="22"/>
        <v/>
      </c>
      <c r="K102" s="340" t="str">
        <f t="shared" si="23"/>
        <v/>
      </c>
      <c r="L102" s="340"/>
      <c r="M102" s="340" t="str">
        <f>IF(SUBTOTAL(109,A102)=A102,"",12.11)</f>
        <v/>
      </c>
      <c r="N102" s="340" t="str">
        <f>IF(SUBTOTAL(109,A102)=A102,"",20.87)</f>
        <v/>
      </c>
      <c r="O102" s="340" t="str">
        <f>IF(SUBTOTAL(109,A102)=A102,"",2.95)</f>
        <v/>
      </c>
      <c r="P102" s="340" t="str">
        <f>IF(SUBTOTAL(109,A102)=A102,"",3.64)</f>
        <v/>
      </c>
      <c r="Q102" s="340" t="str">
        <f>IF(SUBTOTAL(109,A102)=A102,"",4.513298332342)</f>
        <v/>
      </c>
      <c r="R102" s="353" t="str">
        <f>IF(SUBTOTAL(109,A102)=A102,"",5.71)</f>
        <v/>
      </c>
      <c r="S102" s="340" t="str">
        <f>IF(SUBTOTAL(109,A102)=A102,"",3.17)</f>
        <v/>
      </c>
      <c r="T102" s="340" t="str">
        <f>IF(SUBTOTAL(109,A102)=A102,"",5.47)</f>
        <v/>
      </c>
      <c r="U102" s="340" t="str">
        <f>IF(SUBTOTAL(109,A102)=A102,"",18.97580021505)</f>
        <v/>
      </c>
      <c r="V102" s="340" t="str">
        <f>IF(SUBTOTAL(109,A102)=A102,"",7.00234462601999)</f>
        <v/>
      </c>
      <c r="X102" s="390"/>
      <c r="Y102" s="388"/>
      <c r="Z102" s="388"/>
      <c r="AA102" s="388"/>
      <c r="AB102" s="388"/>
      <c r="AC102" s="388"/>
      <c r="AD102" s="388"/>
      <c r="AE102" s="388"/>
      <c r="AF102" s="388"/>
      <c r="AG102" s="388"/>
      <c r="AH102" s="388"/>
      <c r="AI102" s="388"/>
      <c r="AJ102" s="388"/>
      <c r="AK102" s="388"/>
      <c r="AL102" s="388"/>
      <c r="AM102" s="388"/>
      <c r="AN102" s="388"/>
      <c r="AO102" s="388"/>
      <c r="AP102" s="388"/>
      <c r="AQ102" s="388"/>
      <c r="AR102" s="388"/>
      <c r="AS102" s="388"/>
    </row>
    <row r="103" spans="1:45" outlineLevel="1" x14ac:dyDescent="0.2">
      <c r="A103" s="332">
        <v>1</v>
      </c>
      <c r="C103" s="342" t="str">
        <f>"    Diluted EPS from Continuing Operations"</f>
        <v xml:space="preserve">    Diluted EPS from Continuing Operations</v>
      </c>
      <c r="D103" s="344">
        <f t="shared" si="16"/>
        <v>5.59</v>
      </c>
      <c r="E103" s="344">
        <f t="shared" si="17"/>
        <v>8.1244000051042011</v>
      </c>
      <c r="F103" s="344">
        <f t="shared" si="18"/>
        <v>1.345855209972</v>
      </c>
      <c r="G103" s="344">
        <f t="shared" si="19"/>
        <v>20.87</v>
      </c>
      <c r="H103" s="344">
        <f t="shared" si="20"/>
        <v>3.2875000000000001</v>
      </c>
      <c r="I103" s="344">
        <f t="shared" si="21"/>
        <v>10.833086156504999</v>
      </c>
      <c r="J103" s="344">
        <f t="shared" si="22"/>
        <v>6.8928416642829946</v>
      </c>
      <c r="K103" s="344">
        <f t="shared" si="23"/>
        <v>0.84841239475561603</v>
      </c>
      <c r="L103" s="354"/>
      <c r="M103" s="354">
        <v>12.11</v>
      </c>
      <c r="N103" s="354">
        <v>20.87</v>
      </c>
      <c r="O103" s="354">
        <v>2.95</v>
      </c>
      <c r="P103" s="354">
        <v>3.64</v>
      </c>
      <c r="Q103" s="354">
        <v>1.345855209972</v>
      </c>
      <c r="R103" s="355">
        <v>5.71</v>
      </c>
      <c r="S103" s="354">
        <v>3.17</v>
      </c>
      <c r="T103" s="354">
        <v>5.47</v>
      </c>
      <c r="U103" s="354">
        <v>18.97580021505</v>
      </c>
      <c r="V103" s="354">
        <v>7.0023446260199993</v>
      </c>
      <c r="X103" s="390"/>
      <c r="Y103" s="388"/>
      <c r="Z103" s="388"/>
      <c r="AA103" s="388"/>
      <c r="AB103" s="388"/>
      <c r="AC103" s="388"/>
      <c r="AD103" s="388"/>
      <c r="AE103" s="388"/>
      <c r="AF103" s="388"/>
      <c r="AG103" s="388"/>
      <c r="AH103" s="388"/>
      <c r="AI103" s="388"/>
      <c r="AJ103" s="388"/>
      <c r="AK103" s="388"/>
      <c r="AL103" s="388"/>
      <c r="AM103" s="388"/>
      <c r="AN103" s="388"/>
      <c r="AO103" s="388"/>
      <c r="AP103" s="388"/>
      <c r="AQ103" s="388"/>
      <c r="AR103" s="388"/>
      <c r="AS103" s="388"/>
    </row>
    <row r="104" spans="1:45" outlineLevel="1" x14ac:dyDescent="0.2">
      <c r="A104" s="332">
        <v>1</v>
      </c>
      <c r="C104" s="342" t="str">
        <f>"    Diluted EPS from Discontinued Operations"</f>
        <v xml:space="preserve">    Diluted EPS from Discontinued Operations</v>
      </c>
      <c r="D104" s="344">
        <f t="shared" si="16"/>
        <v>1.5887215611850001</v>
      </c>
      <c r="E104" s="344">
        <f t="shared" si="17"/>
        <v>1.5887215611849999</v>
      </c>
      <c r="F104" s="344">
        <f t="shared" si="18"/>
        <v>0.01</v>
      </c>
      <c r="G104" s="344">
        <f t="shared" si="19"/>
        <v>3.1674431223699999</v>
      </c>
      <c r="H104" s="344">
        <f t="shared" si="20"/>
        <v>0.79936078059250004</v>
      </c>
      <c r="I104" s="344">
        <f t="shared" si="21"/>
        <v>2.3780823417774997</v>
      </c>
      <c r="J104" s="344">
        <f t="shared" si="22"/>
        <v>2.2326494430386532</v>
      </c>
      <c r="K104" s="344">
        <f t="shared" si="23"/>
        <v>1.4053119801391496</v>
      </c>
      <c r="L104" s="354"/>
      <c r="M104" s="354" t="s">
        <v>679</v>
      </c>
      <c r="N104" s="354" t="s">
        <v>679</v>
      </c>
      <c r="O104" s="354" t="s">
        <v>679</v>
      </c>
      <c r="P104" s="354" t="s">
        <v>679</v>
      </c>
      <c r="Q104" s="354">
        <v>3.1674431223699999</v>
      </c>
      <c r="R104" s="355" t="s">
        <v>679</v>
      </c>
      <c r="S104" s="354" t="s">
        <v>679</v>
      </c>
      <c r="T104" s="354">
        <v>0.01</v>
      </c>
      <c r="U104" s="354" t="s">
        <v>679</v>
      </c>
      <c r="V104" s="354" t="s">
        <v>679</v>
      </c>
      <c r="X104" s="390"/>
      <c r="Y104" s="388"/>
      <c r="Z104" s="388"/>
      <c r="AA104" s="388"/>
      <c r="AB104" s="388"/>
      <c r="AC104" s="388"/>
      <c r="AD104" s="388"/>
      <c r="AE104" s="388"/>
      <c r="AF104" s="388"/>
      <c r="AG104" s="388"/>
      <c r="AH104" s="388"/>
      <c r="AI104" s="388"/>
      <c r="AJ104" s="388"/>
      <c r="AK104" s="388"/>
      <c r="AL104" s="388"/>
      <c r="AM104" s="388"/>
      <c r="AN104" s="388"/>
      <c r="AO104" s="388"/>
      <c r="AP104" s="388"/>
      <c r="AQ104" s="388"/>
      <c r="AR104" s="388"/>
      <c r="AS104" s="388"/>
    </row>
    <row r="105" spans="1:45" outlineLevel="1" x14ac:dyDescent="0.2">
      <c r="A105" s="332">
        <v>1</v>
      </c>
      <c r="C105" s="335" t="str">
        <f>"    Total Diluted EPS"</f>
        <v xml:space="preserve">    Total Diluted EPS</v>
      </c>
      <c r="D105" s="349">
        <f t="shared" si="16"/>
        <v>5.59</v>
      </c>
      <c r="E105" s="349">
        <f t="shared" si="17"/>
        <v>8.4411443173412017</v>
      </c>
      <c r="F105" s="349">
        <f t="shared" si="18"/>
        <v>2.95</v>
      </c>
      <c r="G105" s="349">
        <f t="shared" si="19"/>
        <v>20.87</v>
      </c>
      <c r="H105" s="349">
        <f t="shared" si="20"/>
        <v>3.8583245830855</v>
      </c>
      <c r="I105" s="349">
        <f t="shared" si="21"/>
        <v>10.833086156504999</v>
      </c>
      <c r="J105" s="349">
        <f t="shared" si="22"/>
        <v>6.6138702070215656</v>
      </c>
      <c r="K105" s="349">
        <f t="shared" si="23"/>
        <v>0.78352767804647694</v>
      </c>
      <c r="L105" s="349"/>
      <c r="M105" s="349">
        <v>12.11</v>
      </c>
      <c r="N105" s="349">
        <v>20.87</v>
      </c>
      <c r="O105" s="349">
        <v>2.95</v>
      </c>
      <c r="P105" s="349">
        <v>3.64</v>
      </c>
      <c r="Q105" s="349">
        <v>4.513298332342</v>
      </c>
      <c r="R105" s="356">
        <v>5.71</v>
      </c>
      <c r="S105" s="349">
        <v>3.17</v>
      </c>
      <c r="T105" s="349">
        <v>5.47</v>
      </c>
      <c r="U105" s="349">
        <v>18.97580021505</v>
      </c>
      <c r="V105" s="349">
        <v>7.0023446260199993</v>
      </c>
      <c r="X105" s="390"/>
      <c r="Y105" s="388"/>
      <c r="Z105" s="388"/>
      <c r="AA105" s="388"/>
      <c r="AB105" s="388"/>
      <c r="AC105" s="388"/>
      <c r="AD105" s="388"/>
      <c r="AE105" s="388"/>
      <c r="AF105" s="388"/>
      <c r="AG105" s="388"/>
      <c r="AH105" s="388"/>
      <c r="AI105" s="388"/>
      <c r="AJ105" s="388"/>
      <c r="AK105" s="388"/>
      <c r="AL105" s="388"/>
      <c r="AM105" s="388"/>
      <c r="AN105" s="388"/>
      <c r="AO105" s="388"/>
      <c r="AP105" s="388"/>
      <c r="AQ105" s="388"/>
      <c r="AR105" s="388"/>
      <c r="AS105" s="388"/>
    </row>
    <row r="106" spans="1:45" x14ac:dyDescent="0.2">
      <c r="A106" s="332">
        <v>1</v>
      </c>
      <c r="C106" s="335" t="str">
        <f>"Basic Weighted Average Shares Outstanding"</f>
        <v>Basic Weighted Average Shares Outstanding</v>
      </c>
      <c r="D106" s="339">
        <f t="shared" si="16"/>
        <v>1692500000</v>
      </c>
      <c r="E106" s="339">
        <f t="shared" si="17"/>
        <v>2049070000</v>
      </c>
      <c r="F106" s="339">
        <f t="shared" si="18"/>
        <v>145300000</v>
      </c>
      <c r="G106" s="339">
        <f t="shared" si="19"/>
        <v>5608000000</v>
      </c>
      <c r="H106" s="339">
        <f t="shared" si="20"/>
        <v>930600000</v>
      </c>
      <c r="I106" s="339">
        <f t="shared" si="21"/>
        <v>2444250000</v>
      </c>
      <c r="J106" s="339">
        <f t="shared" si="22"/>
        <v>1683486240.6130123</v>
      </c>
      <c r="K106" s="340">
        <f t="shared" si="23"/>
        <v>0.82158551958352444</v>
      </c>
      <c r="L106" s="339"/>
      <c r="M106" s="339">
        <v>538000000</v>
      </c>
      <c r="N106" s="339">
        <v>145300000</v>
      </c>
      <c r="O106" s="339">
        <v>2130000000</v>
      </c>
      <c r="P106" s="339">
        <v>1255000000</v>
      </c>
      <c r="Q106" s="339">
        <v>4026000000</v>
      </c>
      <c r="R106" s="341">
        <v>2532000000</v>
      </c>
      <c r="S106" s="339">
        <v>2181000000</v>
      </c>
      <c r="T106" s="339">
        <v>5608000000</v>
      </c>
      <c r="U106" s="339">
        <v>823500000</v>
      </c>
      <c r="V106" s="339">
        <v>1251900000</v>
      </c>
      <c r="X106" s="390"/>
      <c r="Y106" s="388"/>
      <c r="Z106" s="388"/>
      <c r="AA106" s="388"/>
      <c r="AB106" s="388"/>
      <c r="AC106" s="388"/>
      <c r="AD106" s="388"/>
      <c r="AE106" s="388"/>
      <c r="AF106" s="388"/>
      <c r="AG106" s="388"/>
      <c r="AH106" s="388"/>
      <c r="AI106" s="388"/>
      <c r="AJ106" s="388"/>
      <c r="AK106" s="388"/>
      <c r="AL106" s="388"/>
      <c r="AM106" s="388"/>
      <c r="AN106" s="388"/>
      <c r="AO106" s="388"/>
      <c r="AP106" s="388"/>
      <c r="AQ106" s="388"/>
      <c r="AR106" s="388"/>
      <c r="AS106" s="388"/>
    </row>
    <row r="107" spans="1:45" x14ac:dyDescent="0.2">
      <c r="A107" s="332">
        <v>1</v>
      </c>
      <c r="C107" s="335" t="str">
        <f>"Diluted Weighted Average Shares Outstanding"</f>
        <v>Diluted Weighted Average Shares Outstanding</v>
      </c>
      <c r="D107" s="339">
        <f t="shared" si="16"/>
        <v>1704000000</v>
      </c>
      <c r="E107" s="339">
        <f t="shared" si="17"/>
        <v>2074190000</v>
      </c>
      <c r="F107" s="339">
        <f t="shared" si="18"/>
        <v>146000000</v>
      </c>
      <c r="G107" s="339">
        <f t="shared" si="19"/>
        <v>5733000000</v>
      </c>
      <c r="H107" s="339">
        <f t="shared" si="20"/>
        <v>939725000</v>
      </c>
      <c r="I107" s="339">
        <f t="shared" si="21"/>
        <v>2455750000</v>
      </c>
      <c r="J107" s="339">
        <f t="shared" si="22"/>
        <v>1719159583.0844533</v>
      </c>
      <c r="K107" s="340">
        <f t="shared" si="23"/>
        <v>0.82883418736203207</v>
      </c>
      <c r="L107" s="339"/>
      <c r="M107" s="339">
        <v>541000000</v>
      </c>
      <c r="N107" s="339">
        <v>146000000</v>
      </c>
      <c r="O107" s="339">
        <v>2146000000</v>
      </c>
      <c r="P107" s="339">
        <v>1262000000</v>
      </c>
      <c r="Q107" s="339">
        <v>4084000000</v>
      </c>
      <c r="R107" s="341">
        <v>2542000000</v>
      </c>
      <c r="S107" s="339">
        <v>2197000000</v>
      </c>
      <c r="T107" s="339">
        <v>5733000000</v>
      </c>
      <c r="U107" s="339">
        <v>834000000</v>
      </c>
      <c r="V107" s="339">
        <v>1256900000</v>
      </c>
      <c r="X107" s="390"/>
      <c r="Y107" s="388"/>
      <c r="Z107" s="388"/>
      <c r="AA107" s="388"/>
      <c r="AB107" s="388"/>
      <c r="AC107" s="388"/>
      <c r="AD107" s="388"/>
      <c r="AE107" s="388"/>
      <c r="AF107" s="388"/>
      <c r="AG107" s="388"/>
      <c r="AH107" s="388"/>
      <c r="AI107" s="388"/>
      <c r="AJ107" s="388"/>
      <c r="AK107" s="388"/>
      <c r="AL107" s="388"/>
      <c r="AM107" s="388"/>
      <c r="AN107" s="388"/>
      <c r="AO107" s="388"/>
      <c r="AP107" s="388"/>
      <c r="AQ107" s="388"/>
      <c r="AR107" s="388"/>
      <c r="AS107" s="388"/>
    </row>
    <row r="108" spans="1:45" x14ac:dyDescent="0.2">
      <c r="A108" s="332">
        <v>1</v>
      </c>
      <c r="C108" s="335" t="str">
        <f>"Income Statement Supplemental Section"</f>
        <v>Income Statement Supplemental Section</v>
      </c>
      <c r="D108" s="340"/>
      <c r="E108" s="340"/>
      <c r="F108" s="340"/>
      <c r="G108" s="340"/>
      <c r="H108" s="340"/>
      <c r="I108" s="340"/>
      <c r="J108" s="340"/>
      <c r="K108" s="340"/>
      <c r="L108" s="340"/>
      <c r="M108" s="340" t="s">
        <v>679</v>
      </c>
      <c r="N108" s="340" t="s">
        <v>679</v>
      </c>
      <c r="O108" s="340" t="s">
        <v>679</v>
      </c>
      <c r="P108" s="340" t="s">
        <v>679</v>
      </c>
      <c r="Q108" s="340" t="s">
        <v>679</v>
      </c>
      <c r="R108" s="353" t="s">
        <v>679</v>
      </c>
      <c r="S108" s="340" t="s">
        <v>679</v>
      </c>
      <c r="T108" s="340" t="s">
        <v>679</v>
      </c>
      <c r="U108" s="340" t="s">
        <v>679</v>
      </c>
      <c r="V108" s="340" t="s">
        <v>679</v>
      </c>
      <c r="X108" s="390"/>
      <c r="Y108" s="388"/>
      <c r="Z108" s="388"/>
      <c r="AA108" s="388"/>
      <c r="AB108" s="388"/>
      <c r="AC108" s="388"/>
      <c r="AD108" s="388"/>
      <c r="AE108" s="388"/>
      <c r="AF108" s="388"/>
      <c r="AG108" s="388"/>
      <c r="AH108" s="388"/>
      <c r="AI108" s="388"/>
      <c r="AJ108" s="388"/>
      <c r="AK108" s="388"/>
      <c r="AL108" s="388"/>
      <c r="AM108" s="388"/>
      <c r="AN108" s="388"/>
      <c r="AO108" s="388"/>
      <c r="AP108" s="388"/>
      <c r="AQ108" s="388"/>
      <c r="AR108" s="388"/>
      <c r="AS108" s="388"/>
    </row>
    <row r="109" spans="1:45" outlineLevel="1" x14ac:dyDescent="0.2">
      <c r="A109" s="332">
        <v>1</v>
      </c>
      <c r="C109" s="342" t="str">
        <f>"    Per Share Calculations"</f>
        <v xml:space="preserve">    Per Share Calculations</v>
      </c>
      <c r="D109" s="357"/>
      <c r="E109" s="357"/>
      <c r="F109" s="357"/>
      <c r="G109" s="357"/>
      <c r="H109" s="357"/>
      <c r="I109" s="357"/>
      <c r="J109" s="357"/>
      <c r="K109" s="357"/>
      <c r="L109" s="358"/>
      <c r="M109" s="358" t="s">
        <v>679</v>
      </c>
      <c r="N109" s="358" t="s">
        <v>679</v>
      </c>
      <c r="O109" s="358" t="s">
        <v>679</v>
      </c>
      <c r="P109" s="358" t="s">
        <v>679</v>
      </c>
      <c r="Q109" s="358" t="s">
        <v>679</v>
      </c>
      <c r="R109" s="359" t="s">
        <v>679</v>
      </c>
      <c r="S109" s="358" t="s">
        <v>679</v>
      </c>
      <c r="T109" s="358" t="s">
        <v>679</v>
      </c>
      <c r="U109" s="358" t="s">
        <v>679</v>
      </c>
      <c r="V109" s="358" t="s">
        <v>679</v>
      </c>
      <c r="X109" s="390"/>
      <c r="Y109" s="388"/>
      <c r="Z109" s="388"/>
      <c r="AA109" s="388"/>
      <c r="AB109" s="388"/>
      <c r="AC109" s="388"/>
      <c r="AD109" s="388"/>
      <c r="AE109" s="388"/>
      <c r="AF109" s="388"/>
      <c r="AG109" s="388"/>
      <c r="AH109" s="388"/>
      <c r="AI109" s="388"/>
      <c r="AJ109" s="388"/>
      <c r="AK109" s="388"/>
      <c r="AL109" s="388"/>
      <c r="AM109" s="388"/>
      <c r="AN109" s="388"/>
      <c r="AO109" s="388"/>
      <c r="AP109" s="388"/>
      <c r="AQ109" s="388"/>
      <c r="AR109" s="388"/>
      <c r="AS109" s="388"/>
    </row>
    <row r="110" spans="1:45" outlineLevel="2" x14ac:dyDescent="0.2">
      <c r="A110" s="332">
        <v>1</v>
      </c>
      <c r="C110" s="342" t="str">
        <f>"        Common Dividend per Share (Paid)"</f>
        <v xml:space="preserve">        Common Dividend per Share (Paid)</v>
      </c>
      <c r="D110" s="344">
        <f t="shared" ref="D110:D121" si="24">IF(COUNT(M110:V110)&gt;0,MEDIAN(M110:V110),"")</f>
        <v>3.46</v>
      </c>
      <c r="E110" s="344">
        <f t="shared" ref="E110:E121" si="25">IF(COUNT(M110:V110)&gt;0,AVERAGE(M110:V110),"")</f>
        <v>4.4876933728832142</v>
      </c>
      <c r="F110" s="344">
        <f t="shared" ref="F110:F121" si="26">IF(COUNT(M110:V110)&gt;0,MIN(M110:V110),"")</f>
        <v>0.75488673636250003</v>
      </c>
      <c r="G110" s="344">
        <f t="shared" ref="G110:G121" si="27">IF(COUNT(M110:V110)&gt;0,MAX(M110:V110),"")</f>
        <v>9.9759718485000004</v>
      </c>
      <c r="H110" s="344">
        <f t="shared" ref="H110:H121" si="28">IF(COUNT(M110:V110)&gt;0,QUARTILE(M110:V110,1),"")</f>
        <v>2.86</v>
      </c>
      <c r="I110" s="344">
        <f t="shared" ref="I110:I121" si="29">IF(COUNT(M110:V110)&gt;0,QUARTILE(M110:V110,3),"")</f>
        <v>5.7514975126600003</v>
      </c>
      <c r="J110" s="344">
        <f t="shared" ref="J110:J121" si="30">IF(COUNT(M110:V110)&gt;1,STDEV(M110:V110),"")</f>
        <v>3.2062370832288574</v>
      </c>
      <c r="K110" s="344">
        <f t="shared" ref="K110:K121" si="31">IF(COUNT(M110:V110)&gt;1,STDEV(M110:V110)/AVERAGE(M110:V110),"")</f>
        <v>0.7144510145462416</v>
      </c>
      <c r="L110" s="354"/>
      <c r="M110" s="354">
        <v>7.76</v>
      </c>
      <c r="N110" s="354" t="s">
        <v>679</v>
      </c>
      <c r="O110" s="354" t="s">
        <v>679</v>
      </c>
      <c r="P110" s="354">
        <v>2.92</v>
      </c>
      <c r="Q110" s="354">
        <v>0.75488673636250003</v>
      </c>
      <c r="R110" s="355">
        <v>2.8</v>
      </c>
      <c r="S110" s="354">
        <v>3.46</v>
      </c>
      <c r="T110" s="354" t="s">
        <v>679</v>
      </c>
      <c r="U110" s="354">
        <v>9.9759718485000004</v>
      </c>
      <c r="V110" s="354">
        <v>3.7429950253199995</v>
      </c>
      <c r="X110" s="390"/>
      <c r="Y110" s="388"/>
      <c r="Z110" s="388"/>
      <c r="AA110" s="388"/>
      <c r="AB110" s="388"/>
      <c r="AC110" s="388"/>
      <c r="AD110" s="388"/>
      <c r="AE110" s="388"/>
      <c r="AF110" s="388"/>
      <c r="AG110" s="388"/>
      <c r="AH110" s="388"/>
      <c r="AI110" s="388"/>
      <c r="AJ110" s="388"/>
      <c r="AK110" s="388"/>
      <c r="AL110" s="388"/>
      <c r="AM110" s="388"/>
      <c r="AN110" s="388"/>
      <c r="AO110" s="388"/>
      <c r="AP110" s="388"/>
      <c r="AQ110" s="388"/>
      <c r="AR110" s="388"/>
      <c r="AS110" s="388"/>
    </row>
    <row r="111" spans="1:45" outlineLevel="2" x14ac:dyDescent="0.2">
      <c r="A111" s="332">
        <v>1</v>
      </c>
      <c r="C111" s="342" t="str">
        <f>"        Common Dividend per Share (Ex-date)"</f>
        <v xml:space="preserve">        Common Dividend per Share (Ex-date)</v>
      </c>
      <c r="D111" s="344">
        <f t="shared" si="24"/>
        <v>2.92</v>
      </c>
      <c r="E111" s="344">
        <f t="shared" si="25"/>
        <v>3.9518707262672228</v>
      </c>
      <c r="F111" s="344">
        <f t="shared" si="26"/>
        <v>0.96583088437499998</v>
      </c>
      <c r="G111" s="344">
        <f t="shared" si="27"/>
        <v>10.121127038999999</v>
      </c>
      <c r="H111" s="344">
        <f t="shared" si="28"/>
        <v>2.19</v>
      </c>
      <c r="I111" s="344">
        <f t="shared" si="29"/>
        <v>3.83609616723</v>
      </c>
      <c r="J111" s="344">
        <f t="shared" si="30"/>
        <v>3.0177111255565854</v>
      </c>
      <c r="K111" s="344">
        <f t="shared" si="31"/>
        <v>0.76361585046254621</v>
      </c>
      <c r="L111" s="354"/>
      <c r="M111" s="354">
        <v>7.76</v>
      </c>
      <c r="N111" s="354" t="s">
        <v>679</v>
      </c>
      <c r="O111" s="354">
        <v>2.19</v>
      </c>
      <c r="P111" s="354">
        <v>2.92</v>
      </c>
      <c r="Q111" s="354">
        <v>0.96583088437499998</v>
      </c>
      <c r="R111" s="355">
        <v>2.8</v>
      </c>
      <c r="S111" s="354">
        <v>3.3737824458000003</v>
      </c>
      <c r="T111" s="354">
        <v>1.6</v>
      </c>
      <c r="U111" s="354">
        <v>10.121127038999999</v>
      </c>
      <c r="V111" s="354">
        <v>3.83609616723</v>
      </c>
      <c r="X111" s="390"/>
      <c r="Y111" s="388"/>
      <c r="Z111" s="388"/>
      <c r="AA111" s="388"/>
      <c r="AB111" s="388"/>
      <c r="AC111" s="388"/>
      <c r="AD111" s="388"/>
      <c r="AE111" s="388"/>
      <c r="AF111" s="388"/>
      <c r="AG111" s="388"/>
      <c r="AH111" s="388"/>
      <c r="AI111" s="388"/>
      <c r="AJ111" s="388"/>
      <c r="AK111" s="388"/>
      <c r="AL111" s="388"/>
      <c r="AM111" s="388"/>
      <c r="AN111" s="388"/>
      <c r="AO111" s="388"/>
      <c r="AP111" s="388"/>
      <c r="AQ111" s="388"/>
      <c r="AR111" s="388"/>
      <c r="AS111" s="388"/>
    </row>
    <row r="112" spans="1:45" outlineLevel="2" x14ac:dyDescent="0.2">
      <c r="A112" s="332">
        <v>1</v>
      </c>
      <c r="C112" s="342" t="str">
        <f>"        EBITDA per Share"</f>
        <v xml:space="preserve">        EBITDA per Share</v>
      </c>
      <c r="D112" s="344">
        <f t="shared" si="24"/>
        <v>8.6425784014025702</v>
      </c>
      <c r="E112" s="344">
        <f t="shared" si="25"/>
        <v>13.382529596011571</v>
      </c>
      <c r="F112" s="344">
        <f t="shared" si="26"/>
        <v>2.5862517062610189</v>
      </c>
      <c r="G112" s="344">
        <f t="shared" si="27"/>
        <v>30.050684931506851</v>
      </c>
      <c r="H112" s="344">
        <f t="shared" si="28"/>
        <v>7.0389983698790584</v>
      </c>
      <c r="I112" s="344">
        <f t="shared" si="29"/>
        <v>19.500926366510051</v>
      </c>
      <c r="J112" s="344">
        <f t="shared" si="30"/>
        <v>10.079640754770288</v>
      </c>
      <c r="K112" s="344">
        <f t="shared" si="31"/>
        <v>0.75319398193405451</v>
      </c>
      <c r="L112" s="354"/>
      <c r="M112" s="354">
        <v>22.20517560073937</v>
      </c>
      <c r="N112" s="354">
        <v>30.050684931506851</v>
      </c>
      <c r="O112" s="354">
        <v>8.9617893755824785</v>
      </c>
      <c r="P112" s="354">
        <v>7.0142630744849441</v>
      </c>
      <c r="Q112" s="354">
        <v>2.5862517062610189</v>
      </c>
      <c r="R112" s="355">
        <v>8.3233674272226601</v>
      </c>
      <c r="S112" s="354">
        <v>6.4970414201183431</v>
      </c>
      <c r="T112" s="354">
        <v>7.1132042560613993</v>
      </c>
      <c r="U112" s="354">
        <v>29.685339504316545</v>
      </c>
      <c r="V112" s="354">
        <v>11.388178663822099</v>
      </c>
      <c r="X112" s="390"/>
      <c r="Y112" s="388"/>
      <c r="Z112" s="388"/>
      <c r="AA112" s="388"/>
      <c r="AB112" s="388"/>
      <c r="AC112" s="388"/>
      <c r="AD112" s="388"/>
      <c r="AE112" s="388"/>
      <c r="AF112" s="388"/>
      <c r="AG112" s="388"/>
      <c r="AH112" s="388"/>
      <c r="AI112" s="388"/>
      <c r="AJ112" s="388"/>
      <c r="AK112" s="388"/>
      <c r="AL112" s="388"/>
      <c r="AM112" s="388"/>
      <c r="AN112" s="388"/>
      <c r="AO112" s="388"/>
      <c r="AP112" s="388"/>
      <c r="AQ112" s="388"/>
      <c r="AR112" s="388"/>
      <c r="AS112" s="388"/>
    </row>
    <row r="113" spans="1:45" outlineLevel="2" x14ac:dyDescent="0.2">
      <c r="A113" s="332">
        <v>1</v>
      </c>
      <c r="C113" s="342" t="str">
        <f>"        EBITDAR per Share"</f>
        <v xml:space="preserve">        EBITDAR per Share</v>
      </c>
      <c r="D113" s="344">
        <f t="shared" si="24"/>
        <v>8.6425784014025702</v>
      </c>
      <c r="E113" s="344">
        <f t="shared" si="25"/>
        <v>13.38304262143755</v>
      </c>
      <c r="F113" s="344">
        <f t="shared" si="26"/>
        <v>2.5913819605208128</v>
      </c>
      <c r="G113" s="344">
        <f t="shared" si="27"/>
        <v>30.050684931506851</v>
      </c>
      <c r="H113" s="344">
        <f t="shared" si="28"/>
        <v>7.0389983698790584</v>
      </c>
      <c r="I113" s="344">
        <f t="shared" si="29"/>
        <v>19.500926366510051</v>
      </c>
      <c r="J113" s="344">
        <f t="shared" si="30"/>
        <v>10.079030311015519</v>
      </c>
      <c r="K113" s="344">
        <f t="shared" si="31"/>
        <v>0.75311949577672876</v>
      </c>
      <c r="L113" s="354"/>
      <c r="M113" s="354">
        <v>22.20517560073937</v>
      </c>
      <c r="N113" s="354">
        <v>30.050684931506851</v>
      </c>
      <c r="O113" s="354">
        <v>8.9617893755824785</v>
      </c>
      <c r="P113" s="354">
        <v>7.0142630744849441</v>
      </c>
      <c r="Q113" s="354">
        <v>2.5913819605208128</v>
      </c>
      <c r="R113" s="355">
        <v>8.3233674272226601</v>
      </c>
      <c r="S113" s="354">
        <v>6.4970414201183431</v>
      </c>
      <c r="T113" s="354">
        <v>7.1132042560613993</v>
      </c>
      <c r="U113" s="354">
        <v>29.685339504316545</v>
      </c>
      <c r="V113" s="354">
        <v>11.388178663822099</v>
      </c>
      <c r="X113" s="390"/>
      <c r="Y113" s="388"/>
      <c r="Z113" s="388"/>
      <c r="AA113" s="388"/>
      <c r="AB113" s="388"/>
      <c r="AC113" s="388"/>
      <c r="AD113" s="388"/>
      <c r="AE113" s="388"/>
      <c r="AF113" s="388"/>
      <c r="AG113" s="388"/>
      <c r="AH113" s="388"/>
      <c r="AI113" s="388"/>
      <c r="AJ113" s="388"/>
      <c r="AK113" s="388"/>
      <c r="AL113" s="388"/>
      <c r="AM113" s="388"/>
      <c r="AN113" s="388"/>
      <c r="AO113" s="388"/>
      <c r="AP113" s="388"/>
      <c r="AQ113" s="388"/>
      <c r="AR113" s="388"/>
      <c r="AS113" s="388"/>
    </row>
    <row r="114" spans="1:45" outlineLevel="2" x14ac:dyDescent="0.2">
      <c r="A114" s="332">
        <v>1</v>
      </c>
      <c r="C114" s="342" t="str">
        <f>"        Basic EPS (Normalized)"</f>
        <v xml:space="preserve">        Basic EPS (Normalized)</v>
      </c>
      <c r="D114" s="344">
        <f t="shared" si="24"/>
        <v>7.6339480008010145</v>
      </c>
      <c r="E114" s="344">
        <f t="shared" si="25"/>
        <v>10.417750860697897</v>
      </c>
      <c r="F114" s="344">
        <f t="shared" si="26"/>
        <v>1.7217579929769999</v>
      </c>
      <c r="G114" s="344">
        <f t="shared" si="27"/>
        <v>22.816013034149996</v>
      </c>
      <c r="H114" s="344">
        <f t="shared" si="28"/>
        <v>6.8684807489016828</v>
      </c>
      <c r="I114" s="344">
        <f t="shared" si="29"/>
        <v>15.488421999572035</v>
      </c>
      <c r="J114" s="344">
        <f t="shared" si="30"/>
        <v>6.6490680068172665</v>
      </c>
      <c r="K114" s="344">
        <f t="shared" si="31"/>
        <v>0.63824409853201636</v>
      </c>
      <c r="L114" s="354"/>
      <c r="M114" s="354">
        <v>17.788104089219331</v>
      </c>
      <c r="N114" s="354">
        <v>17.756366139022713</v>
      </c>
      <c r="O114" s="354">
        <v>7.7619718309859156</v>
      </c>
      <c r="P114" s="354">
        <v>7.297211155378486</v>
      </c>
      <c r="Q114" s="354">
        <v>1.7217579929769999</v>
      </c>
      <c r="R114" s="355">
        <v>7.5059241706161135</v>
      </c>
      <c r="S114" s="354">
        <v>6.12</v>
      </c>
      <c r="T114" s="354">
        <v>6.7255706134094151</v>
      </c>
      <c r="U114" s="354">
        <v>22.816013034149996</v>
      </c>
      <c r="V114" s="354">
        <v>8.6845895812199991</v>
      </c>
      <c r="X114" s="390"/>
      <c r="Y114" s="388"/>
      <c r="Z114" s="388"/>
      <c r="AA114" s="388"/>
      <c r="AB114" s="388"/>
      <c r="AC114" s="388"/>
      <c r="AD114" s="388"/>
      <c r="AE114" s="388"/>
      <c r="AF114" s="388"/>
      <c r="AG114" s="388"/>
      <c r="AH114" s="388"/>
      <c r="AI114" s="388"/>
      <c r="AJ114" s="388"/>
      <c r="AK114" s="388"/>
      <c r="AL114" s="388"/>
      <c r="AM114" s="388"/>
      <c r="AN114" s="388"/>
      <c r="AO114" s="388"/>
      <c r="AP114" s="388"/>
      <c r="AQ114" s="388"/>
      <c r="AR114" s="388"/>
      <c r="AS114" s="388"/>
    </row>
    <row r="115" spans="1:45" outlineLevel="2" x14ac:dyDescent="0.2">
      <c r="A115" s="332">
        <v>1</v>
      </c>
      <c r="C115" s="342" t="str">
        <f>"        Diluted EPS (Normalized)"</f>
        <v xml:space="preserve">        Diluted EPS (Normalized)</v>
      </c>
      <c r="D115" s="344">
        <f t="shared" si="24"/>
        <v>7.59</v>
      </c>
      <c r="E115" s="344">
        <f t="shared" si="25"/>
        <v>10.334230163664902</v>
      </c>
      <c r="F115" s="344">
        <f t="shared" si="26"/>
        <v>1.697510600667238</v>
      </c>
      <c r="G115" s="344">
        <f t="shared" si="27"/>
        <v>22.537114896449999</v>
      </c>
      <c r="H115" s="344">
        <f t="shared" si="28"/>
        <v>6.75</v>
      </c>
      <c r="I115" s="344">
        <f t="shared" si="29"/>
        <v>15.415074474118269</v>
      </c>
      <c r="J115" s="344">
        <f t="shared" si="30"/>
        <v>6.5913372386799498</v>
      </c>
      <c r="K115" s="344">
        <f t="shared" si="31"/>
        <v>0.63781598960850094</v>
      </c>
      <c r="L115" s="354"/>
      <c r="M115" s="354">
        <v>17.690000000000001</v>
      </c>
      <c r="N115" s="354">
        <v>17.670000000000002</v>
      </c>
      <c r="O115" s="354">
        <v>7.7</v>
      </c>
      <c r="P115" s="354">
        <v>7.26</v>
      </c>
      <c r="Q115" s="354">
        <v>1.697510600667238</v>
      </c>
      <c r="R115" s="355">
        <v>7.48</v>
      </c>
      <c r="S115" s="354">
        <v>6.0773782430587167</v>
      </c>
      <c r="T115" s="354">
        <v>6.58</v>
      </c>
      <c r="U115" s="354">
        <v>22.537114896449999</v>
      </c>
      <c r="V115" s="354">
        <v>8.6502978964730683</v>
      </c>
      <c r="X115" s="390"/>
      <c r="Y115" s="388"/>
      <c r="Z115" s="388"/>
      <c r="AA115" s="388"/>
      <c r="AB115" s="388"/>
      <c r="AC115" s="388"/>
      <c r="AD115" s="388"/>
      <c r="AE115" s="388"/>
      <c r="AF115" s="388"/>
      <c r="AG115" s="388"/>
      <c r="AH115" s="388"/>
      <c r="AI115" s="388"/>
      <c r="AJ115" s="388"/>
      <c r="AK115" s="388"/>
      <c r="AL115" s="388"/>
      <c r="AM115" s="388"/>
      <c r="AN115" s="388"/>
      <c r="AO115" s="388"/>
      <c r="AP115" s="388"/>
      <c r="AQ115" s="388"/>
      <c r="AR115" s="388"/>
      <c r="AS115" s="388"/>
    </row>
    <row r="116" spans="1:45" outlineLevel="2" x14ac:dyDescent="0.2">
      <c r="A116" s="332">
        <v>1</v>
      </c>
      <c r="C116" s="342" t="str">
        <f>"        Normalized EBITDA per Share"</f>
        <v xml:space="preserve">        Normalized EBITDA per Share</v>
      </c>
      <c r="D116" s="344">
        <f t="shared" si="24"/>
        <v>10.421063689446772</v>
      </c>
      <c r="E116" s="344">
        <f t="shared" si="25"/>
        <v>14.436355123075833</v>
      </c>
      <c r="F116" s="344">
        <f t="shared" si="26"/>
        <v>3.1053127254872677</v>
      </c>
      <c r="G116" s="344">
        <f t="shared" si="27"/>
        <v>33.308545803435251</v>
      </c>
      <c r="H116" s="344">
        <f t="shared" si="28"/>
        <v>8.4489089994016098</v>
      </c>
      <c r="I116" s="344">
        <f t="shared" si="29"/>
        <v>20.872790753759062</v>
      </c>
      <c r="J116" s="344">
        <f t="shared" si="30"/>
        <v>9.8627483170886556</v>
      </c>
      <c r="K116" s="344">
        <f t="shared" si="31"/>
        <v>0.68318825860161314</v>
      </c>
      <c r="L116" s="354"/>
      <c r="M116" s="354">
        <v>23.994454713493532</v>
      </c>
      <c r="N116" s="354">
        <v>26.495205479452054</v>
      </c>
      <c r="O116" s="354">
        <v>9.585274930102516</v>
      </c>
      <c r="P116" s="354">
        <v>10.927099841521395</v>
      </c>
      <c r="Q116" s="354">
        <v>3.1053127254872677</v>
      </c>
      <c r="R116" s="355">
        <v>9.915027537372147</v>
      </c>
      <c r="S116" s="354">
        <v>7.4547109695038687</v>
      </c>
      <c r="T116" s="354">
        <v>8.070120355834641</v>
      </c>
      <c r="U116" s="354">
        <v>33.308545803435251</v>
      </c>
      <c r="V116" s="354">
        <v>11.50779887455565</v>
      </c>
      <c r="X116" s="390"/>
      <c r="Y116" s="388"/>
      <c r="Z116" s="388"/>
      <c r="AA116" s="388"/>
      <c r="AB116" s="388"/>
      <c r="AC116" s="388"/>
      <c r="AD116" s="388"/>
      <c r="AE116" s="388"/>
      <c r="AF116" s="388"/>
      <c r="AG116" s="388"/>
      <c r="AH116" s="388"/>
      <c r="AI116" s="388"/>
      <c r="AJ116" s="388"/>
      <c r="AK116" s="388"/>
      <c r="AL116" s="388"/>
      <c r="AM116" s="388"/>
      <c r="AN116" s="388"/>
      <c r="AO116" s="388"/>
      <c r="AP116" s="388"/>
      <c r="AQ116" s="388"/>
      <c r="AR116" s="388"/>
      <c r="AS116" s="388"/>
    </row>
    <row r="117" spans="1:45" outlineLevel="2" x14ac:dyDescent="0.2">
      <c r="A117" s="332">
        <v>1</v>
      </c>
      <c r="C117" s="342" t="str">
        <f>"        Normalized EBITDAR per Share"</f>
        <v xml:space="preserve">        Normalized EBITDAR per Share</v>
      </c>
      <c r="D117" s="344">
        <f t="shared" si="24"/>
        <v>10.421063689446772</v>
      </c>
      <c r="E117" s="344">
        <f t="shared" si="25"/>
        <v>14.443276933135854</v>
      </c>
      <c r="F117" s="344">
        <f t="shared" si="26"/>
        <v>3.1104429797470621</v>
      </c>
      <c r="G117" s="344">
        <f t="shared" si="27"/>
        <v>34.107271792697837</v>
      </c>
      <c r="H117" s="344">
        <f t="shared" si="28"/>
        <v>8.4489089994016098</v>
      </c>
      <c r="I117" s="344">
        <f t="shared" si="29"/>
        <v>20.872790753759062</v>
      </c>
      <c r="J117" s="344">
        <f t="shared" si="30"/>
        <v>10.093620444966847</v>
      </c>
      <c r="K117" s="344">
        <f t="shared" si="31"/>
        <v>0.69884559381465583</v>
      </c>
      <c r="L117" s="354"/>
      <c r="M117" s="354">
        <v>23.994454713493532</v>
      </c>
      <c r="N117" s="354">
        <v>26.495205479452054</v>
      </c>
      <c r="O117" s="354">
        <v>9.585274930102516</v>
      </c>
      <c r="P117" s="354">
        <v>10.927099841521395</v>
      </c>
      <c r="Q117" s="354">
        <v>3.1104429797470621</v>
      </c>
      <c r="R117" s="355">
        <v>9.915027537372147</v>
      </c>
      <c r="S117" s="354">
        <v>6.7200728265817027</v>
      </c>
      <c r="T117" s="354">
        <v>8.070120355834641</v>
      </c>
      <c r="U117" s="354">
        <v>34.107271792697837</v>
      </c>
      <c r="V117" s="354">
        <v>11.50779887455565</v>
      </c>
      <c r="X117" s="390"/>
      <c r="Y117" s="388"/>
      <c r="Z117" s="388"/>
      <c r="AA117" s="388"/>
      <c r="AB117" s="388"/>
      <c r="AC117" s="388"/>
      <c r="AD117" s="388"/>
      <c r="AE117" s="388"/>
      <c r="AF117" s="388"/>
      <c r="AG117" s="388"/>
      <c r="AH117" s="388"/>
      <c r="AI117" s="388"/>
      <c r="AJ117" s="388"/>
      <c r="AK117" s="388"/>
      <c r="AL117" s="388"/>
      <c r="AM117" s="388"/>
      <c r="AN117" s="388"/>
      <c r="AO117" s="388"/>
      <c r="AP117" s="388"/>
      <c r="AQ117" s="388"/>
      <c r="AR117" s="388"/>
      <c r="AS117" s="388"/>
    </row>
    <row r="118" spans="1:45" outlineLevel="2" x14ac:dyDescent="0.2">
      <c r="A118" s="332">
        <v>1</v>
      </c>
      <c r="C118" s="342" t="str">
        <f>"        Recommended Normalized Basic EPS"</f>
        <v xml:space="preserve">        Recommended Normalized Basic EPS</v>
      </c>
      <c r="D118" s="344">
        <f t="shared" si="24"/>
        <v>7.6339480008010145</v>
      </c>
      <c r="E118" s="344">
        <f t="shared" si="25"/>
        <v>10.417750860697897</v>
      </c>
      <c r="F118" s="344">
        <f t="shared" si="26"/>
        <v>1.7217579929769999</v>
      </c>
      <c r="G118" s="344">
        <f t="shared" si="27"/>
        <v>22.816013034149996</v>
      </c>
      <c r="H118" s="344">
        <f t="shared" si="28"/>
        <v>6.8684807489016828</v>
      </c>
      <c r="I118" s="344">
        <f t="shared" si="29"/>
        <v>15.488421999572035</v>
      </c>
      <c r="J118" s="344">
        <f t="shared" si="30"/>
        <v>6.6490680068172665</v>
      </c>
      <c r="K118" s="344">
        <f t="shared" si="31"/>
        <v>0.63824409853201636</v>
      </c>
      <c r="L118" s="354"/>
      <c r="M118" s="354">
        <v>17.788104089219331</v>
      </c>
      <c r="N118" s="354">
        <v>17.756366139022713</v>
      </c>
      <c r="O118" s="354">
        <v>7.7619718309859156</v>
      </c>
      <c r="P118" s="354">
        <v>7.297211155378486</v>
      </c>
      <c r="Q118" s="354">
        <v>1.7217579929769999</v>
      </c>
      <c r="R118" s="355">
        <v>7.5059241706161135</v>
      </c>
      <c r="S118" s="354">
        <v>6.12</v>
      </c>
      <c r="T118" s="354">
        <v>6.7255706134094151</v>
      </c>
      <c r="U118" s="354">
        <v>22.816013034149996</v>
      </c>
      <c r="V118" s="354">
        <v>8.6845895812199991</v>
      </c>
      <c r="X118" s="390"/>
      <c r="Y118" s="388"/>
      <c r="Z118" s="388"/>
      <c r="AA118" s="388"/>
      <c r="AB118" s="388"/>
      <c r="AC118" s="388"/>
      <c r="AD118" s="388"/>
      <c r="AE118" s="388"/>
      <c r="AF118" s="388"/>
      <c r="AG118" s="388"/>
      <c r="AH118" s="388"/>
      <c r="AI118" s="388"/>
      <c r="AJ118" s="388"/>
      <c r="AK118" s="388"/>
      <c r="AL118" s="388"/>
      <c r="AM118" s="388"/>
      <c r="AN118" s="388"/>
      <c r="AO118" s="388"/>
      <c r="AP118" s="388"/>
      <c r="AQ118" s="388"/>
      <c r="AR118" s="388"/>
      <c r="AS118" s="388"/>
    </row>
    <row r="119" spans="1:45" outlineLevel="2" x14ac:dyDescent="0.2">
      <c r="A119" s="332">
        <v>1</v>
      </c>
      <c r="C119" s="342" t="str">
        <f>"        Recommended Normalized Diluted EPS"</f>
        <v xml:space="preserve">        Recommended Normalized Diluted EPS</v>
      </c>
      <c r="D119" s="344">
        <f t="shared" si="24"/>
        <v>7.59</v>
      </c>
      <c r="E119" s="344">
        <f t="shared" si="25"/>
        <v>10.344346247064701</v>
      </c>
      <c r="F119" s="344">
        <f t="shared" si="26"/>
        <v>1.7217579929769999</v>
      </c>
      <c r="G119" s="344">
        <f t="shared" si="27"/>
        <v>22.537114896449999</v>
      </c>
      <c r="H119" s="344">
        <f t="shared" si="28"/>
        <v>6.75</v>
      </c>
      <c r="I119" s="344">
        <f t="shared" si="29"/>
        <v>15.423647395305</v>
      </c>
      <c r="J119" s="344">
        <f t="shared" si="30"/>
        <v>6.5837924046250622</v>
      </c>
      <c r="K119" s="344">
        <f t="shared" si="31"/>
        <v>0.63646288004843909</v>
      </c>
      <c r="L119" s="354"/>
      <c r="M119" s="354">
        <v>17.690000000000001</v>
      </c>
      <c r="N119" s="354">
        <v>17.670000000000002</v>
      </c>
      <c r="O119" s="354">
        <v>7.7</v>
      </c>
      <c r="P119" s="354">
        <v>7.26</v>
      </c>
      <c r="Q119" s="354">
        <v>1.7217579929769999</v>
      </c>
      <c r="R119" s="355">
        <v>7.48</v>
      </c>
      <c r="S119" s="354">
        <v>6.12</v>
      </c>
      <c r="T119" s="354">
        <v>6.58</v>
      </c>
      <c r="U119" s="354">
        <v>22.537114896449999</v>
      </c>
      <c r="V119" s="354">
        <v>8.6845895812199991</v>
      </c>
      <c r="X119" s="390"/>
      <c r="Y119" s="388"/>
      <c r="Z119" s="388"/>
      <c r="AA119" s="388"/>
      <c r="AB119" s="388"/>
      <c r="AC119" s="388"/>
      <c r="AD119" s="388"/>
      <c r="AE119" s="388"/>
      <c r="AF119" s="388"/>
      <c r="AG119" s="388"/>
      <c r="AH119" s="388"/>
      <c r="AI119" s="388"/>
      <c r="AJ119" s="388"/>
      <c r="AK119" s="388"/>
      <c r="AL119" s="388"/>
      <c r="AM119" s="388"/>
      <c r="AN119" s="388"/>
      <c r="AO119" s="388"/>
      <c r="AP119" s="388"/>
      <c r="AQ119" s="388"/>
      <c r="AR119" s="388"/>
      <c r="AS119" s="388"/>
    </row>
    <row r="120" spans="1:45" outlineLevel="2" x14ac:dyDescent="0.2">
      <c r="A120" s="332">
        <v>1</v>
      </c>
      <c r="C120" s="342" t="str">
        <f>"        Sales per Share"</f>
        <v xml:space="preserve">        Sales per Share</v>
      </c>
      <c r="D120" s="344">
        <f t="shared" si="24"/>
        <v>23.455875474996837</v>
      </c>
      <c r="E120" s="344">
        <f t="shared" si="25"/>
        <v>35.550228396423783</v>
      </c>
      <c r="F120" s="344">
        <f t="shared" si="26"/>
        <v>8.8493868184828592</v>
      </c>
      <c r="G120" s="344">
        <f t="shared" si="27"/>
        <v>82.808978046205027</v>
      </c>
      <c r="H120" s="344">
        <f t="shared" si="28"/>
        <v>21.536308290365888</v>
      </c>
      <c r="I120" s="344">
        <f t="shared" si="29"/>
        <v>45.984175200150453</v>
      </c>
      <c r="J120" s="344">
        <f t="shared" si="30"/>
        <v>24.263567860891055</v>
      </c>
      <c r="K120" s="344">
        <f t="shared" si="31"/>
        <v>0.68251510483493483</v>
      </c>
      <c r="L120" s="354"/>
      <c r="M120" s="354">
        <v>48.656192236598891</v>
      </c>
      <c r="N120" s="354">
        <v>69.680821917808217</v>
      </c>
      <c r="O120" s="354">
        <v>21.509319664492079</v>
      </c>
      <c r="P120" s="354">
        <v>21.617274167987322</v>
      </c>
      <c r="Q120" s="354">
        <v>8.8493868184828592</v>
      </c>
      <c r="R120" s="355">
        <v>23.321400472069236</v>
      </c>
      <c r="S120" s="354">
        <v>23.590350477924442</v>
      </c>
      <c r="T120" s="354">
        <v>17.500436071864645</v>
      </c>
      <c r="U120" s="354">
        <v>82.808978046205027</v>
      </c>
      <c r="V120" s="354">
        <v>37.968124090805148</v>
      </c>
      <c r="X120" s="390"/>
      <c r="Y120" s="388"/>
      <c r="Z120" s="388"/>
      <c r="AA120" s="388"/>
      <c r="AB120" s="388"/>
      <c r="AC120" s="388"/>
      <c r="AD120" s="388"/>
      <c r="AE120" s="388"/>
      <c r="AF120" s="388"/>
      <c r="AG120" s="388"/>
      <c r="AH120" s="388"/>
      <c r="AI120" s="388"/>
      <c r="AJ120" s="388"/>
      <c r="AK120" s="388"/>
      <c r="AL120" s="388"/>
      <c r="AM120" s="388"/>
      <c r="AN120" s="388"/>
      <c r="AO120" s="388"/>
      <c r="AP120" s="388"/>
      <c r="AQ120" s="388"/>
      <c r="AR120" s="388"/>
      <c r="AS120" s="388"/>
    </row>
    <row r="121" spans="1:45" outlineLevel="2" x14ac:dyDescent="0.2">
      <c r="A121" s="332">
        <v>1</v>
      </c>
      <c r="C121" s="342" t="str">
        <f>"        Total Dividend per Share"</f>
        <v xml:space="preserve">        Total Dividend per Share</v>
      </c>
      <c r="D121" s="344">
        <f t="shared" si="24"/>
        <v>2.92</v>
      </c>
      <c r="E121" s="344">
        <f t="shared" si="25"/>
        <v>3.9518707262672228</v>
      </c>
      <c r="F121" s="344">
        <f t="shared" si="26"/>
        <v>0.96583088437499998</v>
      </c>
      <c r="G121" s="344">
        <f t="shared" si="27"/>
        <v>10.121127038999999</v>
      </c>
      <c r="H121" s="344">
        <f t="shared" si="28"/>
        <v>2.19</v>
      </c>
      <c r="I121" s="344">
        <f t="shared" si="29"/>
        <v>3.83609616723</v>
      </c>
      <c r="J121" s="344">
        <f t="shared" si="30"/>
        <v>3.0177111255565854</v>
      </c>
      <c r="K121" s="344">
        <f t="shared" si="31"/>
        <v>0.76361585046254621</v>
      </c>
      <c r="L121" s="354"/>
      <c r="M121" s="354">
        <v>7.76</v>
      </c>
      <c r="N121" s="354" t="s">
        <v>679</v>
      </c>
      <c r="O121" s="354">
        <v>2.19</v>
      </c>
      <c r="P121" s="354">
        <v>2.92</v>
      </c>
      <c r="Q121" s="354">
        <v>0.96583088437499998</v>
      </c>
      <c r="R121" s="355">
        <v>2.8</v>
      </c>
      <c r="S121" s="354">
        <v>3.3737824458000003</v>
      </c>
      <c r="T121" s="354">
        <v>1.6</v>
      </c>
      <c r="U121" s="354">
        <v>10.121127038999999</v>
      </c>
      <c r="V121" s="354">
        <v>3.83609616723</v>
      </c>
      <c r="X121" s="390"/>
      <c r="Y121" s="388"/>
      <c r="Z121" s="388"/>
      <c r="AA121" s="388"/>
      <c r="AB121" s="388"/>
      <c r="AC121" s="388"/>
      <c r="AD121" s="388"/>
      <c r="AE121" s="388"/>
      <c r="AF121" s="388"/>
      <c r="AG121" s="388"/>
      <c r="AH121" s="388"/>
      <c r="AI121" s="388"/>
      <c r="AJ121" s="388"/>
      <c r="AK121" s="388"/>
      <c r="AL121" s="388"/>
      <c r="AM121" s="388"/>
      <c r="AN121" s="388"/>
      <c r="AO121" s="388"/>
      <c r="AP121" s="388"/>
      <c r="AQ121" s="388"/>
      <c r="AR121" s="388"/>
      <c r="AS121" s="388"/>
    </row>
    <row r="122" spans="1:45" outlineLevel="1" x14ac:dyDescent="0.2">
      <c r="A122" s="332">
        <v>1</v>
      </c>
      <c r="C122" s="342" t="str">
        <f>"    Reported Normalized and Operating Income/Expense Supplemental Section"</f>
        <v xml:space="preserve">    Reported Normalized and Operating Income/Expense Supplemental Section</v>
      </c>
      <c r="D122" s="357"/>
      <c r="E122" s="357"/>
      <c r="F122" s="357"/>
      <c r="G122" s="357"/>
      <c r="H122" s="357"/>
      <c r="I122" s="357"/>
      <c r="J122" s="357"/>
      <c r="K122" s="357"/>
      <c r="L122" s="358"/>
      <c r="M122" s="358" t="s">
        <v>679</v>
      </c>
      <c r="N122" s="358" t="s">
        <v>679</v>
      </c>
      <c r="O122" s="358" t="s">
        <v>679</v>
      </c>
      <c r="P122" s="358" t="s">
        <v>679</v>
      </c>
      <c r="Q122" s="358" t="s">
        <v>679</v>
      </c>
      <c r="R122" s="359" t="s">
        <v>679</v>
      </c>
      <c r="S122" s="358" t="s">
        <v>679</v>
      </c>
      <c r="T122" s="358" t="s">
        <v>679</v>
      </c>
      <c r="U122" s="358" t="s">
        <v>679</v>
      </c>
      <c r="V122" s="358" t="s">
        <v>679</v>
      </c>
      <c r="X122" s="390"/>
      <c r="Y122" s="388"/>
      <c r="Z122" s="388"/>
      <c r="AA122" s="388"/>
      <c r="AB122" s="388"/>
      <c r="AC122" s="388"/>
      <c r="AD122" s="388"/>
      <c r="AE122" s="388"/>
      <c r="AF122" s="388"/>
      <c r="AG122" s="388"/>
      <c r="AH122" s="388"/>
      <c r="AI122" s="388"/>
      <c r="AJ122" s="388"/>
      <c r="AK122" s="388"/>
      <c r="AL122" s="388"/>
      <c r="AM122" s="388"/>
      <c r="AN122" s="388"/>
      <c r="AO122" s="388"/>
      <c r="AP122" s="388"/>
      <c r="AQ122" s="388"/>
      <c r="AR122" s="388"/>
      <c r="AS122" s="388"/>
    </row>
    <row r="123" spans="1:45" outlineLevel="2" x14ac:dyDescent="0.2">
      <c r="A123" s="332">
        <v>1</v>
      </c>
      <c r="C123" s="342" t="str">
        <f>"        Reported Total Revenue"</f>
        <v xml:space="preserve">        Reported Total Revenue</v>
      </c>
      <c r="D123" s="343">
        <f t="shared" ref="D123:D132" si="32">IF(COUNT(M123:V123)&gt;0,MEDIAN(M123:V123),"")</f>
        <v>41149947.883341998</v>
      </c>
      <c r="E123" s="343">
        <f t="shared" ref="E123:E132" si="33">IF(COUNT(M123:V123)&gt;0,AVERAGE(M123:V123),"")</f>
        <v>47323076.849394873</v>
      </c>
      <c r="F123" s="343">
        <f t="shared" ref="F123:F132" si="34">IF(COUNT(M123:V123)&gt;0,MIN(M123:V123),"")</f>
        <v>10173400</v>
      </c>
      <c r="G123" s="343">
        <f t="shared" ref="G123:G132" si="35">IF(COUNT(M123:V123)&gt;0,MAX(M123:V123),"")</f>
        <v>100330000</v>
      </c>
      <c r="H123" s="343">
        <f t="shared" ref="H123:H132" si="36">IF(COUNT(M123:V123)&gt;0,QUARTILE(M123:V123,1),"")</f>
        <v>27041500</v>
      </c>
      <c r="I123" s="343">
        <f t="shared" ref="I123:I132" si="37">IF(COUNT(M123:V123)&gt;0,QUARTILE(M123:V123,3),"")</f>
        <v>62685829.757118747</v>
      </c>
      <c r="J123" s="343">
        <f t="shared" ref="J123:J132" si="38">IF(COUNT(M123:V123)&gt;1,STDEV(M123:V123),"")</f>
        <v>29169075.848658491</v>
      </c>
      <c r="K123" s="344">
        <f t="shared" ref="K123:K132" si="39">IF(COUNT(M123:V123)&gt;1,STDEV(M123:V123)/AVERAGE(M123:V123),"")</f>
        <v>0.61638164275515572</v>
      </c>
      <c r="L123" s="345"/>
      <c r="M123" s="345">
        <v>26323000</v>
      </c>
      <c r="N123" s="345">
        <v>10173400</v>
      </c>
      <c r="O123" s="345">
        <v>46159000</v>
      </c>
      <c r="P123" s="345">
        <v>27281000</v>
      </c>
      <c r="Q123" s="345">
        <v>36140895.766683996</v>
      </c>
      <c r="R123" s="346">
        <v>59283000</v>
      </c>
      <c r="S123" s="345" t="s">
        <v>679</v>
      </c>
      <c r="T123" s="345">
        <v>100330000</v>
      </c>
      <c r="U123" s="345">
        <v>72894319.028474987</v>
      </c>
      <c r="V123" s="345" t="s">
        <v>679</v>
      </c>
      <c r="X123" s="390"/>
      <c r="Y123" s="388"/>
      <c r="Z123" s="388"/>
      <c r="AA123" s="388"/>
      <c r="AB123" s="388"/>
      <c r="AC123" s="388"/>
      <c r="AD123" s="388"/>
      <c r="AE123" s="388"/>
      <c r="AF123" s="388"/>
      <c r="AG123" s="388"/>
      <c r="AH123" s="388"/>
      <c r="AI123" s="388"/>
      <c r="AJ123" s="388"/>
      <c r="AK123" s="388"/>
      <c r="AL123" s="388"/>
      <c r="AM123" s="388"/>
      <c r="AN123" s="388"/>
      <c r="AO123" s="388"/>
      <c r="AP123" s="388"/>
      <c r="AQ123" s="388"/>
      <c r="AR123" s="388"/>
      <c r="AS123" s="388"/>
    </row>
    <row r="124" spans="1:45" outlineLevel="2" x14ac:dyDescent="0.2">
      <c r="A124" s="332">
        <v>1</v>
      </c>
      <c r="C124" s="342" t="str">
        <f>"        Reported Operating Expense"</f>
        <v xml:space="preserve">        Reported Operating Expense</v>
      </c>
      <c r="D124" s="343">
        <f t="shared" si="32"/>
        <v>-16757000</v>
      </c>
      <c r="E124" s="343">
        <f t="shared" si="33"/>
        <v>-16757000</v>
      </c>
      <c r="F124" s="343">
        <f t="shared" si="34"/>
        <v>-16757000</v>
      </c>
      <c r="G124" s="343">
        <f t="shared" si="35"/>
        <v>-16757000</v>
      </c>
      <c r="H124" s="343">
        <f t="shared" si="36"/>
        <v>-16757000</v>
      </c>
      <c r="I124" s="343">
        <f t="shared" si="37"/>
        <v>-16757000</v>
      </c>
      <c r="J124" s="343" t="str">
        <f t="shared" si="38"/>
        <v/>
      </c>
      <c r="K124" s="344" t="str">
        <f t="shared" si="39"/>
        <v/>
      </c>
      <c r="L124" s="345"/>
      <c r="M124" s="345">
        <v>-16757000</v>
      </c>
      <c r="N124" s="345" t="s">
        <v>679</v>
      </c>
      <c r="O124" s="345" t="s">
        <v>679</v>
      </c>
      <c r="P124" s="345" t="s">
        <v>679</v>
      </c>
      <c r="Q124" s="345" t="s">
        <v>679</v>
      </c>
      <c r="R124" s="346" t="s">
        <v>679</v>
      </c>
      <c r="S124" s="345" t="s">
        <v>679</v>
      </c>
      <c r="T124" s="345" t="s">
        <v>679</v>
      </c>
      <c r="U124" s="345" t="s">
        <v>679</v>
      </c>
      <c r="V124" s="345" t="s">
        <v>679</v>
      </c>
      <c r="X124" s="390"/>
      <c r="Y124" s="388"/>
      <c r="Z124" s="388"/>
      <c r="AA124" s="388"/>
      <c r="AB124" s="388"/>
      <c r="AC124" s="388"/>
      <c r="AD124" s="388"/>
      <c r="AE124" s="388"/>
      <c r="AF124" s="388"/>
      <c r="AG124" s="388"/>
      <c r="AH124" s="388"/>
      <c r="AI124" s="388"/>
      <c r="AJ124" s="388"/>
      <c r="AK124" s="388"/>
      <c r="AL124" s="388"/>
      <c r="AM124" s="388"/>
      <c r="AN124" s="388"/>
      <c r="AO124" s="388"/>
      <c r="AP124" s="388"/>
      <c r="AQ124" s="388"/>
      <c r="AR124" s="388"/>
      <c r="AS124" s="388"/>
    </row>
    <row r="125" spans="1:45" outlineLevel="2" x14ac:dyDescent="0.2">
      <c r="A125" s="332">
        <v>1</v>
      </c>
      <c r="C125" s="342" t="str">
        <f>"        Reported Total Operating Profit/Loss"</f>
        <v xml:space="preserve">        Reported Total Operating Profit/Loss</v>
      </c>
      <c r="D125" s="343">
        <f t="shared" si="32"/>
        <v>9381500</v>
      </c>
      <c r="E125" s="343">
        <f t="shared" si="33"/>
        <v>11046110.820551665</v>
      </c>
      <c r="F125" s="343">
        <f t="shared" si="34"/>
        <v>7330000</v>
      </c>
      <c r="G125" s="343">
        <f t="shared" si="35"/>
        <v>21051445.970624994</v>
      </c>
      <c r="H125" s="343">
        <f t="shared" si="36"/>
        <v>8245600.66328975</v>
      </c>
      <c r="I125" s="343">
        <f t="shared" si="37"/>
        <v>10794313.551223999</v>
      </c>
      <c r="J125" s="343">
        <f t="shared" si="38"/>
        <v>5084696.6492085466</v>
      </c>
      <c r="K125" s="344">
        <f t="shared" si="39"/>
        <v>0.46031555647154065</v>
      </c>
      <c r="L125" s="345"/>
      <c r="M125" s="345">
        <v>9566000</v>
      </c>
      <c r="N125" s="345" t="s">
        <v>679</v>
      </c>
      <c r="O125" s="345" t="s">
        <v>679</v>
      </c>
      <c r="P125" s="345">
        <v>7330000</v>
      </c>
      <c r="Q125" s="345">
        <v>7928467.5510530006</v>
      </c>
      <c r="R125" s="346" t="s">
        <v>679</v>
      </c>
      <c r="S125" s="345">
        <v>9197000</v>
      </c>
      <c r="T125" s="345" t="s">
        <v>679</v>
      </c>
      <c r="U125" s="345">
        <v>21051445.970624994</v>
      </c>
      <c r="V125" s="345">
        <v>11203751.401631998</v>
      </c>
      <c r="X125" s="390"/>
      <c r="Y125" s="388"/>
      <c r="Z125" s="388"/>
      <c r="AA125" s="388"/>
      <c r="AB125" s="388"/>
      <c r="AC125" s="388"/>
      <c r="AD125" s="388"/>
      <c r="AE125" s="388"/>
      <c r="AF125" s="388"/>
      <c r="AG125" s="388"/>
      <c r="AH125" s="388"/>
      <c r="AI125" s="388"/>
      <c r="AJ125" s="388"/>
      <c r="AK125" s="388"/>
      <c r="AL125" s="388"/>
      <c r="AM125" s="388"/>
      <c r="AN125" s="388"/>
      <c r="AO125" s="388"/>
      <c r="AP125" s="388"/>
      <c r="AQ125" s="388"/>
      <c r="AR125" s="388"/>
      <c r="AS125" s="388"/>
    </row>
    <row r="126" spans="1:45" outlineLevel="2" x14ac:dyDescent="0.2">
      <c r="A126" s="332">
        <v>1</v>
      </c>
      <c r="C126" s="342" t="str">
        <f>"        Reported Normalized Income"</f>
        <v xml:space="preserve">        Reported Normalized Income</v>
      </c>
      <c r="D126" s="343">
        <f t="shared" si="32"/>
        <v>12112279.7130385</v>
      </c>
      <c r="E126" s="343">
        <f t="shared" si="33"/>
        <v>14444069.386974201</v>
      </c>
      <c r="F126" s="343">
        <f t="shared" si="34"/>
        <v>2580000</v>
      </c>
      <c r="G126" s="343">
        <f t="shared" si="35"/>
        <v>37717000</v>
      </c>
      <c r="H126" s="343">
        <f t="shared" si="36"/>
        <v>9261000</v>
      </c>
      <c r="I126" s="343">
        <f t="shared" si="37"/>
        <v>18173625.862904999</v>
      </c>
      <c r="J126" s="343">
        <f t="shared" si="38"/>
        <v>9706287.0954897515</v>
      </c>
      <c r="K126" s="344">
        <f t="shared" si="39"/>
        <v>0.67199117059372293</v>
      </c>
      <c r="L126" s="345"/>
      <c r="M126" s="345">
        <v>9570000</v>
      </c>
      <c r="N126" s="345">
        <v>2580000</v>
      </c>
      <c r="O126" s="345">
        <v>16533000</v>
      </c>
      <c r="P126" s="345">
        <v>9158000</v>
      </c>
      <c r="Q126" s="345">
        <v>6932633.2931249999</v>
      </c>
      <c r="R126" s="346">
        <v>19005000</v>
      </c>
      <c r="S126" s="345">
        <v>13352000</v>
      </c>
      <c r="T126" s="345">
        <v>37717000</v>
      </c>
      <c r="U126" s="345">
        <v>18720501.150539998</v>
      </c>
      <c r="V126" s="345">
        <v>10872559.426076999</v>
      </c>
      <c r="X126" s="390"/>
      <c r="Y126" s="388"/>
      <c r="Z126" s="388"/>
      <c r="AA126" s="388"/>
      <c r="AB126" s="388"/>
      <c r="AC126" s="388"/>
      <c r="AD126" s="388"/>
      <c r="AE126" s="388"/>
      <c r="AF126" s="388"/>
      <c r="AG126" s="388"/>
      <c r="AH126" s="388"/>
      <c r="AI126" s="388"/>
      <c r="AJ126" s="388"/>
      <c r="AK126" s="388"/>
      <c r="AL126" s="388"/>
      <c r="AM126" s="388"/>
      <c r="AN126" s="388"/>
      <c r="AO126" s="388"/>
      <c r="AP126" s="388"/>
      <c r="AQ126" s="388"/>
      <c r="AR126" s="388"/>
      <c r="AS126" s="388"/>
    </row>
    <row r="127" spans="1:45" outlineLevel="2" x14ac:dyDescent="0.2">
      <c r="A127" s="332">
        <v>1</v>
      </c>
      <c r="C127" s="342" t="str">
        <f>"        Reported Normalized Basic EPS"</f>
        <v xml:space="preserve">        Reported Normalized Basic EPS</v>
      </c>
      <c r="D127" s="344">
        <f t="shared" si="32"/>
        <v>7.4022947906100001</v>
      </c>
      <c r="E127" s="344">
        <f t="shared" si="33"/>
        <v>9.8355901520867484</v>
      </c>
      <c r="F127" s="344">
        <f t="shared" si="34"/>
        <v>1.7217579929769999</v>
      </c>
      <c r="G127" s="344">
        <f t="shared" si="35"/>
        <v>22.816013034149996</v>
      </c>
      <c r="H127" s="344">
        <f t="shared" si="36"/>
        <v>5.0204394982442508</v>
      </c>
      <c r="I127" s="344">
        <f t="shared" si="37"/>
        <v>12.217445444452498</v>
      </c>
      <c r="J127" s="344">
        <f t="shared" si="38"/>
        <v>9.1187729985236956</v>
      </c>
      <c r="K127" s="344">
        <f t="shared" si="39"/>
        <v>0.92712006676986525</v>
      </c>
      <c r="L127" s="354"/>
      <c r="M127" s="354" t="s">
        <v>679</v>
      </c>
      <c r="N127" s="354" t="s">
        <v>679</v>
      </c>
      <c r="O127" s="354" t="s">
        <v>679</v>
      </c>
      <c r="P127" s="354" t="s">
        <v>679</v>
      </c>
      <c r="Q127" s="354">
        <v>1.7217579929769999</v>
      </c>
      <c r="R127" s="355" t="s">
        <v>679</v>
      </c>
      <c r="S127" s="354">
        <v>6.12</v>
      </c>
      <c r="T127" s="354" t="s">
        <v>679</v>
      </c>
      <c r="U127" s="354">
        <v>22.816013034149996</v>
      </c>
      <c r="V127" s="354">
        <v>8.6845895812199991</v>
      </c>
      <c r="X127" s="390"/>
      <c r="Y127" s="388"/>
      <c r="Z127" s="388"/>
      <c r="AA127" s="388"/>
      <c r="AB127" s="388"/>
      <c r="AC127" s="388"/>
      <c r="AD127" s="388"/>
      <c r="AE127" s="388"/>
      <c r="AF127" s="388"/>
      <c r="AG127" s="388"/>
      <c r="AH127" s="388"/>
      <c r="AI127" s="388"/>
      <c r="AJ127" s="388"/>
      <c r="AK127" s="388"/>
      <c r="AL127" s="388"/>
      <c r="AM127" s="388"/>
      <c r="AN127" s="388"/>
      <c r="AO127" s="388"/>
      <c r="AP127" s="388"/>
      <c r="AQ127" s="388"/>
      <c r="AR127" s="388"/>
      <c r="AS127" s="388"/>
    </row>
    <row r="128" spans="1:45" outlineLevel="2" x14ac:dyDescent="0.2">
      <c r="A128" s="332">
        <v>1</v>
      </c>
      <c r="C128" s="342" t="str">
        <f>"        Reported Normalized Diluted EPS"</f>
        <v xml:space="preserve">        Reported Normalized Diluted EPS</v>
      </c>
      <c r="D128" s="344">
        <f t="shared" si="32"/>
        <v>7.7</v>
      </c>
      <c r="E128" s="344">
        <f t="shared" si="33"/>
        <v>12.416730699492856</v>
      </c>
      <c r="F128" s="344">
        <f t="shared" si="34"/>
        <v>6.58</v>
      </c>
      <c r="G128" s="344">
        <f t="shared" si="35"/>
        <v>22.537114896449999</v>
      </c>
      <c r="H128" s="344">
        <f t="shared" si="36"/>
        <v>7.37</v>
      </c>
      <c r="I128" s="344">
        <f t="shared" si="37"/>
        <v>17.68</v>
      </c>
      <c r="J128" s="344">
        <f t="shared" si="38"/>
        <v>6.6471113902919035</v>
      </c>
      <c r="K128" s="344">
        <f t="shared" si="39"/>
        <v>0.53533506936438557</v>
      </c>
      <c r="L128" s="354"/>
      <c r="M128" s="354">
        <v>17.690000000000001</v>
      </c>
      <c r="N128" s="354">
        <v>17.670000000000002</v>
      </c>
      <c r="O128" s="354">
        <v>7.7</v>
      </c>
      <c r="P128" s="354">
        <v>7.26</v>
      </c>
      <c r="Q128" s="354" t="s">
        <v>679</v>
      </c>
      <c r="R128" s="355">
        <v>7.48</v>
      </c>
      <c r="S128" s="354" t="s">
        <v>679</v>
      </c>
      <c r="T128" s="354">
        <v>6.58</v>
      </c>
      <c r="U128" s="354">
        <v>22.537114896449999</v>
      </c>
      <c r="V128" s="354" t="s">
        <v>679</v>
      </c>
      <c r="X128" s="390"/>
      <c r="Y128" s="388"/>
      <c r="Z128" s="388"/>
      <c r="AA128" s="388"/>
      <c r="AB128" s="388"/>
      <c r="AC128" s="388"/>
      <c r="AD128" s="388"/>
      <c r="AE128" s="388"/>
      <c r="AF128" s="388"/>
      <c r="AG128" s="388"/>
      <c r="AH128" s="388"/>
      <c r="AI128" s="388"/>
      <c r="AJ128" s="388"/>
      <c r="AK128" s="388"/>
      <c r="AL128" s="388"/>
      <c r="AM128" s="388"/>
      <c r="AN128" s="388"/>
      <c r="AO128" s="388"/>
      <c r="AP128" s="388"/>
      <c r="AQ128" s="388"/>
      <c r="AR128" s="388"/>
      <c r="AS128" s="388"/>
    </row>
    <row r="129" spans="1:45" outlineLevel="2" x14ac:dyDescent="0.2">
      <c r="A129" s="332">
        <v>1</v>
      </c>
      <c r="C129" s="342" t="str">
        <f>"        Reported Effective Tax Rate"</f>
        <v xml:space="preserve">        Reported Effective Tax Rate</v>
      </c>
      <c r="D129" s="360">
        <f t="shared" si="32"/>
        <v>0.16900000000000001</v>
      </c>
      <c r="E129" s="360">
        <f t="shared" si="33"/>
        <v>0.153</v>
      </c>
      <c r="F129" s="360">
        <f t="shared" si="34"/>
        <v>9.6000000000000002E-2</v>
      </c>
      <c r="G129" s="360">
        <f t="shared" si="35"/>
        <v>0.215</v>
      </c>
      <c r="H129" s="360">
        <f t="shared" si="36"/>
        <v>0.11700000000000001</v>
      </c>
      <c r="I129" s="360">
        <f t="shared" si="37"/>
        <v>0.17699999999999999</v>
      </c>
      <c r="J129" s="360">
        <f t="shared" si="38"/>
        <v>4.1988093550434043E-2</v>
      </c>
      <c r="K129" s="344">
        <f t="shared" si="39"/>
        <v>0.27443198398976498</v>
      </c>
      <c r="L129" s="361"/>
      <c r="M129" s="361">
        <v>0.108</v>
      </c>
      <c r="N129" s="361">
        <v>0.17599999999999999</v>
      </c>
      <c r="O129" s="361">
        <v>0.17699999999999999</v>
      </c>
      <c r="P129" s="361">
        <v>0.215</v>
      </c>
      <c r="Q129" s="361">
        <v>0.126</v>
      </c>
      <c r="R129" s="362">
        <v>0.11700000000000001</v>
      </c>
      <c r="S129" s="361">
        <v>0.16900000000000001</v>
      </c>
      <c r="T129" s="361">
        <v>9.6000000000000002E-2</v>
      </c>
      <c r="U129" s="361" t="s">
        <v>679</v>
      </c>
      <c r="V129" s="361">
        <v>0.193</v>
      </c>
      <c r="X129" s="390"/>
      <c r="Y129" s="388"/>
      <c r="Z129" s="388"/>
      <c r="AA129" s="388"/>
      <c r="AB129" s="388"/>
      <c r="AC129" s="388"/>
      <c r="AD129" s="388"/>
      <c r="AE129" s="388"/>
      <c r="AF129" s="388"/>
      <c r="AG129" s="388"/>
      <c r="AH129" s="388"/>
      <c r="AI129" s="388"/>
      <c r="AJ129" s="388"/>
      <c r="AK129" s="388"/>
      <c r="AL129" s="388"/>
      <c r="AM129" s="388"/>
      <c r="AN129" s="388"/>
      <c r="AO129" s="388"/>
      <c r="AP129" s="388"/>
      <c r="AQ129" s="388"/>
      <c r="AR129" s="388"/>
      <c r="AS129" s="388"/>
    </row>
    <row r="130" spans="1:45" outlineLevel="2" x14ac:dyDescent="0.2">
      <c r="A130" s="332">
        <v>1</v>
      </c>
      <c r="C130" s="342" t="str">
        <f>"        Reported Tax Effect of Irregular Items"</f>
        <v xml:space="preserve">        Reported Tax Effect of Irregular Items</v>
      </c>
      <c r="D130" s="343">
        <f t="shared" si="32"/>
        <v>-30811.703525000001</v>
      </c>
      <c r="E130" s="343">
        <f t="shared" si="33"/>
        <v>-30811.703525000001</v>
      </c>
      <c r="F130" s="343">
        <f t="shared" si="34"/>
        <v>-30811.703525000001</v>
      </c>
      <c r="G130" s="343">
        <f t="shared" si="35"/>
        <v>-30811.703525000001</v>
      </c>
      <c r="H130" s="343">
        <f t="shared" si="36"/>
        <v>-30811.703525000001</v>
      </c>
      <c r="I130" s="343">
        <f t="shared" si="37"/>
        <v>-30811.703525000001</v>
      </c>
      <c r="J130" s="343" t="str">
        <f t="shared" si="38"/>
        <v/>
      </c>
      <c r="K130" s="344" t="str">
        <f t="shared" si="39"/>
        <v/>
      </c>
      <c r="L130" s="345"/>
      <c r="M130" s="345" t="s">
        <v>679</v>
      </c>
      <c r="N130" s="345" t="s">
        <v>679</v>
      </c>
      <c r="O130" s="345" t="s">
        <v>679</v>
      </c>
      <c r="P130" s="345" t="s">
        <v>679</v>
      </c>
      <c r="Q130" s="345">
        <v>-30811.703525000001</v>
      </c>
      <c r="R130" s="346" t="s">
        <v>679</v>
      </c>
      <c r="S130" s="345" t="s">
        <v>679</v>
      </c>
      <c r="T130" s="345" t="s">
        <v>679</v>
      </c>
      <c r="U130" s="345" t="s">
        <v>679</v>
      </c>
      <c r="V130" s="345" t="s">
        <v>679</v>
      </c>
      <c r="X130" s="390"/>
      <c r="Y130" s="388"/>
      <c r="Z130" s="388"/>
      <c r="AA130" s="388"/>
      <c r="AB130" s="388"/>
      <c r="AC130" s="388"/>
      <c r="AD130" s="388"/>
      <c r="AE130" s="388"/>
      <c r="AF130" s="388"/>
      <c r="AG130" s="388"/>
      <c r="AH130" s="388"/>
      <c r="AI130" s="388"/>
      <c r="AJ130" s="388"/>
      <c r="AK130" s="388"/>
      <c r="AL130" s="388"/>
      <c r="AM130" s="388"/>
      <c r="AN130" s="388"/>
      <c r="AO130" s="388"/>
      <c r="AP130" s="388"/>
      <c r="AQ130" s="388"/>
      <c r="AR130" s="388"/>
      <c r="AS130" s="388"/>
    </row>
    <row r="131" spans="1:45" outlineLevel="2" x14ac:dyDescent="0.2">
      <c r="A131" s="332">
        <v>1</v>
      </c>
      <c r="C131" s="342" t="str">
        <f>"        Reported Normalized Operating Profit"</f>
        <v xml:space="preserve">        Reported Normalized Operating Profit</v>
      </c>
      <c r="D131" s="343">
        <f t="shared" si="32"/>
        <v>13235648.192439999</v>
      </c>
      <c r="E131" s="343">
        <f t="shared" si="33"/>
        <v>14990096.488259336</v>
      </c>
      <c r="F131" s="343">
        <f t="shared" si="34"/>
        <v>10045847.817291001</v>
      </c>
      <c r="G131" s="343">
        <f t="shared" si="35"/>
        <v>24578434.727384999</v>
      </c>
      <c r="H131" s="343">
        <f t="shared" si="36"/>
        <v>12325250</v>
      </c>
      <c r="I131" s="343">
        <f t="shared" si="37"/>
        <v>15926324.09622</v>
      </c>
      <c r="J131" s="343">
        <f t="shared" si="38"/>
        <v>5170890.2253635107</v>
      </c>
      <c r="K131" s="344">
        <f t="shared" si="39"/>
        <v>0.34495376526852223</v>
      </c>
      <c r="L131" s="345"/>
      <c r="M131" s="345">
        <v>12761000</v>
      </c>
      <c r="N131" s="345" t="s">
        <v>679</v>
      </c>
      <c r="O131" s="345" t="s">
        <v>679</v>
      </c>
      <c r="P131" s="345">
        <v>12180000</v>
      </c>
      <c r="Q131" s="345">
        <v>10045847.817291001</v>
      </c>
      <c r="R131" s="346" t="s">
        <v>679</v>
      </c>
      <c r="S131" s="345">
        <v>16665000</v>
      </c>
      <c r="T131" s="345" t="s">
        <v>679</v>
      </c>
      <c r="U131" s="345">
        <v>24578434.727384999</v>
      </c>
      <c r="V131" s="345">
        <v>13710296.384879999</v>
      </c>
      <c r="X131" s="390"/>
      <c r="Y131" s="388"/>
      <c r="Z131" s="388"/>
      <c r="AA131" s="388"/>
      <c r="AB131" s="388"/>
      <c r="AC131" s="388"/>
      <c r="AD131" s="388"/>
      <c r="AE131" s="388"/>
      <c r="AF131" s="388"/>
      <c r="AG131" s="388"/>
      <c r="AH131" s="388"/>
      <c r="AI131" s="388"/>
      <c r="AJ131" s="388"/>
      <c r="AK131" s="388"/>
      <c r="AL131" s="388"/>
      <c r="AM131" s="388"/>
      <c r="AN131" s="388"/>
      <c r="AO131" s="388"/>
      <c r="AP131" s="388"/>
      <c r="AQ131" s="388"/>
      <c r="AR131" s="388"/>
      <c r="AS131" s="388"/>
    </row>
    <row r="132" spans="1:45" outlineLevel="2" x14ac:dyDescent="0.2">
      <c r="A132" s="332">
        <v>1</v>
      </c>
      <c r="C132" s="342" t="str">
        <f>"        Reported Normalized EBITDA"</f>
        <v xml:space="preserve">        Reported Normalized EBITDA</v>
      </c>
      <c r="D132" s="343">
        <f t="shared" si="32"/>
        <v>22078663.600032501</v>
      </c>
      <c r="E132" s="343">
        <f t="shared" si="33"/>
        <v>22078663.600032501</v>
      </c>
      <c r="F132" s="343">
        <f t="shared" si="34"/>
        <v>16378000</v>
      </c>
      <c r="G132" s="343">
        <f t="shared" si="35"/>
        <v>27779327.200064998</v>
      </c>
      <c r="H132" s="343">
        <f t="shared" si="36"/>
        <v>19228331.80001625</v>
      </c>
      <c r="I132" s="343">
        <f t="shared" si="37"/>
        <v>24928995.400048748</v>
      </c>
      <c r="J132" s="343">
        <f t="shared" si="38"/>
        <v>8061955.7776925787</v>
      </c>
      <c r="K132" s="344">
        <f t="shared" si="39"/>
        <v>0.36514690942076361</v>
      </c>
      <c r="L132" s="345"/>
      <c r="M132" s="345" t="s">
        <v>679</v>
      </c>
      <c r="N132" s="345" t="s">
        <v>679</v>
      </c>
      <c r="O132" s="345" t="s">
        <v>679</v>
      </c>
      <c r="P132" s="345" t="s">
        <v>679</v>
      </c>
      <c r="Q132" s="345" t="s">
        <v>679</v>
      </c>
      <c r="R132" s="346" t="s">
        <v>679</v>
      </c>
      <c r="S132" s="345">
        <v>16378000</v>
      </c>
      <c r="T132" s="345" t="s">
        <v>679</v>
      </c>
      <c r="U132" s="345">
        <v>27779327.200064998</v>
      </c>
      <c r="V132" s="345" t="s">
        <v>679</v>
      </c>
      <c r="X132" s="390"/>
      <c r="Y132" s="388"/>
      <c r="Z132" s="388"/>
      <c r="AA132" s="388"/>
      <c r="AB132" s="388"/>
      <c r="AC132" s="388"/>
      <c r="AD132" s="388"/>
      <c r="AE132" s="388"/>
      <c r="AF132" s="388"/>
      <c r="AG132" s="388"/>
      <c r="AH132" s="388"/>
      <c r="AI132" s="388"/>
      <c r="AJ132" s="388"/>
      <c r="AK132" s="388"/>
      <c r="AL132" s="388"/>
      <c r="AM132" s="388"/>
      <c r="AN132" s="388"/>
      <c r="AO132" s="388"/>
      <c r="AP132" s="388"/>
      <c r="AQ132" s="388"/>
      <c r="AR132" s="388"/>
      <c r="AS132" s="388"/>
    </row>
    <row r="133" spans="1:45" outlineLevel="1" x14ac:dyDescent="0.2">
      <c r="A133" s="332">
        <v>1</v>
      </c>
      <c r="C133" s="342" t="str">
        <f>"    Operating (Income)/Expenses, Supplemental Section"</f>
        <v xml:space="preserve">    Operating (Income)/Expenses, Supplemental Section</v>
      </c>
      <c r="D133" s="357"/>
      <c r="E133" s="357"/>
      <c r="F133" s="357"/>
      <c r="G133" s="357"/>
      <c r="H133" s="357"/>
      <c r="I133" s="357"/>
      <c r="J133" s="357"/>
      <c r="K133" s="357"/>
      <c r="L133" s="358"/>
      <c r="M133" s="358" t="s">
        <v>679</v>
      </c>
      <c r="N133" s="358" t="s">
        <v>679</v>
      </c>
      <c r="O133" s="358" t="s">
        <v>679</v>
      </c>
      <c r="P133" s="358" t="s">
        <v>679</v>
      </c>
      <c r="Q133" s="358" t="s">
        <v>679</v>
      </c>
      <c r="R133" s="359" t="s">
        <v>679</v>
      </c>
      <c r="S133" s="358" t="s">
        <v>679</v>
      </c>
      <c r="T133" s="358" t="s">
        <v>679</v>
      </c>
      <c r="U133" s="358" t="s">
        <v>679</v>
      </c>
      <c r="V133" s="358" t="s">
        <v>679</v>
      </c>
      <c r="X133" s="390"/>
      <c r="Y133" s="388"/>
      <c r="Z133" s="388"/>
      <c r="AA133" s="388"/>
      <c r="AB133" s="388"/>
      <c r="AC133" s="388"/>
      <c r="AD133" s="388"/>
      <c r="AE133" s="388"/>
      <c r="AF133" s="388"/>
      <c r="AG133" s="388"/>
      <c r="AH133" s="388"/>
      <c r="AI133" s="388"/>
      <c r="AJ133" s="388"/>
      <c r="AK133" s="388"/>
      <c r="AL133" s="388"/>
      <c r="AM133" s="388"/>
      <c r="AN133" s="388"/>
      <c r="AO133" s="388"/>
      <c r="AP133" s="388"/>
      <c r="AQ133" s="388"/>
      <c r="AR133" s="388"/>
      <c r="AS133" s="388"/>
    </row>
    <row r="134" spans="1:45" outlineLevel="2" x14ac:dyDescent="0.2">
      <c r="A134" s="332">
        <v>1</v>
      </c>
      <c r="C134" s="342" t="str">
        <f>"        Rent Expense, Supplemental"</f>
        <v xml:space="preserve">        Rent Expense, Supplemental</v>
      </c>
      <c r="D134" s="343">
        <f t="shared" ref="D134:D140" si="40">IF(COUNT(M134:V134)&gt;0,MEDIAN(M134:V134),"")</f>
        <v>20951.958396999999</v>
      </c>
      <c r="E134" s="343">
        <f t="shared" ref="E134:E140" si="41">IF(COUNT(M134:V134)&gt;0,AVERAGE(M134:V134),"")</f>
        <v>20951.958396999999</v>
      </c>
      <c r="F134" s="343">
        <f t="shared" ref="F134:F140" si="42">IF(COUNT(M134:V134)&gt;0,MIN(M134:V134),"")</f>
        <v>20951.958396999999</v>
      </c>
      <c r="G134" s="343">
        <f t="shared" ref="G134:G140" si="43">IF(COUNT(M134:V134)&gt;0,MAX(M134:V134),"")</f>
        <v>20951.958396999999</v>
      </c>
      <c r="H134" s="343">
        <f t="shared" ref="H134:H140" si="44">IF(COUNT(M134:V134)&gt;0,QUARTILE(M134:V134,1),"")</f>
        <v>20951.958396999999</v>
      </c>
      <c r="I134" s="343">
        <f t="shared" ref="I134:I140" si="45">IF(COUNT(M134:V134)&gt;0,QUARTILE(M134:V134,3),"")</f>
        <v>20951.958396999999</v>
      </c>
      <c r="J134" s="343" t="str">
        <f t="shared" ref="J134:J140" si="46">IF(COUNT(M134:V134)&gt;1,STDEV(M134:V134),"")</f>
        <v/>
      </c>
      <c r="K134" s="344" t="str">
        <f t="shared" ref="K134:K140" si="47">IF(COUNT(M134:V134)&gt;1,STDEV(M134:V134)/AVERAGE(M134:V134),"")</f>
        <v/>
      </c>
      <c r="L134" s="345"/>
      <c r="M134" s="345" t="s">
        <v>679</v>
      </c>
      <c r="N134" s="345" t="s">
        <v>679</v>
      </c>
      <c r="O134" s="345" t="s">
        <v>679</v>
      </c>
      <c r="P134" s="345" t="s">
        <v>679</v>
      </c>
      <c r="Q134" s="345">
        <v>20951.958396999999</v>
      </c>
      <c r="R134" s="346" t="s">
        <v>679</v>
      </c>
      <c r="S134" s="345" t="s">
        <v>679</v>
      </c>
      <c r="T134" s="345" t="s">
        <v>679</v>
      </c>
      <c r="U134" s="345" t="s">
        <v>679</v>
      </c>
      <c r="V134" s="345" t="s">
        <v>679</v>
      </c>
      <c r="X134" s="390"/>
      <c r="Y134" s="388"/>
      <c r="Z134" s="388"/>
      <c r="AA134" s="388"/>
      <c r="AB134" s="388"/>
      <c r="AC134" s="388"/>
      <c r="AD134" s="388"/>
      <c r="AE134" s="388"/>
      <c r="AF134" s="388"/>
      <c r="AG134" s="388"/>
      <c r="AH134" s="388"/>
      <c r="AI134" s="388"/>
      <c r="AJ134" s="388"/>
      <c r="AK134" s="388"/>
      <c r="AL134" s="388"/>
      <c r="AM134" s="388"/>
      <c r="AN134" s="388"/>
      <c r="AO134" s="388"/>
      <c r="AP134" s="388"/>
      <c r="AQ134" s="388"/>
      <c r="AR134" s="388"/>
      <c r="AS134" s="388"/>
    </row>
    <row r="135" spans="1:45" outlineLevel="2" collapsed="1" x14ac:dyDescent="0.2">
      <c r="A135" s="332">
        <v>1</v>
      </c>
      <c r="C135" s="342" t="str">
        <f>IF(SUBTOTAL(109,A135)=A135,"        Depreciation, Amortization and Depletion, Supplemental","        Depreciation, Amortization and Depletion, Supplemental")</f>
        <v xml:space="preserve">        Depreciation, Amortization and Depletion, Supplemental</v>
      </c>
      <c r="D135" s="343" t="str">
        <f t="shared" si="40"/>
        <v/>
      </c>
      <c r="E135" s="343" t="str">
        <f t="shared" si="41"/>
        <v/>
      </c>
      <c r="F135" s="343" t="str">
        <f t="shared" si="42"/>
        <v/>
      </c>
      <c r="G135" s="343" t="str">
        <f t="shared" si="43"/>
        <v/>
      </c>
      <c r="H135" s="343" t="str">
        <f t="shared" si="44"/>
        <v/>
      </c>
      <c r="I135" s="343" t="str">
        <f t="shared" si="45"/>
        <v/>
      </c>
      <c r="J135" s="343" t="str">
        <f t="shared" si="46"/>
        <v/>
      </c>
      <c r="K135" s="344" t="str">
        <f t="shared" si="47"/>
        <v/>
      </c>
      <c r="L135" s="345"/>
      <c r="M135" s="345" t="str">
        <f>IF(SUBTOTAL(109,A135)=A135,"",3261000)</f>
        <v/>
      </c>
      <c r="N135" s="345" t="str">
        <f>IF(SUBTOTAL(109,A135)=A135,"",638300)</f>
        <v/>
      </c>
      <c r="O135" s="345" t="str">
        <f>IF(SUBTOTAL(109,A135)=A135,"",10287000)</f>
        <v/>
      </c>
      <c r="P135" s="345" t="str">
        <f>IF(SUBTOTAL(109,A135)=A135,"","")</f>
        <v/>
      </c>
      <c r="Q135" s="345" t="str">
        <f>IF(SUBTOTAL(109,A135)=A135,"","")</f>
        <v/>
      </c>
      <c r="R135" s="346" t="str">
        <f>IF(SUBTOTAL(109,A135)=A135,"","")</f>
        <v/>
      </c>
      <c r="S135" s="345" t="str">
        <f>IF(SUBTOTAL(109,A135)=A135,"",5445000)</f>
        <v/>
      </c>
      <c r="T135" s="345" t="str">
        <f>IF(SUBTOTAL(109,A135)=A135,"","")</f>
        <v/>
      </c>
      <c r="U135" s="345" t="str">
        <f>IF(SUBTOTAL(109,A135)=A135,"","")</f>
        <v/>
      </c>
      <c r="V135" s="345" t="str">
        <f>IF(SUBTOTAL(109,A135)=A135,"",3113204.57021699)</f>
        <v/>
      </c>
      <c r="X135" s="390"/>
      <c r="Y135" s="388"/>
      <c r="Z135" s="388"/>
      <c r="AA135" s="388"/>
      <c r="AB135" s="388"/>
      <c r="AC135" s="388"/>
      <c r="AD135" s="388"/>
      <c r="AE135" s="388"/>
      <c r="AF135" s="388"/>
      <c r="AG135" s="388"/>
      <c r="AH135" s="388"/>
      <c r="AI135" s="388"/>
      <c r="AJ135" s="388"/>
      <c r="AK135" s="388"/>
      <c r="AL135" s="388"/>
      <c r="AM135" s="388"/>
      <c r="AN135" s="388"/>
      <c r="AO135" s="388"/>
      <c r="AP135" s="388"/>
      <c r="AQ135" s="388"/>
      <c r="AR135" s="388"/>
      <c r="AS135" s="388"/>
    </row>
    <row r="136" spans="1:45" hidden="1" outlineLevel="3" collapsed="1" x14ac:dyDescent="0.2">
      <c r="A136" s="332">
        <v>1</v>
      </c>
      <c r="C136" s="342" t="str">
        <f>IF(SUBTOTAL(109,A136)=A136,"            Depreciation and Amortization, Supplemental","            Depreciation and Amortization, Supplemental")</f>
        <v xml:space="preserve">            Depreciation and Amortization, Supplemental</v>
      </c>
      <c r="D136" s="343">
        <f t="shared" si="40"/>
        <v>3261000</v>
      </c>
      <c r="E136" s="343">
        <f t="shared" si="41"/>
        <v>4548900.9140433986</v>
      </c>
      <c r="F136" s="343">
        <f t="shared" si="42"/>
        <v>638300</v>
      </c>
      <c r="G136" s="343">
        <f t="shared" si="43"/>
        <v>10287000</v>
      </c>
      <c r="H136" s="343">
        <f t="shared" si="44"/>
        <v>3113204.5702169901</v>
      </c>
      <c r="I136" s="343">
        <f t="shared" si="45"/>
        <v>5445000</v>
      </c>
      <c r="J136" s="343">
        <f t="shared" si="46"/>
        <v>3631166.7187384698</v>
      </c>
      <c r="K136" s="344">
        <f t="shared" si="47"/>
        <v>0.79825144300864115</v>
      </c>
      <c r="L136" s="345"/>
      <c r="M136" s="345">
        <f>IF(SUBTOTAL(109,A136)=A136,"",3261000)</f>
        <v>3261000</v>
      </c>
      <c r="N136" s="345">
        <f>IF(SUBTOTAL(109,A136)=A136,"",638300)</f>
        <v>638300</v>
      </c>
      <c r="O136" s="345">
        <f>IF(SUBTOTAL(109,A136)=A136,"",10287000)</f>
        <v>10287000</v>
      </c>
      <c r="P136" s="345" t="str">
        <f>IF(SUBTOTAL(109,A136)=A136,"","")</f>
        <v/>
      </c>
      <c r="Q136" s="345" t="str">
        <f>IF(SUBTOTAL(109,A136)=A136,"","")</f>
        <v/>
      </c>
      <c r="R136" s="346" t="str">
        <f>IF(SUBTOTAL(109,A136)=A136,"","")</f>
        <v/>
      </c>
      <c r="S136" s="345">
        <f>IF(SUBTOTAL(109,A136)=A136,"",5445000)</f>
        <v>5445000</v>
      </c>
      <c r="T136" s="345" t="str">
        <f>IF(SUBTOTAL(109,A136)=A136,"","")</f>
        <v/>
      </c>
      <c r="U136" s="345" t="str">
        <f>IF(SUBTOTAL(109,A136)=A136,"","")</f>
        <v/>
      </c>
      <c r="V136" s="345">
        <f>IF(SUBTOTAL(109,A136)=A136,"",3113204.57021699)</f>
        <v>3113204.5702169901</v>
      </c>
      <c r="X136" s="390"/>
      <c r="Y136" s="388"/>
      <c r="Z136" s="388"/>
      <c r="AA136" s="388"/>
      <c r="AB136" s="388"/>
      <c r="AC136" s="388"/>
      <c r="AD136" s="388"/>
      <c r="AE136" s="388"/>
      <c r="AF136" s="388"/>
      <c r="AG136" s="388"/>
      <c r="AH136" s="388"/>
      <c r="AI136" s="388"/>
      <c r="AJ136" s="388"/>
      <c r="AK136" s="388"/>
      <c r="AL136" s="388"/>
      <c r="AM136" s="388"/>
      <c r="AN136" s="388"/>
      <c r="AO136" s="388"/>
      <c r="AP136" s="388"/>
      <c r="AQ136" s="388"/>
      <c r="AR136" s="388"/>
      <c r="AS136" s="388"/>
    </row>
    <row r="137" spans="1:45" hidden="1" outlineLevel="4" x14ac:dyDescent="0.2">
      <c r="A137" s="332">
        <v>1</v>
      </c>
      <c r="C137" s="342" t="str">
        <f>"                Depreciation, Supplemental"</f>
        <v xml:space="preserve">                Depreciation, Supplemental</v>
      </c>
      <c r="D137" s="343">
        <f t="shared" si="40"/>
        <v>661000</v>
      </c>
      <c r="E137" s="343">
        <f t="shared" si="41"/>
        <v>836820.46735479997</v>
      </c>
      <c r="F137" s="343">
        <f t="shared" si="42"/>
        <v>272400</v>
      </c>
      <c r="G137" s="343">
        <f t="shared" si="43"/>
        <v>1463000</v>
      </c>
      <c r="H137" s="343">
        <f t="shared" si="44"/>
        <v>587000</v>
      </c>
      <c r="I137" s="343">
        <f t="shared" si="45"/>
        <v>1200702.336774</v>
      </c>
      <c r="J137" s="343">
        <f t="shared" si="46"/>
        <v>483839.94993567211</v>
      </c>
      <c r="K137" s="344">
        <f t="shared" si="47"/>
        <v>0.57818847508008053</v>
      </c>
      <c r="L137" s="345"/>
      <c r="M137" s="345">
        <v>661000</v>
      </c>
      <c r="N137" s="345">
        <v>272400</v>
      </c>
      <c r="O137" s="345">
        <v>587000</v>
      </c>
      <c r="P137" s="345" t="s">
        <v>679</v>
      </c>
      <c r="Q137" s="345" t="s">
        <v>679</v>
      </c>
      <c r="R137" s="346" t="s">
        <v>679</v>
      </c>
      <c r="S137" s="345">
        <v>1463000</v>
      </c>
      <c r="T137" s="345" t="s">
        <v>679</v>
      </c>
      <c r="U137" s="345" t="s">
        <v>679</v>
      </c>
      <c r="V137" s="345">
        <v>1200702.336774</v>
      </c>
      <c r="X137" s="390"/>
      <c r="Y137" s="388"/>
      <c r="Z137" s="388"/>
      <c r="AA137" s="388"/>
      <c r="AB137" s="388"/>
      <c r="AC137" s="388"/>
      <c r="AD137" s="388"/>
      <c r="AE137" s="388"/>
      <c r="AF137" s="388"/>
      <c r="AG137" s="388"/>
      <c r="AH137" s="388"/>
      <c r="AI137" s="388"/>
      <c r="AJ137" s="388"/>
      <c r="AK137" s="388"/>
      <c r="AL137" s="388"/>
      <c r="AM137" s="388"/>
      <c r="AN137" s="388"/>
      <c r="AO137" s="388"/>
      <c r="AP137" s="388"/>
      <c r="AQ137" s="388"/>
      <c r="AR137" s="388"/>
      <c r="AS137" s="388"/>
    </row>
    <row r="138" spans="1:45" hidden="1" outlineLevel="4" x14ac:dyDescent="0.2">
      <c r="A138" s="332">
        <v>1</v>
      </c>
      <c r="C138" s="342" t="str">
        <f>"                Amortization, Supplemental"</f>
        <v xml:space="preserve">                Amortization, Supplemental</v>
      </c>
      <c r="D138" s="343">
        <f t="shared" si="40"/>
        <v>2600000</v>
      </c>
      <c r="E138" s="343">
        <f t="shared" si="41"/>
        <v>3712080.4466885999</v>
      </c>
      <c r="F138" s="343">
        <f t="shared" si="42"/>
        <v>365900</v>
      </c>
      <c r="G138" s="343">
        <f t="shared" si="43"/>
        <v>9700000</v>
      </c>
      <c r="H138" s="343">
        <f t="shared" si="44"/>
        <v>1912502.2334429999</v>
      </c>
      <c r="I138" s="343">
        <f t="shared" si="45"/>
        <v>3982000</v>
      </c>
      <c r="J138" s="343">
        <f t="shared" si="46"/>
        <v>3591662.7552390443</v>
      </c>
      <c r="K138" s="344">
        <f t="shared" si="47"/>
        <v>0.96756059218571744</v>
      </c>
      <c r="L138" s="345"/>
      <c r="M138" s="345">
        <v>2600000</v>
      </c>
      <c r="N138" s="345">
        <v>365900</v>
      </c>
      <c r="O138" s="345">
        <v>9700000</v>
      </c>
      <c r="P138" s="345" t="s">
        <v>679</v>
      </c>
      <c r="Q138" s="345" t="s">
        <v>679</v>
      </c>
      <c r="R138" s="346" t="s">
        <v>679</v>
      </c>
      <c r="S138" s="345">
        <v>3982000</v>
      </c>
      <c r="T138" s="345" t="s">
        <v>679</v>
      </c>
      <c r="U138" s="345" t="s">
        <v>679</v>
      </c>
      <c r="V138" s="345">
        <v>1912502.2334429999</v>
      </c>
      <c r="X138" s="390"/>
      <c r="Y138" s="388"/>
      <c r="Z138" s="388"/>
      <c r="AA138" s="388"/>
      <c r="AB138" s="388"/>
      <c r="AC138" s="388"/>
      <c r="AD138" s="388"/>
      <c r="AE138" s="388"/>
      <c r="AF138" s="388"/>
      <c r="AG138" s="388"/>
      <c r="AH138" s="388"/>
      <c r="AI138" s="388"/>
      <c r="AJ138" s="388"/>
      <c r="AK138" s="388"/>
      <c r="AL138" s="388"/>
      <c r="AM138" s="388"/>
      <c r="AN138" s="388"/>
      <c r="AO138" s="388"/>
      <c r="AP138" s="388"/>
      <c r="AQ138" s="388"/>
      <c r="AR138" s="388"/>
      <c r="AS138" s="388"/>
    </row>
    <row r="139" spans="1:45" hidden="1" outlineLevel="4" x14ac:dyDescent="0.2">
      <c r="A139" s="332">
        <v>1</v>
      </c>
      <c r="C139" s="347" t="str">
        <f>"                Total Depreciation and Amortization, Supplemental"</f>
        <v xml:space="preserve">                Total Depreciation and Amortization, Supplemental</v>
      </c>
      <c r="D139" s="348">
        <f t="shared" si="40"/>
        <v>3261000</v>
      </c>
      <c r="E139" s="348">
        <f t="shared" si="41"/>
        <v>4548900.9140433995</v>
      </c>
      <c r="F139" s="348">
        <f t="shared" si="42"/>
        <v>638300</v>
      </c>
      <c r="G139" s="348">
        <f t="shared" si="43"/>
        <v>10287000</v>
      </c>
      <c r="H139" s="348">
        <f t="shared" si="44"/>
        <v>3113204.5702169994</v>
      </c>
      <c r="I139" s="348">
        <f t="shared" si="45"/>
        <v>5445000</v>
      </c>
      <c r="J139" s="348">
        <f t="shared" si="46"/>
        <v>3631166.7187384693</v>
      </c>
      <c r="K139" s="349">
        <f t="shared" si="47"/>
        <v>0.79825144300864093</v>
      </c>
      <c r="L139" s="350"/>
      <c r="M139" s="350">
        <v>3261000</v>
      </c>
      <c r="N139" s="350">
        <v>638300</v>
      </c>
      <c r="O139" s="350">
        <v>10287000</v>
      </c>
      <c r="P139" s="350" t="s">
        <v>679</v>
      </c>
      <c r="Q139" s="350" t="s">
        <v>679</v>
      </c>
      <c r="R139" s="351" t="s">
        <v>679</v>
      </c>
      <c r="S139" s="350">
        <v>5445000</v>
      </c>
      <c r="T139" s="350" t="s">
        <v>679</v>
      </c>
      <c r="U139" s="350" t="s">
        <v>679</v>
      </c>
      <c r="V139" s="350">
        <v>3113204.5702169994</v>
      </c>
      <c r="X139" s="390"/>
      <c r="Y139" s="388"/>
      <c r="Z139" s="388"/>
      <c r="AA139" s="388"/>
      <c r="AB139" s="388"/>
      <c r="AC139" s="388"/>
      <c r="AD139" s="388"/>
      <c r="AE139" s="388"/>
      <c r="AF139" s="388"/>
      <c r="AG139" s="388"/>
      <c r="AH139" s="388"/>
      <c r="AI139" s="388"/>
      <c r="AJ139" s="388"/>
      <c r="AK139" s="388"/>
      <c r="AL139" s="388"/>
      <c r="AM139" s="388"/>
      <c r="AN139" s="388"/>
      <c r="AO139" s="388"/>
      <c r="AP139" s="388"/>
      <c r="AQ139" s="388"/>
      <c r="AR139" s="388"/>
      <c r="AS139" s="388"/>
    </row>
    <row r="140" spans="1:45" hidden="1" outlineLevel="3" x14ac:dyDescent="0.2">
      <c r="A140" s="332">
        <v>1</v>
      </c>
      <c r="C140" s="347" t="str">
        <f>"            Total Depreciation, Amortization and Depletion, Supplemental"</f>
        <v xml:space="preserve">            Total Depreciation, Amortization and Depletion, Supplemental</v>
      </c>
      <c r="D140" s="348">
        <f t="shared" si="40"/>
        <v>3261000</v>
      </c>
      <c r="E140" s="348">
        <f t="shared" si="41"/>
        <v>4548900.9140433995</v>
      </c>
      <c r="F140" s="348">
        <f t="shared" si="42"/>
        <v>638300</v>
      </c>
      <c r="G140" s="348">
        <f t="shared" si="43"/>
        <v>10287000</v>
      </c>
      <c r="H140" s="348">
        <f t="shared" si="44"/>
        <v>3113204.5702169994</v>
      </c>
      <c r="I140" s="348">
        <f t="shared" si="45"/>
        <v>5445000</v>
      </c>
      <c r="J140" s="348">
        <f t="shared" si="46"/>
        <v>3631166.7187384693</v>
      </c>
      <c r="K140" s="349">
        <f t="shared" si="47"/>
        <v>0.79825144300864093</v>
      </c>
      <c r="L140" s="350"/>
      <c r="M140" s="350">
        <v>3261000</v>
      </c>
      <c r="N140" s="350">
        <v>638300</v>
      </c>
      <c r="O140" s="350">
        <v>10287000</v>
      </c>
      <c r="P140" s="350" t="s">
        <v>679</v>
      </c>
      <c r="Q140" s="350" t="s">
        <v>679</v>
      </c>
      <c r="R140" s="351" t="s">
        <v>679</v>
      </c>
      <c r="S140" s="350">
        <v>5445000</v>
      </c>
      <c r="T140" s="350" t="s">
        <v>679</v>
      </c>
      <c r="U140" s="350" t="s">
        <v>679</v>
      </c>
      <c r="V140" s="350">
        <v>3113204.5702169994</v>
      </c>
      <c r="X140" s="390"/>
      <c r="Y140" s="388"/>
      <c r="Z140" s="388"/>
      <c r="AA140" s="388"/>
      <c r="AB140" s="388"/>
      <c r="AC140" s="388"/>
      <c r="AD140" s="388"/>
      <c r="AE140" s="388"/>
      <c r="AF140" s="388"/>
      <c r="AG140" s="388"/>
      <c r="AH140" s="388"/>
      <c r="AI140" s="388"/>
      <c r="AJ140" s="388"/>
      <c r="AK140" s="388"/>
      <c r="AL140" s="388"/>
      <c r="AM140" s="388"/>
      <c r="AN140" s="388"/>
      <c r="AO140" s="388"/>
      <c r="AP140" s="388"/>
      <c r="AQ140" s="388"/>
      <c r="AR140" s="388"/>
      <c r="AS140" s="388"/>
    </row>
    <row r="141" spans="1:45" outlineLevel="1" x14ac:dyDescent="0.2">
      <c r="A141" s="332">
        <v>1</v>
      </c>
      <c r="C141" s="342" t="str">
        <f>"    Non-Operating Income/(Expenses), Supplemental Section"</f>
        <v xml:space="preserve">    Non-Operating Income/(Expenses), Supplemental Section</v>
      </c>
      <c r="D141" s="357"/>
      <c r="E141" s="357"/>
      <c r="F141" s="357"/>
      <c r="G141" s="357"/>
      <c r="H141" s="357"/>
      <c r="I141" s="357"/>
      <c r="J141" s="357"/>
      <c r="K141" s="357"/>
      <c r="L141" s="358"/>
      <c r="M141" s="358" t="s">
        <v>679</v>
      </c>
      <c r="N141" s="358" t="s">
        <v>679</v>
      </c>
      <c r="O141" s="358" t="s">
        <v>679</v>
      </c>
      <c r="P141" s="358" t="s">
        <v>679</v>
      </c>
      <c r="Q141" s="358" t="s">
        <v>679</v>
      </c>
      <c r="R141" s="359" t="s">
        <v>679</v>
      </c>
      <c r="S141" s="358" t="s">
        <v>679</v>
      </c>
      <c r="T141" s="358" t="s">
        <v>679</v>
      </c>
      <c r="U141" s="358" t="s">
        <v>679</v>
      </c>
      <c r="V141" s="358" t="s">
        <v>679</v>
      </c>
      <c r="X141" s="390"/>
      <c r="Y141" s="388"/>
      <c r="Z141" s="388"/>
      <c r="AA141" s="388"/>
      <c r="AB141" s="388"/>
      <c r="AC141" s="388"/>
      <c r="AD141" s="388"/>
      <c r="AE141" s="388"/>
      <c r="AF141" s="388"/>
      <c r="AG141" s="388"/>
      <c r="AH141" s="388"/>
      <c r="AI141" s="388"/>
      <c r="AJ141" s="388"/>
      <c r="AK141" s="388"/>
      <c r="AL141" s="388"/>
      <c r="AM141" s="388"/>
      <c r="AN141" s="388"/>
      <c r="AO141" s="388"/>
      <c r="AP141" s="388"/>
      <c r="AQ141" s="388"/>
      <c r="AR141" s="388"/>
      <c r="AS141" s="388"/>
    </row>
    <row r="142" spans="1:45" outlineLevel="2" collapsed="1" x14ac:dyDescent="0.2">
      <c r="A142" s="332">
        <v>1</v>
      </c>
      <c r="C142" s="342" t="str">
        <f>"        Irregular Items, Supplemental"</f>
        <v xml:space="preserve">        Irregular Items, Supplemental</v>
      </c>
      <c r="D142" s="357"/>
      <c r="E142" s="357"/>
      <c r="F142" s="357"/>
      <c r="G142" s="357"/>
      <c r="H142" s="357"/>
      <c r="I142" s="357"/>
      <c r="J142" s="357"/>
      <c r="K142" s="357"/>
      <c r="L142" s="358"/>
      <c r="M142" s="358" t="s">
        <v>679</v>
      </c>
      <c r="N142" s="358" t="s">
        <v>679</v>
      </c>
      <c r="O142" s="358" t="s">
        <v>679</v>
      </c>
      <c r="P142" s="358" t="s">
        <v>679</v>
      </c>
      <c r="Q142" s="358" t="s">
        <v>679</v>
      </c>
      <c r="R142" s="359" t="s">
        <v>679</v>
      </c>
      <c r="S142" s="358" t="s">
        <v>679</v>
      </c>
      <c r="T142" s="358" t="s">
        <v>679</v>
      </c>
      <c r="U142" s="358" t="s">
        <v>679</v>
      </c>
      <c r="V142" s="358" t="s">
        <v>679</v>
      </c>
      <c r="X142" s="390"/>
      <c r="Y142" s="388"/>
      <c r="Z142" s="388"/>
      <c r="AA142" s="388"/>
      <c r="AB142" s="388"/>
      <c r="AC142" s="388"/>
      <c r="AD142" s="388"/>
      <c r="AE142" s="388"/>
      <c r="AF142" s="388"/>
      <c r="AG142" s="388"/>
      <c r="AH142" s="388"/>
      <c r="AI142" s="388"/>
      <c r="AJ142" s="388"/>
      <c r="AK142" s="388"/>
      <c r="AL142" s="388"/>
      <c r="AM142" s="388"/>
      <c r="AN142" s="388"/>
      <c r="AO142" s="388"/>
      <c r="AP142" s="388"/>
      <c r="AQ142" s="388"/>
      <c r="AR142" s="388"/>
      <c r="AS142" s="388"/>
    </row>
    <row r="143" spans="1:45" hidden="1" outlineLevel="3" x14ac:dyDescent="0.2">
      <c r="A143" s="332">
        <v>1</v>
      </c>
      <c r="C143" s="342" t="str">
        <f>"            Impairment/Write Off/Write Down of Capital Assets, Supplemental"</f>
        <v xml:space="preserve">            Impairment/Write Off/Write Down of Capital Assets, Supplemental</v>
      </c>
      <c r="D143" s="343">
        <f>IF(COUNT(M143:V143)&gt;0,MEDIAN(M143:V143),"")</f>
        <v>534601.68368500005</v>
      </c>
      <c r="E143" s="343">
        <f>IF(COUNT(M143:V143)&gt;0,AVERAGE(M143:V143),"")</f>
        <v>534601.68368500005</v>
      </c>
      <c r="F143" s="343">
        <f>IF(COUNT(M143:V143)&gt;0,MIN(M143:V143),"")</f>
        <v>483781.00039499998</v>
      </c>
      <c r="G143" s="343">
        <f>IF(COUNT(M143:V143)&gt;0,MAX(M143:V143),"")</f>
        <v>585422.36697500001</v>
      </c>
      <c r="H143" s="343">
        <f>IF(COUNT(M143:V143)&gt;0,QUARTILE(M143:V143,1),"")</f>
        <v>509191.34204000002</v>
      </c>
      <c r="I143" s="343">
        <f>IF(COUNT(M143:V143)&gt;0,QUARTILE(M143:V143,3),"")</f>
        <v>560012.02532999997</v>
      </c>
      <c r="J143" s="343">
        <f>IF(COUNT(M143:V143)&gt;1,STDEV(M143:V143),"")</f>
        <v>71871.299557785751</v>
      </c>
      <c r="K143" s="344">
        <f>IF(COUNT(M143:V143)&gt;1,STDEV(M143:V143)/AVERAGE(M143:V143),"")</f>
        <v>0.13443896970615232</v>
      </c>
      <c r="L143" s="345"/>
      <c r="M143" s="345" t="s">
        <v>679</v>
      </c>
      <c r="N143" s="345" t="s">
        <v>679</v>
      </c>
      <c r="O143" s="345" t="s">
        <v>679</v>
      </c>
      <c r="P143" s="345" t="s">
        <v>679</v>
      </c>
      <c r="Q143" s="345">
        <v>585422.36697500001</v>
      </c>
      <c r="R143" s="346" t="s">
        <v>679</v>
      </c>
      <c r="S143" s="345" t="s">
        <v>679</v>
      </c>
      <c r="T143" s="345" t="s">
        <v>679</v>
      </c>
      <c r="U143" s="345">
        <v>483781.00039499998</v>
      </c>
      <c r="V143" s="345" t="s">
        <v>679</v>
      </c>
      <c r="X143" s="390"/>
      <c r="Y143" s="388"/>
      <c r="Z143" s="388"/>
      <c r="AA143" s="388"/>
      <c r="AB143" s="388"/>
      <c r="AC143" s="388"/>
      <c r="AD143" s="388"/>
      <c r="AE143" s="388"/>
      <c r="AF143" s="388"/>
      <c r="AG143" s="388"/>
      <c r="AH143" s="388"/>
      <c r="AI143" s="388"/>
      <c r="AJ143" s="388"/>
      <c r="AK143" s="388"/>
      <c r="AL143" s="388"/>
      <c r="AM143" s="388"/>
      <c r="AN143" s="388"/>
      <c r="AO143" s="388"/>
      <c r="AP143" s="388"/>
      <c r="AQ143" s="388"/>
      <c r="AR143" s="388"/>
      <c r="AS143" s="388"/>
    </row>
    <row r="144" spans="1:45" hidden="1" outlineLevel="3" x14ac:dyDescent="0.2">
      <c r="A144" s="332">
        <v>1</v>
      </c>
      <c r="C144" s="342" t="str">
        <f>"            Goodwill Impairment/Write Off, Supplemental"</f>
        <v xml:space="preserve">            Goodwill Impairment/Write Off, Supplemental</v>
      </c>
      <c r="D144" s="343">
        <f>IF(COUNT(M144:V144)&gt;0,MEDIAN(M144:V144),"")</f>
        <v>0</v>
      </c>
      <c r="E144" s="343">
        <f>IF(COUNT(M144:V144)&gt;0,AVERAGE(M144:V144),"")</f>
        <v>0</v>
      </c>
      <c r="F144" s="343">
        <f>IF(COUNT(M144:V144)&gt;0,MIN(M144:V144),"")</f>
        <v>0</v>
      </c>
      <c r="G144" s="343">
        <f>IF(COUNT(M144:V144)&gt;0,MAX(M144:V144),"")</f>
        <v>0</v>
      </c>
      <c r="H144" s="343">
        <f>IF(COUNT(M144:V144)&gt;0,QUARTILE(M144:V144,1),"")</f>
        <v>0</v>
      </c>
      <c r="I144" s="343">
        <f>IF(COUNT(M144:V144)&gt;0,QUARTILE(M144:V144,3),"")</f>
        <v>0</v>
      </c>
      <c r="J144" s="343">
        <f>IF(COUNT(M144:V144)&gt;1,STDEV(M144:V144),"")</f>
        <v>0</v>
      </c>
      <c r="K144" s="344" t="e">
        <f>IF(COUNT(M144:V144)&gt;1,STDEV(M144:V144)/AVERAGE(M144:V144),"")</f>
        <v>#DIV/0!</v>
      </c>
      <c r="L144" s="345"/>
      <c r="M144" s="345" t="s">
        <v>679</v>
      </c>
      <c r="N144" s="345" t="s">
        <v>679</v>
      </c>
      <c r="O144" s="345" t="s">
        <v>679</v>
      </c>
      <c r="P144" s="345" t="s">
        <v>679</v>
      </c>
      <c r="Q144" s="345">
        <v>0</v>
      </c>
      <c r="R144" s="346" t="s">
        <v>679</v>
      </c>
      <c r="S144" s="345" t="s">
        <v>679</v>
      </c>
      <c r="T144" s="345" t="s">
        <v>679</v>
      </c>
      <c r="U144" s="345">
        <v>0</v>
      </c>
      <c r="V144" s="345" t="s">
        <v>679</v>
      </c>
      <c r="X144" s="390"/>
      <c r="Y144" s="388"/>
      <c r="Z144" s="388"/>
      <c r="AA144" s="388"/>
      <c r="AB144" s="388"/>
      <c r="AC144" s="388"/>
      <c r="AD144" s="388"/>
      <c r="AE144" s="388"/>
      <c r="AF144" s="388"/>
      <c r="AG144" s="388"/>
      <c r="AH144" s="388"/>
      <c r="AI144" s="388"/>
      <c r="AJ144" s="388"/>
      <c r="AK144" s="388"/>
      <c r="AL144" s="388"/>
      <c r="AM144" s="388"/>
      <c r="AN144" s="388"/>
      <c r="AO144" s="388"/>
      <c r="AP144" s="388"/>
      <c r="AQ144" s="388"/>
      <c r="AR144" s="388"/>
      <c r="AS144" s="388"/>
    </row>
    <row r="145" spans="1:124" hidden="1" outlineLevel="3" x14ac:dyDescent="0.2">
      <c r="A145" s="332">
        <v>1</v>
      </c>
      <c r="C145" s="342" t="str">
        <f>"            Impairment/Write Off/Write Down of Other Assets, Supplemental"</f>
        <v xml:space="preserve">            Impairment/Write Off/Write Down of Other Assets, Supplemental</v>
      </c>
      <c r="D145" s="343">
        <f>IF(COUNT(M145:V145)&gt;0,MEDIAN(M145:V145),"")</f>
        <v>251423.500764</v>
      </c>
      <c r="E145" s="343">
        <f>IF(COUNT(M145:V145)&gt;0,AVERAGE(M145:V145),"")</f>
        <v>251423.500764</v>
      </c>
      <c r="F145" s="343">
        <f>IF(COUNT(M145:V145)&gt;0,MIN(M145:V145),"")</f>
        <v>251423.500764</v>
      </c>
      <c r="G145" s="343">
        <f>IF(COUNT(M145:V145)&gt;0,MAX(M145:V145),"")</f>
        <v>251423.500764</v>
      </c>
      <c r="H145" s="343">
        <f>IF(COUNT(M145:V145)&gt;0,QUARTILE(M145:V145,1),"")</f>
        <v>251423.500764</v>
      </c>
      <c r="I145" s="343">
        <f>IF(COUNT(M145:V145)&gt;0,QUARTILE(M145:V145,3),"")</f>
        <v>251423.500764</v>
      </c>
      <c r="J145" s="343" t="str">
        <f>IF(COUNT(M145:V145)&gt;1,STDEV(M145:V145),"")</f>
        <v/>
      </c>
      <c r="K145" s="344" t="str">
        <f>IF(COUNT(M145:V145)&gt;1,STDEV(M145:V145)/AVERAGE(M145:V145),"")</f>
        <v/>
      </c>
      <c r="L145" s="345"/>
      <c r="M145" s="345" t="s">
        <v>679</v>
      </c>
      <c r="N145" s="345" t="s">
        <v>679</v>
      </c>
      <c r="O145" s="345" t="s">
        <v>679</v>
      </c>
      <c r="P145" s="345" t="s">
        <v>679</v>
      </c>
      <c r="Q145" s="345">
        <v>251423.500764</v>
      </c>
      <c r="R145" s="346" t="s">
        <v>679</v>
      </c>
      <c r="S145" s="345" t="s">
        <v>679</v>
      </c>
      <c r="T145" s="345" t="s">
        <v>679</v>
      </c>
      <c r="U145" s="345" t="s">
        <v>679</v>
      </c>
      <c r="V145" s="345" t="s">
        <v>679</v>
      </c>
      <c r="X145" s="390"/>
      <c r="Y145" s="388"/>
      <c r="Z145" s="388"/>
      <c r="AA145" s="388"/>
      <c r="AB145" s="388"/>
      <c r="AC145" s="388"/>
      <c r="AD145" s="388"/>
      <c r="AE145" s="388"/>
      <c r="AF145" s="388"/>
      <c r="AG145" s="388"/>
      <c r="AH145" s="388"/>
      <c r="AI145" s="388"/>
      <c r="AJ145" s="388"/>
      <c r="AK145" s="388"/>
      <c r="AL145" s="388"/>
      <c r="AM145" s="388"/>
      <c r="AN145" s="388"/>
      <c r="AO145" s="388"/>
      <c r="AP145" s="388"/>
      <c r="AQ145" s="388"/>
      <c r="AR145" s="388"/>
      <c r="AS145" s="388"/>
    </row>
    <row r="146" spans="1:124" hidden="1" outlineLevel="3" x14ac:dyDescent="0.2">
      <c r="A146" s="332">
        <v>1</v>
      </c>
      <c r="C146" s="342" t="str">
        <f>"            Litigation (Income)/Expense, Supplemental"</f>
        <v xml:space="preserve">            Litigation (Income)/Expense, Supplemental</v>
      </c>
      <c r="D146" s="343">
        <f>IF(COUNT(M146:V146)&gt;0,MEDIAN(M146:V146),"")</f>
        <v>-1072.6851449999997</v>
      </c>
      <c r="E146" s="343">
        <f>IF(COUNT(M146:V146)&gt;0,AVERAGE(M146:V146),"")</f>
        <v>-1072.6851449999997</v>
      </c>
      <c r="F146" s="343">
        <f>IF(COUNT(M146:V146)&gt;0,MIN(M146:V146),"")</f>
        <v>-1072.6851449999997</v>
      </c>
      <c r="G146" s="343">
        <f>IF(COUNT(M146:V146)&gt;0,MAX(M146:V146),"")</f>
        <v>-1072.6851449999997</v>
      </c>
      <c r="H146" s="343">
        <f>IF(COUNT(M146:V146)&gt;0,QUARTILE(M146:V146,1),"")</f>
        <v>-1072.6851449999997</v>
      </c>
      <c r="I146" s="343">
        <f>IF(COUNT(M146:V146)&gt;0,QUARTILE(M146:V146,3),"")</f>
        <v>-1072.6851449999997</v>
      </c>
      <c r="J146" s="343" t="str">
        <f>IF(COUNT(M146:V146)&gt;1,STDEV(M146:V146),"")</f>
        <v/>
      </c>
      <c r="K146" s="344" t="str">
        <f>IF(COUNT(M146:V146)&gt;1,STDEV(M146:V146)/AVERAGE(M146:V146),"")</f>
        <v/>
      </c>
      <c r="L146" s="345"/>
      <c r="M146" s="345" t="s">
        <v>679</v>
      </c>
      <c r="N146" s="345" t="s">
        <v>679</v>
      </c>
      <c r="O146" s="345" t="s">
        <v>679</v>
      </c>
      <c r="P146" s="345" t="s">
        <v>679</v>
      </c>
      <c r="Q146" s="345" t="s">
        <v>679</v>
      </c>
      <c r="R146" s="346" t="s">
        <v>679</v>
      </c>
      <c r="S146" s="345" t="s">
        <v>679</v>
      </c>
      <c r="T146" s="345" t="s">
        <v>679</v>
      </c>
      <c r="U146" s="345">
        <v>-1072.6851449999997</v>
      </c>
      <c r="V146" s="345" t="s">
        <v>679</v>
      </c>
      <c r="X146" s="390"/>
      <c r="Y146" s="388"/>
      <c r="Z146" s="388"/>
      <c r="AA146" s="388"/>
      <c r="AB146" s="388"/>
      <c r="AC146" s="388"/>
      <c r="AD146" s="388"/>
      <c r="AE146" s="388"/>
      <c r="AF146" s="388"/>
      <c r="AG146" s="388"/>
      <c r="AH146" s="388"/>
      <c r="AI146" s="388"/>
      <c r="AJ146" s="388"/>
      <c r="AK146" s="388"/>
      <c r="AL146" s="388"/>
      <c r="AM146" s="388"/>
      <c r="AN146" s="388"/>
      <c r="AO146" s="388"/>
      <c r="AP146" s="388"/>
      <c r="AQ146" s="388"/>
      <c r="AR146" s="388"/>
      <c r="AS146" s="388"/>
    </row>
    <row r="147" spans="1:124" hidden="1" outlineLevel="3" x14ac:dyDescent="0.2">
      <c r="A147" s="332">
        <v>1</v>
      </c>
      <c r="C147" s="342" t="str">
        <f>"            Restructuring and Reorganization Expense, Supplemental"</f>
        <v xml:space="preserve">            Restructuring and Reorganization Expense, Supplemental</v>
      </c>
      <c r="D147" s="343">
        <f>IF(COUNT(M147:V147)&gt;0,MEDIAN(M147:V147),"")</f>
        <v>796905.79011299997</v>
      </c>
      <c r="E147" s="343">
        <f>IF(COUNT(M147:V147)&gt;0,AVERAGE(M147:V147),"")</f>
        <v>796905.79011299997</v>
      </c>
      <c r="F147" s="343">
        <f>IF(COUNT(M147:V147)&gt;0,MIN(M147:V147),"")</f>
        <v>395622.27326099999</v>
      </c>
      <c r="G147" s="343">
        <f>IF(COUNT(M147:V147)&gt;0,MAX(M147:V147),"")</f>
        <v>1198189.306965</v>
      </c>
      <c r="H147" s="343">
        <f>IF(COUNT(M147:V147)&gt;0,QUARTILE(M147:V147,1),"")</f>
        <v>596264.03168700007</v>
      </c>
      <c r="I147" s="343">
        <f>IF(COUNT(M147:V147)&gt;0,QUARTILE(M147:V147,3),"")</f>
        <v>997547.5485390001</v>
      </c>
      <c r="J147" s="343">
        <f>IF(COUNT(M147:V147)&gt;1,STDEV(M147:V147),"")</f>
        <v>567500.59188887104</v>
      </c>
      <c r="K147" s="344">
        <f>IF(COUNT(M147:V147)&gt;1,STDEV(M147:V147)/AVERAGE(M147:V147),"")</f>
        <v>0.71213008981701631</v>
      </c>
      <c r="L147" s="345"/>
      <c r="M147" s="345" t="s">
        <v>679</v>
      </c>
      <c r="N147" s="345" t="s">
        <v>679</v>
      </c>
      <c r="O147" s="345" t="s">
        <v>679</v>
      </c>
      <c r="P147" s="345" t="s">
        <v>679</v>
      </c>
      <c r="Q147" s="345">
        <v>395622.27326099999</v>
      </c>
      <c r="R147" s="346" t="s">
        <v>679</v>
      </c>
      <c r="S147" s="345" t="s">
        <v>679</v>
      </c>
      <c r="T147" s="345" t="s">
        <v>679</v>
      </c>
      <c r="U147" s="345">
        <v>1198189.306965</v>
      </c>
      <c r="V147" s="345" t="s">
        <v>679</v>
      </c>
      <c r="X147" s="390"/>
      <c r="Y147" s="388"/>
      <c r="Z147" s="388"/>
      <c r="AA147" s="388"/>
      <c r="AB147" s="388"/>
      <c r="AC147" s="388"/>
      <c r="AD147" s="388"/>
      <c r="AE147" s="388"/>
      <c r="AF147" s="388"/>
      <c r="AG147" s="388"/>
      <c r="AH147" s="388"/>
      <c r="AI147" s="388"/>
      <c r="AJ147" s="388"/>
      <c r="AK147" s="388"/>
      <c r="AL147" s="388"/>
      <c r="AM147" s="388"/>
      <c r="AN147" s="388"/>
      <c r="AO147" s="388"/>
      <c r="AP147" s="388"/>
      <c r="AQ147" s="388"/>
      <c r="AR147" s="388"/>
      <c r="AS147" s="388"/>
    </row>
    <row r="148" spans="1:124" x14ac:dyDescent="0.2">
      <c r="A148" s="332">
        <v>1</v>
      </c>
      <c r="C148" s="335" t="str">
        <f>"Profitability Metrics"</f>
        <v>Profitability Metrics</v>
      </c>
      <c r="D148" s="340"/>
      <c r="E148" s="340"/>
      <c r="F148" s="340"/>
      <c r="G148" s="340"/>
      <c r="H148" s="340"/>
      <c r="I148" s="340"/>
      <c r="J148" s="340"/>
      <c r="K148" s="340"/>
      <c r="L148" s="340"/>
      <c r="M148" s="340" t="s">
        <v>679</v>
      </c>
      <c r="N148" s="340" t="s">
        <v>679</v>
      </c>
      <c r="O148" s="340" t="s">
        <v>679</v>
      </c>
      <c r="P148" s="340" t="s">
        <v>679</v>
      </c>
      <c r="Q148" s="340" t="s">
        <v>679</v>
      </c>
      <c r="R148" s="353" t="s">
        <v>679</v>
      </c>
      <c r="S148" s="340" t="s">
        <v>679</v>
      </c>
      <c r="T148" s="340" t="s">
        <v>679</v>
      </c>
      <c r="U148" s="340" t="s">
        <v>679</v>
      </c>
      <c r="V148" s="340" t="s">
        <v>679</v>
      </c>
      <c r="X148" s="390"/>
      <c r="Y148" s="388"/>
      <c r="Z148" s="388"/>
      <c r="AA148" s="388"/>
      <c r="AB148" s="388"/>
      <c r="AC148" s="388"/>
      <c r="AD148" s="388"/>
      <c r="AE148" s="388"/>
      <c r="AF148" s="388"/>
      <c r="AG148" s="388"/>
      <c r="AH148" s="388"/>
      <c r="AI148" s="388"/>
      <c r="AJ148" s="388"/>
      <c r="AK148" s="388"/>
      <c r="AL148" s="388"/>
      <c r="AM148" s="388"/>
      <c r="AN148" s="388"/>
      <c r="AO148" s="388"/>
      <c r="AP148" s="388"/>
      <c r="AQ148" s="388"/>
      <c r="AR148" s="388"/>
      <c r="AS148" s="388"/>
    </row>
    <row r="149" spans="1:124" outlineLevel="1" x14ac:dyDescent="0.2">
      <c r="A149" s="332">
        <v>1</v>
      </c>
      <c r="C149" s="342" t="str">
        <f>"    Unadjusted Profitability Metrics"</f>
        <v xml:space="preserve">    Unadjusted Profitability Metrics</v>
      </c>
      <c r="D149" s="357"/>
      <c r="E149" s="357"/>
      <c r="F149" s="357"/>
      <c r="G149" s="357"/>
      <c r="H149" s="357"/>
      <c r="I149" s="357"/>
      <c r="J149" s="357"/>
      <c r="K149" s="357"/>
      <c r="L149" s="358"/>
      <c r="M149" s="358" t="s">
        <v>679</v>
      </c>
      <c r="N149" s="358" t="s">
        <v>679</v>
      </c>
      <c r="O149" s="358" t="s">
        <v>679</v>
      </c>
      <c r="P149" s="358" t="s">
        <v>679</v>
      </c>
      <c r="Q149" s="358" t="s">
        <v>679</v>
      </c>
      <c r="R149" s="359" t="s">
        <v>679</v>
      </c>
      <c r="S149" s="358" t="s">
        <v>679</v>
      </c>
      <c r="T149" s="358" t="s">
        <v>679</v>
      </c>
      <c r="U149" s="358" t="s">
        <v>679</v>
      </c>
      <c r="V149" s="358" t="s">
        <v>679</v>
      </c>
      <c r="X149" s="390"/>
      <c r="Y149" s="388"/>
      <c r="Z149" s="388"/>
      <c r="AA149" s="388"/>
      <c r="AB149" s="388"/>
      <c r="AC149" s="388"/>
      <c r="AD149" s="388"/>
      <c r="AE149" s="388"/>
      <c r="AF149" s="388"/>
      <c r="AG149" s="388"/>
      <c r="AH149" s="388"/>
      <c r="AI149" s="388"/>
      <c r="AJ149" s="388"/>
      <c r="AK149" s="388"/>
      <c r="AL149" s="388"/>
      <c r="AM149" s="388"/>
      <c r="AN149" s="388"/>
      <c r="AO149" s="388"/>
      <c r="AP149" s="388"/>
      <c r="AQ149" s="388"/>
      <c r="AR149" s="388"/>
      <c r="AS149" s="388"/>
    </row>
    <row r="150" spans="1:124" s="373" customFormat="1" outlineLevel="2" x14ac:dyDescent="0.2">
      <c r="A150" s="372">
        <v>1</v>
      </c>
      <c r="C150" s="374" t="str">
        <f>"        EBITDA"</f>
        <v xml:space="preserve">        EBITDA</v>
      </c>
      <c r="D150" s="375">
        <f t="shared" ref="D150:D160" si="48">IF(COUNT(M150:V150)&gt;0,MEDIAN(M150:V150),"")</f>
        <v>14293900.881278999</v>
      </c>
      <c r="E150" s="375">
        <f t="shared" ref="E150:E160" si="49">IF(COUNT(M150:V150)&gt;0,AVERAGE(M150:V150),"")</f>
        <v>17033002.687752798</v>
      </c>
      <c r="F150" s="375">
        <f t="shared" ref="F150:F160" si="50">IF(COUNT(M150:V150)&gt;0,MIN(M150:V150),"")</f>
        <v>4387400</v>
      </c>
      <c r="G150" s="375">
        <f t="shared" ref="G150:G160" si="51">IF(COUNT(M150:V150)&gt;0,MAX(M150:V150),"")</f>
        <v>40780000</v>
      </c>
      <c r="H150" s="375">
        <f t="shared" ref="H150:H160" si="52">IF(COUNT(M150:V150)&gt;0,QUARTILE(M150:V150,1),"")</f>
        <v>10924938.9762775</v>
      </c>
      <c r="I150" s="375">
        <f t="shared" ref="I150:I160" si="53">IF(COUNT(M150:V150)&gt;0,QUARTILE(M150:V150,3),"")</f>
        <v>20676500</v>
      </c>
      <c r="J150" s="375">
        <f t="shared" ref="J150:J160" si="54">IF(COUNT(M150:V150)&gt;1,STDEV(M150:V150),"")</f>
        <v>10297558.102128727</v>
      </c>
      <c r="K150" s="376">
        <f t="shared" ref="K150:K160" si="55">IF(COUNT(M150:V150)&gt;1,STDEV(M150:V150)/AVERAGE(M150:V150),"")</f>
        <v>0.60456504885852902</v>
      </c>
      <c r="L150" s="377"/>
      <c r="M150" s="377">
        <v>12013000</v>
      </c>
      <c r="N150" s="377">
        <v>4387400</v>
      </c>
      <c r="O150" s="377">
        <v>19232000</v>
      </c>
      <c r="P150" s="377">
        <v>8852000</v>
      </c>
      <c r="Q150" s="377">
        <v>10562251.968370002</v>
      </c>
      <c r="R150" s="377">
        <v>21158000</v>
      </c>
      <c r="S150" s="377">
        <v>14274000</v>
      </c>
      <c r="T150" s="377">
        <v>40780000</v>
      </c>
      <c r="U150" s="377">
        <v>24757573.146599997</v>
      </c>
      <c r="V150" s="377">
        <v>14313801.762557996</v>
      </c>
      <c r="X150" s="390"/>
      <c r="Y150" s="388"/>
      <c r="Z150" s="388"/>
      <c r="AA150" s="388"/>
      <c r="AB150" s="388"/>
      <c r="AC150" s="388"/>
      <c r="AD150" s="388"/>
      <c r="AE150" s="388"/>
      <c r="AF150" s="388"/>
      <c r="AG150" s="388"/>
      <c r="AH150" s="388"/>
      <c r="AI150" s="388"/>
      <c r="AJ150" s="388"/>
      <c r="AK150" s="388"/>
      <c r="AL150" s="388"/>
      <c r="AM150" s="388"/>
      <c r="AN150" s="388"/>
      <c r="AO150" s="388"/>
      <c r="AP150" s="388"/>
      <c r="AQ150" s="388"/>
      <c r="AR150" s="388"/>
      <c r="AS150" s="388"/>
      <c r="AT150" s="389"/>
      <c r="AU150" s="389"/>
      <c r="AV150" s="389"/>
      <c r="AW150" s="389"/>
      <c r="AX150" s="389"/>
      <c r="AY150" s="389"/>
      <c r="AZ150" s="389"/>
      <c r="BA150" s="389"/>
      <c r="BB150" s="389"/>
      <c r="BC150" s="389"/>
      <c r="BD150" s="389"/>
      <c r="BE150" s="389"/>
      <c r="BF150" s="389"/>
      <c r="BG150" s="389"/>
      <c r="BH150" s="389"/>
      <c r="BI150" s="389"/>
      <c r="BJ150" s="389"/>
      <c r="BK150" s="389"/>
      <c r="BL150" s="389"/>
      <c r="BM150" s="389"/>
      <c r="BN150" s="389"/>
      <c r="BO150" s="389"/>
      <c r="BP150" s="389"/>
      <c r="BQ150" s="389"/>
      <c r="BR150" s="389"/>
      <c r="BS150" s="389"/>
      <c r="BT150" s="389"/>
      <c r="BU150" s="389"/>
      <c r="BV150" s="389"/>
      <c r="BW150" s="389"/>
      <c r="BX150" s="389"/>
      <c r="BY150" s="389"/>
      <c r="BZ150" s="389"/>
      <c r="CA150" s="389"/>
      <c r="CB150" s="389"/>
      <c r="CC150" s="389"/>
      <c r="CD150" s="389"/>
      <c r="CE150" s="389"/>
      <c r="CF150" s="389"/>
      <c r="CG150" s="389"/>
      <c r="CH150" s="389"/>
      <c r="CI150" s="389"/>
      <c r="CJ150" s="389"/>
      <c r="CK150" s="389"/>
      <c r="CL150" s="389"/>
      <c r="CM150" s="389"/>
      <c r="CN150" s="389"/>
      <c r="CO150" s="389"/>
      <c r="CP150" s="389"/>
      <c r="CQ150" s="389"/>
      <c r="CR150" s="389"/>
      <c r="CS150" s="389"/>
      <c r="CT150" s="389"/>
      <c r="CU150" s="389"/>
      <c r="CV150" s="389"/>
      <c r="CW150" s="389"/>
      <c r="CX150" s="389"/>
      <c r="CY150" s="389"/>
      <c r="CZ150" s="389"/>
      <c r="DA150" s="389"/>
      <c r="DB150" s="389"/>
      <c r="DC150" s="389"/>
      <c r="DD150" s="389"/>
      <c r="DE150" s="389"/>
      <c r="DF150" s="389"/>
      <c r="DG150" s="389"/>
      <c r="DH150" s="389"/>
      <c r="DI150" s="389"/>
      <c r="DJ150" s="389"/>
      <c r="DK150" s="389"/>
      <c r="DL150" s="389"/>
      <c r="DM150" s="389"/>
      <c r="DN150" s="389"/>
      <c r="DO150" s="389"/>
      <c r="DP150" s="389"/>
      <c r="DQ150" s="389"/>
      <c r="DR150" s="389"/>
      <c r="DS150" s="389"/>
      <c r="DT150" s="389"/>
    </row>
    <row r="151" spans="1:124" outlineLevel="2" x14ac:dyDescent="0.2">
      <c r="A151" s="332">
        <v>1</v>
      </c>
      <c r="C151" s="342" t="str">
        <f>"        EBITA"</f>
        <v xml:space="preserve">        EBITA</v>
      </c>
      <c r="D151" s="343">
        <f t="shared" si="48"/>
        <v>10718003.170817997</v>
      </c>
      <c r="E151" s="343">
        <f t="shared" si="49"/>
        <v>12584896.047335777</v>
      </c>
      <c r="F151" s="343">
        <f t="shared" si="50"/>
        <v>4115000</v>
      </c>
      <c r="G151" s="343">
        <f t="shared" si="51"/>
        <v>21671457.984434996</v>
      </c>
      <c r="H151" s="343">
        <f t="shared" si="52"/>
        <v>8596000</v>
      </c>
      <c r="I151" s="343">
        <f t="shared" si="53"/>
        <v>18645000</v>
      </c>
      <c r="J151" s="343">
        <f t="shared" si="54"/>
        <v>5953481.6718863687</v>
      </c>
      <c r="K151" s="344">
        <f t="shared" si="55"/>
        <v>0.47306562163830673</v>
      </c>
      <c r="L151" s="345"/>
      <c r="M151" s="345">
        <v>8596000</v>
      </c>
      <c r="N151" s="345">
        <v>4115000</v>
      </c>
      <c r="O151" s="345">
        <v>18645000</v>
      </c>
      <c r="P151" s="345">
        <v>8529000</v>
      </c>
      <c r="Q151" s="345">
        <v>9254603.2707690019</v>
      </c>
      <c r="R151" s="346">
        <v>19334000</v>
      </c>
      <c r="S151" s="345">
        <v>12401000</v>
      </c>
      <c r="T151" s="345" t="s">
        <v>679</v>
      </c>
      <c r="U151" s="345">
        <v>21671457.984434996</v>
      </c>
      <c r="V151" s="345">
        <v>10718003.170817997</v>
      </c>
      <c r="X151" s="390"/>
      <c r="Y151" s="388"/>
      <c r="Z151" s="388"/>
      <c r="AA151" s="388"/>
      <c r="AB151" s="388"/>
      <c r="AC151" s="388"/>
      <c r="AD151" s="388"/>
      <c r="AE151" s="388"/>
      <c r="AF151" s="388"/>
      <c r="AG151" s="388"/>
      <c r="AH151" s="388"/>
      <c r="AI151" s="388"/>
      <c r="AJ151" s="388"/>
      <c r="AK151" s="388"/>
      <c r="AL151" s="388"/>
      <c r="AM151" s="388"/>
      <c r="AN151" s="388"/>
      <c r="AO151" s="388"/>
      <c r="AP151" s="388"/>
      <c r="AQ151" s="388"/>
      <c r="AR151" s="388"/>
      <c r="AS151" s="388"/>
    </row>
    <row r="152" spans="1:124" outlineLevel="2" x14ac:dyDescent="0.2">
      <c r="A152" s="332">
        <v>1</v>
      </c>
      <c r="C152" s="342" t="str">
        <f>"        EBIT"</f>
        <v xml:space="preserve">        EBIT</v>
      </c>
      <c r="D152" s="343">
        <f t="shared" si="48"/>
        <v>8887000</v>
      </c>
      <c r="E152" s="343">
        <f t="shared" si="49"/>
        <v>12949329.3927854</v>
      </c>
      <c r="F152" s="343">
        <f t="shared" si="50"/>
        <v>3749100</v>
      </c>
      <c r="G152" s="343">
        <f t="shared" si="51"/>
        <v>35716000</v>
      </c>
      <c r="H152" s="343">
        <f t="shared" si="52"/>
        <v>8125107.1522322502</v>
      </c>
      <c r="I152" s="343">
        <f t="shared" si="53"/>
        <v>15736899.29808525</v>
      </c>
      <c r="J152" s="343">
        <f t="shared" si="54"/>
        <v>9394104.7241347376</v>
      </c>
      <c r="K152" s="344">
        <f t="shared" si="55"/>
        <v>0.72545105921613029</v>
      </c>
      <c r="L152" s="345"/>
      <c r="M152" s="345">
        <v>8752000</v>
      </c>
      <c r="N152" s="345">
        <v>3749100</v>
      </c>
      <c r="O152" s="345">
        <v>8945000</v>
      </c>
      <c r="P152" s="345">
        <v>6749000</v>
      </c>
      <c r="Q152" s="345">
        <v>7916142.8696430009</v>
      </c>
      <c r="R152" s="346">
        <v>17249000</v>
      </c>
      <c r="S152" s="345">
        <v>8829000</v>
      </c>
      <c r="T152" s="345">
        <v>35716000</v>
      </c>
      <c r="U152" s="345">
        <v>20387453.865869999</v>
      </c>
      <c r="V152" s="345">
        <v>11200597.192340998</v>
      </c>
      <c r="X152" s="390"/>
      <c r="Y152" s="388"/>
      <c r="Z152" s="388"/>
      <c r="AA152" s="388"/>
      <c r="AB152" s="388"/>
      <c r="AC152" s="388"/>
      <c r="AD152" s="388"/>
      <c r="AE152" s="388"/>
      <c r="AF152" s="388"/>
      <c r="AG152" s="388"/>
      <c r="AH152" s="388"/>
      <c r="AI152" s="388"/>
      <c r="AJ152" s="388"/>
      <c r="AK152" s="388"/>
      <c r="AL152" s="388"/>
      <c r="AM152" s="388"/>
      <c r="AN152" s="388"/>
      <c r="AO152" s="388"/>
      <c r="AP152" s="388"/>
      <c r="AQ152" s="388"/>
      <c r="AR152" s="388"/>
      <c r="AS152" s="388"/>
    </row>
    <row r="153" spans="1:124" outlineLevel="2" x14ac:dyDescent="0.2">
      <c r="A153" s="332">
        <v>1</v>
      </c>
      <c r="C153" s="342" t="str">
        <f>"        EBITDAR"</f>
        <v xml:space="preserve">        EBITDAR</v>
      </c>
      <c r="D153" s="343">
        <f t="shared" si="48"/>
        <v>14293900.881278999</v>
      </c>
      <c r="E153" s="343">
        <f t="shared" si="49"/>
        <v>17035097.883592498</v>
      </c>
      <c r="F153" s="343">
        <f t="shared" si="50"/>
        <v>4387400</v>
      </c>
      <c r="G153" s="343">
        <f t="shared" si="51"/>
        <v>40780000</v>
      </c>
      <c r="H153" s="343">
        <f t="shared" si="52"/>
        <v>10940652.945075251</v>
      </c>
      <c r="I153" s="343">
        <f t="shared" si="53"/>
        <v>20676500</v>
      </c>
      <c r="J153" s="343">
        <f t="shared" si="54"/>
        <v>10296097.270793749</v>
      </c>
      <c r="K153" s="344">
        <f t="shared" si="55"/>
        <v>0.6044049374503756</v>
      </c>
      <c r="L153" s="345"/>
      <c r="M153" s="345">
        <v>12013000</v>
      </c>
      <c r="N153" s="345">
        <v>4387400</v>
      </c>
      <c r="O153" s="345">
        <v>19232000</v>
      </c>
      <c r="P153" s="345">
        <v>8852000</v>
      </c>
      <c r="Q153" s="345">
        <v>10583203.926767001</v>
      </c>
      <c r="R153" s="346">
        <v>21158000</v>
      </c>
      <c r="S153" s="345">
        <v>14274000</v>
      </c>
      <c r="T153" s="345">
        <v>40780000</v>
      </c>
      <c r="U153" s="345">
        <v>24757573.146599997</v>
      </c>
      <c r="V153" s="345">
        <v>14313801.762557996</v>
      </c>
      <c r="X153" s="390"/>
      <c r="Y153" s="388"/>
      <c r="Z153" s="388"/>
      <c r="AA153" s="388"/>
      <c r="AB153" s="388"/>
      <c r="AC153" s="388"/>
      <c r="AD153" s="388"/>
      <c r="AE153" s="388"/>
      <c r="AF153" s="388"/>
      <c r="AG153" s="388"/>
      <c r="AH153" s="388"/>
      <c r="AI153" s="388"/>
      <c r="AJ153" s="388"/>
      <c r="AK153" s="388"/>
      <c r="AL153" s="388"/>
      <c r="AM153" s="388"/>
      <c r="AN153" s="388"/>
      <c r="AO153" s="388"/>
      <c r="AP153" s="388"/>
      <c r="AQ153" s="388"/>
      <c r="AR153" s="388"/>
      <c r="AS153" s="388"/>
    </row>
    <row r="154" spans="1:124" outlineLevel="2" x14ac:dyDescent="0.2">
      <c r="A154" s="332">
        <v>1</v>
      </c>
      <c r="C154" s="342" t="str">
        <f>"        Interest and Dividend Income"</f>
        <v xml:space="preserve">        Interest and Dividend Income</v>
      </c>
      <c r="D154" s="343">
        <f t="shared" si="48"/>
        <v>204000</v>
      </c>
      <c r="E154" s="343">
        <f t="shared" si="49"/>
        <v>194649.10979133332</v>
      </c>
      <c r="F154" s="343">
        <f t="shared" si="50"/>
        <v>38206.512370999997</v>
      </c>
      <c r="G154" s="343">
        <f t="shared" si="51"/>
        <v>379000</v>
      </c>
      <c r="H154" s="343">
        <f t="shared" si="52"/>
        <v>106225</v>
      </c>
      <c r="I154" s="343">
        <f t="shared" si="53"/>
        <v>252791.10978274996</v>
      </c>
      <c r="J154" s="343">
        <f t="shared" si="54"/>
        <v>124580.19477956848</v>
      </c>
      <c r="K154" s="344">
        <f t="shared" si="55"/>
        <v>0.64002447744621216</v>
      </c>
      <c r="L154" s="345"/>
      <c r="M154" s="345" t="s">
        <v>679</v>
      </c>
      <c r="N154" s="345">
        <v>89300</v>
      </c>
      <c r="O154" s="345" t="s">
        <v>679</v>
      </c>
      <c r="P154" s="345" t="s">
        <v>679</v>
      </c>
      <c r="Q154" s="345">
        <v>38206.512370999997</v>
      </c>
      <c r="R154" s="346">
        <v>157000</v>
      </c>
      <c r="S154" s="345">
        <v>379000</v>
      </c>
      <c r="T154" s="345">
        <v>251000</v>
      </c>
      <c r="U154" s="345" t="s">
        <v>679</v>
      </c>
      <c r="V154" s="345">
        <v>253388.14637699997</v>
      </c>
      <c r="X154" s="390"/>
      <c r="Y154" s="388"/>
      <c r="Z154" s="388"/>
      <c r="AA154" s="388"/>
      <c r="AB154" s="388"/>
      <c r="AC154" s="388"/>
      <c r="AD154" s="388"/>
      <c r="AE154" s="388"/>
      <c r="AF154" s="388"/>
      <c r="AG154" s="388"/>
      <c r="AH154" s="388"/>
      <c r="AI154" s="388"/>
      <c r="AJ154" s="388"/>
      <c r="AK154" s="388"/>
      <c r="AL154" s="388"/>
      <c r="AM154" s="388"/>
      <c r="AN154" s="388"/>
      <c r="AO154" s="388"/>
      <c r="AP154" s="388"/>
      <c r="AQ154" s="388"/>
      <c r="AR154" s="388"/>
      <c r="AS154" s="388"/>
    </row>
    <row r="155" spans="1:124" outlineLevel="2" x14ac:dyDescent="0.2">
      <c r="A155" s="332">
        <v>1</v>
      </c>
      <c r="C155" s="342" t="str">
        <f>"        Tax Effect of Unusual Items"</f>
        <v xml:space="preserve">        Tax Effect of Unusual Items</v>
      </c>
      <c r="D155" s="343">
        <f t="shared" si="48"/>
        <v>251963.24775876003</v>
      </c>
      <c r="E155" s="343">
        <f t="shared" si="49"/>
        <v>321224.51447744819</v>
      </c>
      <c r="F155" s="343">
        <f t="shared" si="50"/>
        <v>-91361.600000000006</v>
      </c>
      <c r="G155" s="343">
        <f t="shared" si="51"/>
        <v>1061670</v>
      </c>
      <c r="H155" s="343">
        <f t="shared" si="52"/>
        <v>88243.5</v>
      </c>
      <c r="I155" s="343">
        <f t="shared" si="53"/>
        <v>509545.93138714426</v>
      </c>
      <c r="J155" s="343">
        <f t="shared" si="54"/>
        <v>337181.23424771335</v>
      </c>
      <c r="K155" s="344">
        <f t="shared" si="55"/>
        <v>1.0496746638288885</v>
      </c>
      <c r="L155" s="345"/>
      <c r="M155" s="345">
        <v>104544</v>
      </c>
      <c r="N155" s="345">
        <v>-91361.600000000006</v>
      </c>
      <c r="O155" s="345">
        <v>236826</v>
      </c>
      <c r="P155" s="345">
        <v>1061670</v>
      </c>
      <c r="Q155" s="345">
        <v>267100.49551752006</v>
      </c>
      <c r="R155" s="346">
        <v>473382</v>
      </c>
      <c r="S155" s="345">
        <v>82810</v>
      </c>
      <c r="T155" s="345">
        <v>526656</v>
      </c>
      <c r="U155" s="345">
        <v>521600.57518285897</v>
      </c>
      <c r="V155" s="345">
        <v>29017.674074102986</v>
      </c>
      <c r="X155" s="390"/>
      <c r="Y155" s="388"/>
      <c r="Z155" s="388"/>
      <c r="AA155" s="388"/>
      <c r="AB155" s="388"/>
      <c r="AC155" s="388"/>
      <c r="AD155" s="388"/>
      <c r="AE155" s="388"/>
      <c r="AF155" s="388"/>
      <c r="AG155" s="388"/>
      <c r="AH155" s="388"/>
      <c r="AI155" s="388"/>
      <c r="AJ155" s="388"/>
      <c r="AK155" s="388"/>
      <c r="AL155" s="388"/>
      <c r="AM155" s="388"/>
      <c r="AN155" s="388"/>
      <c r="AO155" s="388"/>
      <c r="AP155" s="388"/>
      <c r="AQ155" s="388"/>
      <c r="AR155" s="388"/>
      <c r="AS155" s="388"/>
    </row>
    <row r="156" spans="1:124" outlineLevel="2" x14ac:dyDescent="0.2">
      <c r="A156" s="332">
        <v>1</v>
      </c>
      <c r="C156" s="342" t="str">
        <f>"        Total Unusual Items"</f>
        <v xml:space="preserve">        Total Unusual Items</v>
      </c>
      <c r="D156" s="343">
        <f t="shared" si="48"/>
        <v>1728922.6012600001</v>
      </c>
      <c r="E156" s="343">
        <f t="shared" si="49"/>
        <v>2270498.7373901</v>
      </c>
      <c r="F156" s="343">
        <f t="shared" si="50"/>
        <v>-519100</v>
      </c>
      <c r="G156" s="343">
        <f t="shared" si="51"/>
        <v>5486000</v>
      </c>
      <c r="H156" s="343">
        <f t="shared" si="52"/>
        <v>609500</v>
      </c>
      <c r="I156" s="343">
        <f t="shared" si="53"/>
        <v>3956472.8821275001</v>
      </c>
      <c r="J156" s="343">
        <f t="shared" si="54"/>
        <v>2125303.5487669948</v>
      </c>
      <c r="K156" s="344">
        <f t="shared" si="55"/>
        <v>0.9360514118629264</v>
      </c>
      <c r="L156" s="345"/>
      <c r="M156" s="345">
        <v>968000</v>
      </c>
      <c r="N156" s="345">
        <v>-519100</v>
      </c>
      <c r="O156" s="345">
        <v>1338000</v>
      </c>
      <c r="P156" s="345">
        <v>4938000</v>
      </c>
      <c r="Q156" s="345">
        <v>2119845.2025200003</v>
      </c>
      <c r="R156" s="346">
        <v>4046000</v>
      </c>
      <c r="S156" s="345">
        <v>490000</v>
      </c>
      <c r="T156" s="345">
        <v>5486000</v>
      </c>
      <c r="U156" s="345">
        <v>3687891.5285099996</v>
      </c>
      <c r="V156" s="345">
        <v>150350.64287099993</v>
      </c>
      <c r="X156" s="390"/>
      <c r="Y156" s="388"/>
      <c r="Z156" s="388"/>
      <c r="AA156" s="388"/>
      <c r="AB156" s="388"/>
      <c r="AC156" s="388"/>
      <c r="AD156" s="388"/>
      <c r="AE156" s="388"/>
      <c r="AF156" s="388"/>
      <c r="AG156" s="388"/>
      <c r="AH156" s="388"/>
      <c r="AI156" s="388"/>
      <c r="AJ156" s="388"/>
      <c r="AK156" s="388"/>
      <c r="AL156" s="388"/>
      <c r="AM156" s="388"/>
      <c r="AN156" s="388"/>
      <c r="AO156" s="388"/>
      <c r="AP156" s="388"/>
      <c r="AQ156" s="388"/>
      <c r="AR156" s="388"/>
      <c r="AS156" s="388"/>
    </row>
    <row r="157" spans="1:124" outlineLevel="2" x14ac:dyDescent="0.2">
      <c r="A157" s="332">
        <v>1</v>
      </c>
      <c r="C157" s="342" t="str">
        <f>"        Total Unusual Items Excluding Goodwill"</f>
        <v xml:space="preserve">        Total Unusual Items Excluding Goodwill</v>
      </c>
      <c r="D157" s="343">
        <f t="shared" si="48"/>
        <v>1728922.6012600001</v>
      </c>
      <c r="E157" s="343">
        <f t="shared" si="49"/>
        <v>2270498.7373901</v>
      </c>
      <c r="F157" s="343">
        <f t="shared" si="50"/>
        <v>-519100</v>
      </c>
      <c r="G157" s="343">
        <f t="shared" si="51"/>
        <v>5486000</v>
      </c>
      <c r="H157" s="343">
        <f t="shared" si="52"/>
        <v>609500</v>
      </c>
      <c r="I157" s="343">
        <f t="shared" si="53"/>
        <v>3956472.8821275001</v>
      </c>
      <c r="J157" s="343">
        <f t="shared" si="54"/>
        <v>2125303.5487669948</v>
      </c>
      <c r="K157" s="344">
        <f t="shared" si="55"/>
        <v>0.9360514118629264</v>
      </c>
      <c r="L157" s="345"/>
      <c r="M157" s="345">
        <v>968000</v>
      </c>
      <c r="N157" s="345">
        <v>-519100</v>
      </c>
      <c r="O157" s="345">
        <v>1338000</v>
      </c>
      <c r="P157" s="345">
        <v>4938000</v>
      </c>
      <c r="Q157" s="345">
        <v>2119845.2025200003</v>
      </c>
      <c r="R157" s="346">
        <v>4046000</v>
      </c>
      <c r="S157" s="345">
        <v>490000</v>
      </c>
      <c r="T157" s="345">
        <v>5486000</v>
      </c>
      <c r="U157" s="345">
        <v>3687891.5285099996</v>
      </c>
      <c r="V157" s="345">
        <v>150350.64287099993</v>
      </c>
      <c r="X157" s="390"/>
      <c r="Y157" s="388"/>
      <c r="Z157" s="388"/>
      <c r="AA157" s="388"/>
      <c r="AB157" s="388"/>
      <c r="AC157" s="388"/>
      <c r="AD157" s="388"/>
      <c r="AE157" s="388"/>
      <c r="AF157" s="388"/>
      <c r="AG157" s="388"/>
      <c r="AH157" s="388"/>
      <c r="AI157" s="388"/>
      <c r="AJ157" s="388"/>
      <c r="AK157" s="388"/>
      <c r="AL157" s="388"/>
      <c r="AM157" s="388"/>
      <c r="AN157" s="388"/>
      <c r="AO157" s="388"/>
      <c r="AP157" s="388"/>
      <c r="AQ157" s="388"/>
      <c r="AR157" s="388"/>
      <c r="AS157" s="388"/>
    </row>
    <row r="158" spans="1:124" outlineLevel="2" x14ac:dyDescent="0.2">
      <c r="A158" s="332">
        <v>1</v>
      </c>
      <c r="C158" s="342" t="str">
        <f>"        Cost of Revenue and Operating Expense"</f>
        <v xml:space="preserve">        Cost of Revenue and Operating Expense</v>
      </c>
      <c r="D158" s="343">
        <f t="shared" si="48"/>
        <v>37177813.836134493</v>
      </c>
      <c r="E158" s="343">
        <f t="shared" si="49"/>
        <v>34288600.978349298</v>
      </c>
      <c r="F158" s="343">
        <f t="shared" si="50"/>
        <v>7271500</v>
      </c>
      <c r="G158" s="343">
        <f t="shared" si="51"/>
        <v>63058000</v>
      </c>
      <c r="H158" s="343">
        <f t="shared" si="52"/>
        <v>19782002.263343498</v>
      </c>
      <c r="I158" s="343">
        <f t="shared" si="53"/>
        <v>42827250</v>
      </c>
      <c r="J158" s="343">
        <f t="shared" si="54"/>
        <v>17228555.781574871</v>
      </c>
      <c r="K158" s="344">
        <f t="shared" si="55"/>
        <v>0.50245723914059437</v>
      </c>
      <c r="L158" s="345"/>
      <c r="M158" s="345">
        <v>16757000</v>
      </c>
      <c r="N158" s="345">
        <v>7271500</v>
      </c>
      <c r="O158" s="345">
        <v>37055000</v>
      </c>
      <c r="P158" s="345">
        <v>16307000</v>
      </c>
      <c r="Q158" s="345">
        <v>28857009.053374</v>
      </c>
      <c r="R158" s="346">
        <v>41001000</v>
      </c>
      <c r="S158" s="345">
        <v>43436000</v>
      </c>
      <c r="T158" s="345">
        <v>63058000</v>
      </c>
      <c r="U158" s="345">
        <v>51842873.057849988</v>
      </c>
      <c r="V158" s="345">
        <v>37300627.672268987</v>
      </c>
      <c r="X158" s="390"/>
      <c r="Y158" s="388"/>
      <c r="Z158" s="388"/>
      <c r="AA158" s="388"/>
      <c r="AB158" s="388"/>
      <c r="AC158" s="388"/>
      <c r="AD158" s="388"/>
      <c r="AE158" s="388"/>
      <c r="AF158" s="388"/>
      <c r="AG158" s="388"/>
      <c r="AH158" s="388"/>
      <c r="AI158" s="388"/>
      <c r="AJ158" s="388"/>
      <c r="AK158" s="388"/>
      <c r="AL158" s="388"/>
      <c r="AM158" s="388"/>
      <c r="AN158" s="388"/>
      <c r="AO158" s="388"/>
      <c r="AP158" s="388"/>
      <c r="AQ158" s="388"/>
      <c r="AR158" s="388"/>
      <c r="AS158" s="388"/>
    </row>
    <row r="159" spans="1:124" outlineLevel="2" x14ac:dyDescent="0.2">
      <c r="A159" s="332">
        <v>1</v>
      </c>
      <c r="C159" s="342" t="str">
        <f>"        Net Operating Profit After Tax (NOPAT)"</f>
        <v xml:space="preserve">        Net Operating Profit After Tax (NOPAT)</v>
      </c>
      <c r="D159" s="343">
        <f t="shared" si="48"/>
        <v>7582544</v>
      </c>
      <c r="E159" s="343">
        <f t="shared" si="49"/>
        <v>11196330.826942958</v>
      </c>
      <c r="F159" s="343">
        <f t="shared" si="50"/>
        <v>3091215.2</v>
      </c>
      <c r="G159" s="343">
        <f t="shared" si="51"/>
        <v>32293248</v>
      </c>
      <c r="H159" s="343">
        <f t="shared" si="52"/>
        <v>7024898.170204022</v>
      </c>
      <c r="I159" s="343">
        <f t="shared" si="53"/>
        <v>13706637.071520362</v>
      </c>
      <c r="J159" s="343">
        <f t="shared" si="54"/>
        <v>8598309.4809763804</v>
      </c>
      <c r="K159" s="344">
        <f t="shared" si="55"/>
        <v>0.7679577902686946</v>
      </c>
      <c r="L159" s="345"/>
      <c r="M159" s="345">
        <v>7806152</v>
      </c>
      <c r="N159" s="345">
        <v>3091215.2</v>
      </c>
      <c r="O159" s="345">
        <v>7358936</v>
      </c>
      <c r="P159" s="345">
        <v>5299975</v>
      </c>
      <c r="Q159" s="345">
        <v>6921331.5602720296</v>
      </c>
      <c r="R159" s="346">
        <v>15236815</v>
      </c>
      <c r="S159" s="345">
        <v>7335598</v>
      </c>
      <c r="T159" s="345">
        <v>32293248</v>
      </c>
      <c r="U159" s="345">
        <v>17503934.223076101</v>
      </c>
      <c r="V159" s="345">
        <v>9116103.2860814501</v>
      </c>
      <c r="X159" s="390"/>
      <c r="Y159" s="388"/>
      <c r="Z159" s="388"/>
      <c r="AA159" s="388"/>
      <c r="AB159" s="388"/>
      <c r="AC159" s="388"/>
      <c r="AD159" s="388"/>
      <c r="AE159" s="388"/>
      <c r="AF159" s="388"/>
      <c r="AG159" s="388"/>
      <c r="AH159" s="388"/>
      <c r="AI159" s="388"/>
      <c r="AJ159" s="388"/>
      <c r="AK159" s="388"/>
      <c r="AL159" s="388"/>
      <c r="AM159" s="388"/>
      <c r="AN159" s="388"/>
      <c r="AO159" s="388"/>
      <c r="AP159" s="388"/>
      <c r="AQ159" s="388"/>
      <c r="AR159" s="388"/>
      <c r="AS159" s="388"/>
    </row>
    <row r="160" spans="1:124" outlineLevel="2" x14ac:dyDescent="0.2">
      <c r="A160" s="332">
        <v>1</v>
      </c>
      <c r="C160" s="342" t="str">
        <f>"        Income After Taxes"</f>
        <v xml:space="preserve">        Income After Taxes</v>
      </c>
      <c r="D160" s="343">
        <f t="shared" si="48"/>
        <v>6753500</v>
      </c>
      <c r="E160" s="343">
        <f t="shared" si="49"/>
        <v>10525182.428881299</v>
      </c>
      <c r="F160" s="343">
        <f t="shared" si="50"/>
        <v>2959000</v>
      </c>
      <c r="G160" s="343">
        <f t="shared" si="51"/>
        <v>31401000</v>
      </c>
      <c r="H160" s="343">
        <f t="shared" si="52"/>
        <v>6134981.7913957499</v>
      </c>
      <c r="I160" s="343">
        <f t="shared" si="53"/>
        <v>13106652.116087999</v>
      </c>
      <c r="J160" s="343">
        <f t="shared" si="54"/>
        <v>8535180.4935863651</v>
      </c>
      <c r="K160" s="344">
        <f t="shared" si="55"/>
        <v>0.81092945906245473</v>
      </c>
      <c r="L160" s="345"/>
      <c r="M160" s="345">
        <v>6552000</v>
      </c>
      <c r="N160" s="345">
        <v>2959000</v>
      </c>
      <c r="O160" s="345">
        <v>6345000</v>
      </c>
      <c r="P160" s="345">
        <v>4566000</v>
      </c>
      <c r="Q160" s="345">
        <v>6064975.7218610002</v>
      </c>
      <c r="R160" s="346">
        <v>14526000</v>
      </c>
      <c r="S160" s="345">
        <v>6955000</v>
      </c>
      <c r="T160" s="345">
        <v>31401000</v>
      </c>
      <c r="U160" s="345">
        <v>17034240.102599997</v>
      </c>
      <c r="V160" s="345">
        <v>8848608.4643519968</v>
      </c>
      <c r="X160" s="390"/>
      <c r="Y160" s="388"/>
      <c r="Z160" s="388"/>
      <c r="AA160" s="388"/>
      <c r="AB160" s="388"/>
      <c r="AC160" s="388"/>
      <c r="AD160" s="388"/>
      <c r="AE160" s="388"/>
      <c r="AF160" s="388"/>
      <c r="AG160" s="388"/>
      <c r="AH160" s="388"/>
      <c r="AI160" s="388"/>
      <c r="AJ160" s="388"/>
      <c r="AK160" s="388"/>
      <c r="AL160" s="388"/>
      <c r="AM160" s="388"/>
      <c r="AN160" s="388"/>
      <c r="AO160" s="388"/>
      <c r="AP160" s="388"/>
      <c r="AQ160" s="388"/>
      <c r="AR160" s="388"/>
      <c r="AS160" s="388"/>
    </row>
    <row r="161" spans="1:45" outlineLevel="1" x14ac:dyDescent="0.2">
      <c r="A161" s="332">
        <v>1</v>
      </c>
      <c r="C161" s="342" t="str">
        <f>"    Normalized Profitability Metrics"</f>
        <v xml:space="preserve">    Normalized Profitability Metrics</v>
      </c>
      <c r="D161" s="357"/>
      <c r="E161" s="357"/>
      <c r="F161" s="357"/>
      <c r="G161" s="357"/>
      <c r="H161" s="357"/>
      <c r="I161" s="357"/>
      <c r="J161" s="357"/>
      <c r="K161" s="357"/>
      <c r="L161" s="358"/>
      <c r="M161" s="358" t="s">
        <v>679</v>
      </c>
      <c r="N161" s="358" t="s">
        <v>679</v>
      </c>
      <c r="O161" s="358" t="s">
        <v>679</v>
      </c>
      <c r="P161" s="358" t="s">
        <v>679</v>
      </c>
      <c r="Q161" s="358" t="s">
        <v>679</v>
      </c>
      <c r="R161" s="359" t="s">
        <v>679</v>
      </c>
      <c r="S161" s="358" t="s">
        <v>679</v>
      </c>
      <c r="T161" s="358" t="s">
        <v>679</v>
      </c>
      <c r="U161" s="358" t="s">
        <v>679</v>
      </c>
      <c r="V161" s="358" t="s">
        <v>679</v>
      </c>
      <c r="X161" s="390"/>
      <c r="Y161" s="388"/>
      <c r="Z161" s="388"/>
      <c r="AA161" s="388"/>
      <c r="AB161" s="388"/>
      <c r="AC161" s="388"/>
      <c r="AD161" s="388"/>
      <c r="AE161" s="388"/>
      <c r="AF161" s="388"/>
      <c r="AG161" s="388"/>
      <c r="AH161" s="388"/>
      <c r="AI161" s="388"/>
      <c r="AJ161" s="388"/>
      <c r="AK161" s="388"/>
      <c r="AL161" s="388"/>
      <c r="AM161" s="388"/>
      <c r="AN161" s="388"/>
      <c r="AO161" s="388"/>
      <c r="AP161" s="388"/>
      <c r="AQ161" s="388"/>
      <c r="AR161" s="388"/>
      <c r="AS161" s="388"/>
    </row>
    <row r="162" spans="1:45" outlineLevel="2" x14ac:dyDescent="0.2">
      <c r="A162" s="332">
        <v>1</v>
      </c>
      <c r="C162" s="342" t="str">
        <f>"        EBITDA (Normalized)"</f>
        <v xml:space="preserve">        EBITDA (Normalized)</v>
      </c>
      <c r="D162" s="343">
        <f>IF(COUNT(M162:V162)&gt;0,MEDIAN(M162:V162),"")</f>
        <v>15421076.202714499</v>
      </c>
      <c r="E162" s="343">
        <f>IF(COUNT(M162:V162)&gt;0,AVERAGE(M162:V162),"")</f>
        <v>19398287.6776384</v>
      </c>
      <c r="F162" s="343">
        <f>IF(COUNT(M162:V162)&gt;0,MIN(M162:V162),"")</f>
        <v>3868300</v>
      </c>
      <c r="G162" s="343">
        <f>IF(COUNT(M162:V162)&gt;0,MAX(M162:V162),"")</f>
        <v>46266000</v>
      </c>
      <c r="H162" s="343">
        <f>IF(COUNT(M162:V162)&gt;0,QUARTILE(M162:V162,1),"")</f>
        <v>13183250</v>
      </c>
      <c r="I162" s="343">
        <f>IF(COUNT(M162:V162)&gt;0,QUARTILE(M162:V162,3),"")</f>
        <v>24045500</v>
      </c>
      <c r="J162" s="343">
        <f>IF(COUNT(M162:V162)&gt;1,STDEV(M162:V162),"")</f>
        <v>11640852.521250162</v>
      </c>
      <c r="K162" s="344">
        <f>IF(COUNT(M162:V162)&gt;1,STDEV(M162:V162)/AVERAGE(M162:V162),"")</f>
        <v>0.60009691137168197</v>
      </c>
      <c r="L162" s="345"/>
      <c r="M162" s="345">
        <v>12981000</v>
      </c>
      <c r="N162" s="345">
        <v>3868300</v>
      </c>
      <c r="O162" s="345">
        <v>20570000</v>
      </c>
      <c r="P162" s="345">
        <v>13790000</v>
      </c>
      <c r="Q162" s="345">
        <v>12682097.170890002</v>
      </c>
      <c r="R162" s="346">
        <v>25204000</v>
      </c>
      <c r="S162" s="345">
        <v>16378000</v>
      </c>
      <c r="T162" s="345">
        <v>46266000</v>
      </c>
      <c r="U162" s="345">
        <v>27779327.200064998</v>
      </c>
      <c r="V162" s="345">
        <v>14464152.405428996</v>
      </c>
      <c r="X162" s="390"/>
      <c r="Y162" s="388"/>
      <c r="Z162" s="388"/>
      <c r="AA162" s="388"/>
      <c r="AB162" s="388"/>
      <c r="AC162" s="388"/>
      <c r="AD162" s="388"/>
      <c r="AE162" s="388"/>
      <c r="AF162" s="388"/>
      <c r="AG162" s="388"/>
      <c r="AH162" s="388"/>
      <c r="AI162" s="388"/>
      <c r="AJ162" s="388"/>
      <c r="AK162" s="388"/>
      <c r="AL162" s="388"/>
      <c r="AM162" s="388"/>
      <c r="AN162" s="388"/>
      <c r="AO162" s="388"/>
      <c r="AP162" s="388"/>
      <c r="AQ162" s="388"/>
      <c r="AR162" s="388"/>
      <c r="AS162" s="388"/>
    </row>
    <row r="163" spans="1:45" outlineLevel="2" x14ac:dyDescent="0.2">
      <c r="A163" s="332">
        <v>1</v>
      </c>
      <c r="C163" s="342" t="str">
        <f>"        EBIT (Normalized)"</f>
        <v xml:space="preserve">        EBIT (Normalized)</v>
      </c>
      <c r="D163" s="343">
        <f>IF(COUNT(M163:V163)&gt;0,MEDIAN(M163:V163),"")</f>
        <v>10816973.917606</v>
      </c>
      <c r="E163" s="343">
        <f>IF(COUNT(M163:V163)&gt;0,AVERAGE(M163:V163),"")</f>
        <v>15219828.130175497</v>
      </c>
      <c r="F163" s="343">
        <f>IF(COUNT(M163:V163)&gt;0,MIN(M163:V163),"")</f>
        <v>3230000</v>
      </c>
      <c r="G163" s="343">
        <f>IF(COUNT(M163:V163)&gt;0,MAX(M163:V163),"")</f>
        <v>41202000</v>
      </c>
      <c r="H163" s="343">
        <f>IF(COUNT(M163:V163)&gt;0,QUARTILE(M163:V163,1),"")</f>
        <v>9798997.0180407502</v>
      </c>
      <c r="I163" s="343">
        <f>IF(COUNT(M163:V163)&gt;0,QUARTILE(M163:V163,3),"")</f>
        <v>18893000</v>
      </c>
      <c r="J163" s="343">
        <f>IF(COUNT(M163:V163)&gt;1,STDEV(M163:V163),"")</f>
        <v>10943890.198442955</v>
      </c>
      <c r="K163" s="344">
        <f>IF(COUNT(M163:V163)&gt;1,STDEV(M163:V163)/AVERAGE(M163:V163),"")</f>
        <v>0.71905478201459572</v>
      </c>
      <c r="L163" s="345"/>
      <c r="M163" s="345">
        <v>9720000</v>
      </c>
      <c r="N163" s="345">
        <v>3230000</v>
      </c>
      <c r="O163" s="345">
        <v>10283000</v>
      </c>
      <c r="P163" s="345">
        <v>11687000</v>
      </c>
      <c r="Q163" s="345">
        <v>10035988.072163003</v>
      </c>
      <c r="R163" s="346">
        <v>21295000</v>
      </c>
      <c r="S163" s="345">
        <v>9319000</v>
      </c>
      <c r="T163" s="345">
        <v>41202000</v>
      </c>
      <c r="U163" s="345">
        <v>24075345.394379996</v>
      </c>
      <c r="V163" s="345">
        <v>11350947.835211998</v>
      </c>
      <c r="X163" s="390"/>
      <c r="Y163" s="388"/>
      <c r="Z163" s="388"/>
      <c r="AA163" s="388"/>
      <c r="AB163" s="388"/>
      <c r="AC163" s="388"/>
      <c r="AD163" s="388"/>
      <c r="AE163" s="388"/>
      <c r="AF163" s="388"/>
      <c r="AG163" s="388"/>
      <c r="AH163" s="388"/>
      <c r="AI163" s="388"/>
      <c r="AJ163" s="388"/>
      <c r="AK163" s="388"/>
      <c r="AL163" s="388"/>
      <c r="AM163" s="388"/>
      <c r="AN163" s="388"/>
      <c r="AO163" s="388"/>
      <c r="AP163" s="388"/>
      <c r="AQ163" s="388"/>
      <c r="AR163" s="388"/>
      <c r="AS163" s="388"/>
    </row>
    <row r="164" spans="1:45" outlineLevel="2" x14ac:dyDescent="0.2">
      <c r="A164" s="332">
        <v>1</v>
      </c>
      <c r="C164" s="342" t="str">
        <f>"        EBITDAR (Normalized)"</f>
        <v xml:space="preserve">        EBITDAR (Normalized)</v>
      </c>
      <c r="D164" s="343">
        <f>IF(COUNT(M164:V164)&gt;0,MEDIAN(M164:V164),"")</f>
        <v>14614076.202714499</v>
      </c>
      <c r="E164" s="343">
        <f>IF(COUNT(M164:V164)&gt;0,AVERAGE(M164:V164),"")</f>
        <v>19305596.620982599</v>
      </c>
      <c r="F164" s="343">
        <f>IF(COUNT(M164:V164)&gt;0,MIN(M164:V164),"")</f>
        <v>3868300</v>
      </c>
      <c r="G164" s="343">
        <f>IF(COUNT(M164:V164)&gt;0,MAX(M164:V164),"")</f>
        <v>46266000</v>
      </c>
      <c r="H164" s="343">
        <f>IF(COUNT(M164:V164)&gt;0,QUARTILE(M164:V164,1),"")</f>
        <v>13183250</v>
      </c>
      <c r="I164" s="343">
        <f>IF(COUNT(M164:V164)&gt;0,QUARTILE(M164:V164,3),"")</f>
        <v>24045500</v>
      </c>
      <c r="J164" s="343">
        <f>IF(COUNT(M164:V164)&gt;1,STDEV(M164:V164),"")</f>
        <v>11752929.59951565</v>
      </c>
      <c r="K164" s="344">
        <f>IF(COUNT(M164:V164)&gt;1,STDEV(M164:V164)/AVERAGE(M164:V164),"")</f>
        <v>0.60878354760307118</v>
      </c>
      <c r="L164" s="345"/>
      <c r="M164" s="345">
        <v>12981000</v>
      </c>
      <c r="N164" s="345">
        <v>3868300</v>
      </c>
      <c r="O164" s="345">
        <v>20570000</v>
      </c>
      <c r="P164" s="345">
        <v>13790000</v>
      </c>
      <c r="Q164" s="345">
        <v>12703049.129287001</v>
      </c>
      <c r="R164" s="346">
        <v>25204000</v>
      </c>
      <c r="S164" s="345">
        <v>14764000</v>
      </c>
      <c r="T164" s="345">
        <v>46266000</v>
      </c>
      <c r="U164" s="345">
        <v>28445464.675109997</v>
      </c>
      <c r="V164" s="345">
        <v>14464152.405428996</v>
      </c>
      <c r="X164" s="390"/>
      <c r="Y164" s="388"/>
      <c r="Z164" s="388"/>
      <c r="AA164" s="388"/>
      <c r="AB164" s="388"/>
      <c r="AC164" s="388"/>
      <c r="AD164" s="388"/>
      <c r="AE164" s="388"/>
      <c r="AF164" s="388"/>
      <c r="AG164" s="388"/>
      <c r="AH164" s="388"/>
      <c r="AI164" s="388"/>
      <c r="AJ164" s="388"/>
      <c r="AK164" s="388"/>
      <c r="AL164" s="388"/>
      <c r="AM164" s="388"/>
      <c r="AN164" s="388"/>
      <c r="AO164" s="388"/>
      <c r="AP164" s="388"/>
      <c r="AQ164" s="388"/>
      <c r="AR164" s="388"/>
      <c r="AS164" s="388"/>
    </row>
    <row r="165" spans="1:45" outlineLevel="2" x14ac:dyDescent="0.2">
      <c r="A165" s="332">
        <v>1</v>
      </c>
      <c r="C165" s="342" t="str">
        <f>"        Net Income (Normalized)"</f>
        <v xml:space="preserve">        Net Income (Normalized)</v>
      </c>
      <c r="D165" s="343">
        <f>IF(COUNT(M165:V165)&gt;0,MEDIAN(M165:V165),"")</f>
        <v>12112279.7130385</v>
      </c>
      <c r="E165" s="343">
        <f>IF(COUNT(M165:V165)&gt;0,AVERAGE(M165:V165),"")</f>
        <v>14444069.386974201</v>
      </c>
      <c r="F165" s="343">
        <f>IF(COUNT(M165:V165)&gt;0,MIN(M165:V165),"")</f>
        <v>2580000</v>
      </c>
      <c r="G165" s="343">
        <f>IF(COUNT(M165:V165)&gt;0,MAX(M165:V165),"")</f>
        <v>37717000</v>
      </c>
      <c r="H165" s="343">
        <f>IF(COUNT(M165:V165)&gt;0,QUARTILE(M165:V165,1),"")</f>
        <v>9261000</v>
      </c>
      <c r="I165" s="343">
        <f>IF(COUNT(M165:V165)&gt;0,QUARTILE(M165:V165,3),"")</f>
        <v>18173625.862904999</v>
      </c>
      <c r="J165" s="343">
        <f>IF(COUNT(M165:V165)&gt;1,STDEV(M165:V165),"")</f>
        <v>9706287.0954897515</v>
      </c>
      <c r="K165" s="344">
        <f>IF(COUNT(M165:V165)&gt;1,STDEV(M165:V165)/AVERAGE(M165:V165),"")</f>
        <v>0.67199117059372293</v>
      </c>
      <c r="L165" s="345"/>
      <c r="M165" s="345">
        <v>9570000</v>
      </c>
      <c r="N165" s="345">
        <v>2580000</v>
      </c>
      <c r="O165" s="345">
        <v>16533000</v>
      </c>
      <c r="P165" s="345">
        <v>9158000</v>
      </c>
      <c r="Q165" s="345">
        <v>6932633.2931249999</v>
      </c>
      <c r="R165" s="346">
        <v>19005000</v>
      </c>
      <c r="S165" s="345">
        <v>13352000</v>
      </c>
      <c r="T165" s="345">
        <v>37717000</v>
      </c>
      <c r="U165" s="345">
        <v>18720501.150539998</v>
      </c>
      <c r="V165" s="345">
        <v>10872559.426076999</v>
      </c>
      <c r="X165" s="390"/>
      <c r="Y165" s="388"/>
      <c r="Z165" s="388"/>
      <c r="AA165" s="388"/>
      <c r="AB165" s="388"/>
      <c r="AC165" s="388"/>
      <c r="AD165" s="388"/>
      <c r="AE165" s="388"/>
      <c r="AF165" s="388"/>
      <c r="AG165" s="388"/>
      <c r="AH165" s="388"/>
      <c r="AI165" s="388"/>
      <c r="AJ165" s="388"/>
      <c r="AK165" s="388"/>
      <c r="AL165" s="388"/>
      <c r="AM165" s="388"/>
      <c r="AN165" s="388"/>
      <c r="AO165" s="388"/>
      <c r="AP165" s="388"/>
      <c r="AQ165" s="388"/>
      <c r="AR165" s="388"/>
      <c r="AS165" s="388"/>
    </row>
    <row r="166" spans="1:45" outlineLevel="2" x14ac:dyDescent="0.2">
      <c r="A166" s="332">
        <v>1</v>
      </c>
      <c r="C166" s="342" t="str">
        <f>"        Special Dividend per Share"</f>
        <v xml:space="preserve">        Special Dividend per Share</v>
      </c>
      <c r="D166" s="344" t="str">
        <f>IF(COUNT(M166:V166)&gt;0,MEDIAN(M166:V166),"")</f>
        <v/>
      </c>
      <c r="E166" s="344" t="str">
        <f>IF(COUNT(M166:V166)&gt;0,AVERAGE(M166:V166),"")</f>
        <v/>
      </c>
      <c r="F166" s="344" t="str">
        <f>IF(COUNT(M166:V166)&gt;0,MIN(M166:V166),"")</f>
        <v/>
      </c>
      <c r="G166" s="344" t="str">
        <f>IF(COUNT(M166:V166)&gt;0,MAX(M166:V166),"")</f>
        <v/>
      </c>
      <c r="H166" s="344" t="str">
        <f>IF(COUNT(M166:V166)&gt;0,QUARTILE(M166:V166,1),"")</f>
        <v/>
      </c>
      <c r="I166" s="344" t="str">
        <f>IF(COUNT(M166:V166)&gt;0,QUARTILE(M166:V166,3),"")</f>
        <v/>
      </c>
      <c r="J166" s="344" t="str">
        <f>IF(COUNT(M166:V166)&gt;1,STDEV(M166:V166),"")</f>
        <v/>
      </c>
      <c r="K166" s="344" t="str">
        <f>IF(COUNT(M166:V166)&gt;1,STDEV(M166:V166)/AVERAGE(M166:V166),"")</f>
        <v/>
      </c>
      <c r="L166" s="354"/>
      <c r="M166" s="354" t="s">
        <v>679</v>
      </c>
      <c r="N166" s="354" t="s">
        <v>679</v>
      </c>
      <c r="O166" s="354" t="s">
        <v>679</v>
      </c>
      <c r="P166" s="354" t="s">
        <v>679</v>
      </c>
      <c r="Q166" s="354" t="s">
        <v>679</v>
      </c>
      <c r="R166" s="355" t="s">
        <v>679</v>
      </c>
      <c r="S166" s="354" t="s">
        <v>679</v>
      </c>
      <c r="T166" s="354" t="s">
        <v>679</v>
      </c>
      <c r="U166" s="354" t="s">
        <v>679</v>
      </c>
      <c r="V166" s="354" t="s">
        <v>679</v>
      </c>
      <c r="X166" s="390"/>
      <c r="Y166" s="388"/>
      <c r="Z166" s="388"/>
      <c r="AA166" s="388"/>
      <c r="AB166" s="388"/>
      <c r="AC166" s="388"/>
      <c r="AD166" s="388"/>
      <c r="AE166" s="388"/>
      <c r="AF166" s="388"/>
      <c r="AG166" s="388"/>
      <c r="AH166" s="388"/>
      <c r="AI166" s="388"/>
      <c r="AJ166" s="388"/>
      <c r="AK166" s="388"/>
      <c r="AL166" s="388"/>
      <c r="AM166" s="388"/>
      <c r="AN166" s="388"/>
      <c r="AO166" s="388"/>
      <c r="AP166" s="388"/>
      <c r="AQ166" s="388"/>
      <c r="AR166" s="388"/>
      <c r="AS166" s="388"/>
    </row>
    <row r="167" spans="1:45" outlineLevel="1" x14ac:dyDescent="0.2">
      <c r="A167" s="332">
        <v>1</v>
      </c>
      <c r="C167" s="342" t="str">
        <f>"    Analyst Normalized Profitability Metrics"</f>
        <v xml:space="preserve">    Analyst Normalized Profitability Metrics</v>
      </c>
      <c r="D167" s="357"/>
      <c r="E167" s="357"/>
      <c r="F167" s="357"/>
      <c r="G167" s="357"/>
      <c r="H167" s="357"/>
      <c r="I167" s="357"/>
      <c r="J167" s="357"/>
      <c r="K167" s="357"/>
      <c r="L167" s="358"/>
      <c r="M167" s="358" t="s">
        <v>679</v>
      </c>
      <c r="N167" s="358" t="s">
        <v>679</v>
      </c>
      <c r="O167" s="358" t="s">
        <v>679</v>
      </c>
      <c r="P167" s="358" t="s">
        <v>679</v>
      </c>
      <c r="Q167" s="358" t="s">
        <v>679</v>
      </c>
      <c r="R167" s="359" t="s">
        <v>679</v>
      </c>
      <c r="S167" s="358" t="s">
        <v>679</v>
      </c>
      <c r="T167" s="358" t="s">
        <v>679</v>
      </c>
      <c r="U167" s="358" t="s">
        <v>679</v>
      </c>
      <c r="V167" s="358" t="s">
        <v>679</v>
      </c>
      <c r="X167" s="390"/>
      <c r="Y167" s="388"/>
      <c r="Z167" s="388"/>
      <c r="AA167" s="388"/>
      <c r="AB167" s="388"/>
      <c r="AC167" s="388"/>
      <c r="AD167" s="388"/>
      <c r="AE167" s="388"/>
      <c r="AF167" s="388"/>
      <c r="AG167" s="388"/>
      <c r="AH167" s="388"/>
      <c r="AI167" s="388"/>
      <c r="AJ167" s="388"/>
      <c r="AK167" s="388"/>
      <c r="AL167" s="388"/>
      <c r="AM167" s="388"/>
      <c r="AN167" s="388"/>
      <c r="AO167" s="388"/>
      <c r="AP167" s="388"/>
      <c r="AQ167" s="388"/>
      <c r="AR167" s="388"/>
      <c r="AS167" s="388"/>
    </row>
    <row r="168" spans="1:45" outlineLevel="2" x14ac:dyDescent="0.2">
      <c r="A168" s="332">
        <v>1</v>
      </c>
      <c r="C168" s="342" t="str">
        <f>"        EBITDA (Analyst Normalized)"</f>
        <v xml:space="preserve">        EBITDA (Analyst Normalized)</v>
      </c>
      <c r="D168" s="343">
        <f>IF(COUNT(M168:V168)&gt;0,MEDIAN(M168:V168),"")</f>
        <v>17725795.193607997</v>
      </c>
      <c r="E168" s="343">
        <f>IF(COUNT(M168:V168)&gt;0,AVERAGE(M168:V168),"")</f>
        <v>20113205.112314101</v>
      </c>
      <c r="F168" s="343">
        <f>IF(COUNT(M168:V168)&gt;0,MIN(M168:V168),"")</f>
        <v>3615000</v>
      </c>
      <c r="G168" s="343">
        <f>IF(COUNT(M168:V168)&gt;0,MAX(M168:V168),"")</f>
        <v>45220000</v>
      </c>
      <c r="H168" s="343">
        <f>IF(COUNT(M168:V168)&gt;0,QUARTILE(M168:V168,1),"")</f>
        <v>13199750</v>
      </c>
      <c r="I168" s="343">
        <f>IF(COUNT(M168:V168)&gt;0,QUARTILE(M168:V168,3),"")</f>
        <v>25525000</v>
      </c>
      <c r="J168" s="343">
        <f>IF(COUNT(M168:V168)&gt;1,STDEV(M168:V168),"")</f>
        <v>11434680.506821932</v>
      </c>
      <c r="K168" s="344">
        <f>IF(COUNT(M168:V168)&gt;1,STDEV(M168:V168)/AVERAGE(M168:V168),"")</f>
        <v>0.56851607901224888</v>
      </c>
      <c r="L168" s="345"/>
      <c r="M168" s="345">
        <v>15767000</v>
      </c>
      <c r="N168" s="345">
        <v>3615000</v>
      </c>
      <c r="O168" s="345">
        <v>21472000</v>
      </c>
      <c r="P168" s="345">
        <v>12344000</v>
      </c>
      <c r="Q168" s="345">
        <v>11954940.967700003</v>
      </c>
      <c r="R168" s="346">
        <v>26876000</v>
      </c>
      <c r="S168" s="345">
        <v>18074000</v>
      </c>
      <c r="T168" s="345">
        <v>45220000</v>
      </c>
      <c r="U168" s="345">
        <v>28431519.768224999</v>
      </c>
      <c r="V168" s="345">
        <v>17377590.387215994</v>
      </c>
      <c r="X168" s="390"/>
      <c r="Y168" s="388"/>
      <c r="Z168" s="388"/>
      <c r="AA168" s="388"/>
      <c r="AB168" s="388"/>
      <c r="AC168" s="388"/>
      <c r="AD168" s="388"/>
      <c r="AE168" s="388"/>
      <c r="AF168" s="388"/>
      <c r="AG168" s="388"/>
      <c r="AH168" s="388"/>
      <c r="AI168" s="388"/>
      <c r="AJ168" s="388"/>
      <c r="AK168" s="388"/>
      <c r="AL168" s="388"/>
      <c r="AM168" s="388"/>
      <c r="AN168" s="388"/>
      <c r="AO168" s="388"/>
      <c r="AP168" s="388"/>
      <c r="AQ168" s="388"/>
      <c r="AR168" s="388"/>
      <c r="AS168" s="388"/>
    </row>
    <row r="169" spans="1:45" outlineLevel="2" x14ac:dyDescent="0.2">
      <c r="A169" s="332">
        <v>1</v>
      </c>
      <c r="C169" s="342" t="str">
        <f>"        EBIT (Analyst Normalized)"</f>
        <v xml:space="preserve">        EBIT (Analyst Normalized)</v>
      </c>
      <c r="D169" s="343">
        <f>IF(COUNT(M169:V169)&gt;0,MEDIAN(M169:V169),"")</f>
        <v>16068326.925298998</v>
      </c>
      <c r="E169" s="343">
        <f>IF(COUNT(M169:V169)&gt;0,AVERAGE(M169:V169),"")</f>
        <v>18188158.016326502</v>
      </c>
      <c r="F169" s="343">
        <f>IF(COUNT(M169:V169)&gt;0,MIN(M169:V169),"")</f>
        <v>3191900</v>
      </c>
      <c r="G169" s="343">
        <f>IF(COUNT(M169:V169)&gt;0,MAX(M169:V169),"")</f>
        <v>43765000</v>
      </c>
      <c r="H169" s="343">
        <f>IF(COUNT(M169:V169)&gt;0,QUARTILE(M169:V169,1),"")</f>
        <v>12317000</v>
      </c>
      <c r="I169" s="343">
        <f>IF(COUNT(M169:V169)&gt;0,QUARTILE(M169:V169,3),"")</f>
        <v>22420250</v>
      </c>
      <c r="J169" s="343">
        <f>IF(COUNT(M169:V169)&gt;1,STDEV(M169:V169),"")</f>
        <v>10971516.027177557</v>
      </c>
      <c r="K169" s="344">
        <f>IF(COUNT(M169:V169)&gt;1,STDEV(M169:V169)/AVERAGE(M169:V169),"")</f>
        <v>0.60322304311019481</v>
      </c>
      <c r="L169" s="345"/>
      <c r="M169" s="345">
        <v>12506000</v>
      </c>
      <c r="N169" s="345">
        <v>3191900</v>
      </c>
      <c r="O169" s="345">
        <v>20780000</v>
      </c>
      <c r="P169" s="345">
        <v>12254000</v>
      </c>
      <c r="Q169" s="345">
        <v>10219625.825172001</v>
      </c>
      <c r="R169" s="346">
        <v>22967000</v>
      </c>
      <c r="S169" s="345">
        <v>16435000</v>
      </c>
      <c r="T169" s="345">
        <v>43765000</v>
      </c>
      <c r="U169" s="345">
        <v>24061400.487494998</v>
      </c>
      <c r="V169" s="345">
        <v>15701653.850597996</v>
      </c>
      <c r="X169" s="390"/>
      <c r="Y169" s="388"/>
      <c r="Z169" s="388"/>
      <c r="AA169" s="388"/>
      <c r="AB169" s="388"/>
      <c r="AC169" s="388"/>
      <c r="AD169" s="388"/>
      <c r="AE169" s="388"/>
      <c r="AF169" s="388"/>
      <c r="AG169" s="388"/>
      <c r="AH169" s="388"/>
      <c r="AI169" s="388"/>
      <c r="AJ169" s="388"/>
      <c r="AK169" s="388"/>
      <c r="AL169" s="388"/>
      <c r="AM169" s="388"/>
      <c r="AN169" s="388"/>
      <c r="AO169" s="388"/>
      <c r="AP169" s="388"/>
      <c r="AQ169" s="388"/>
      <c r="AR169" s="388"/>
      <c r="AS169" s="388"/>
    </row>
    <row r="170" spans="1:45" outlineLevel="2" x14ac:dyDescent="0.2">
      <c r="A170" s="332">
        <v>1</v>
      </c>
      <c r="C170" s="342" t="str">
        <f>"        Net Income (Analyst Normalized)"</f>
        <v xml:space="preserve">        Net Income (Analyst Normalized)</v>
      </c>
      <c r="D170" s="343">
        <f>IF(COUNT(M170:V170)&gt;0,MEDIAN(M170:V170),"")</f>
        <v>12000877.705400772</v>
      </c>
      <c r="E170" s="343">
        <f>IF(COUNT(M170:V170)&gt;0,AVERAGE(M170:V170),"")</f>
        <v>14534372.019491717</v>
      </c>
      <c r="F170" s="343">
        <f>IF(COUNT(M170:V170)&gt;0,MIN(M170:V170),"")</f>
        <v>2580000</v>
      </c>
      <c r="G170" s="343">
        <f>IF(COUNT(M170:V170)&gt;0,MAX(M170:V170),"")</f>
        <v>37723000</v>
      </c>
      <c r="H170" s="343">
        <f>IF(COUNT(M170:V170)&gt;0,QUARTILE(M170:V170,1),"")</f>
        <v>9261000</v>
      </c>
      <c r="I170" s="343">
        <f>IF(COUNT(M170:V170)&gt;0,QUARTILE(M170:V170,3),"")</f>
        <v>18384360.000059009</v>
      </c>
      <c r="J170" s="343">
        <f>IF(COUNT(M170:V170)&gt;1,STDEV(M170:V170),"")</f>
        <v>9696528.0656737573</v>
      </c>
      <c r="K170" s="344">
        <f>IF(COUNT(M170:V170)&gt;1,STDEV(M170:V170)/AVERAGE(M170:V170),"")</f>
        <v>0.66714461778396505</v>
      </c>
      <c r="L170" s="345"/>
      <c r="M170" s="345">
        <v>9570000</v>
      </c>
      <c r="N170" s="345">
        <v>2580000</v>
      </c>
      <c r="O170" s="345">
        <v>16525440.000236034</v>
      </c>
      <c r="P170" s="345">
        <v>9158000</v>
      </c>
      <c r="Q170" s="345">
        <v>7521531.2215343704</v>
      </c>
      <c r="R170" s="346">
        <v>19004000</v>
      </c>
      <c r="S170" s="345">
        <v>13369000</v>
      </c>
      <c r="T170" s="345">
        <v>37723000</v>
      </c>
      <c r="U170" s="345">
        <v>19259993.562345237</v>
      </c>
      <c r="V170" s="345">
        <v>10632755.410801543</v>
      </c>
      <c r="X170" s="390"/>
      <c r="Y170" s="388"/>
      <c r="Z170" s="388"/>
      <c r="AA170" s="388"/>
      <c r="AB170" s="388"/>
      <c r="AC170" s="388"/>
      <c r="AD170" s="388"/>
      <c r="AE170" s="388"/>
      <c r="AF170" s="388"/>
      <c r="AG170" s="388"/>
      <c r="AH170" s="388"/>
      <c r="AI170" s="388"/>
      <c r="AJ170" s="388"/>
      <c r="AK170" s="388"/>
      <c r="AL170" s="388"/>
      <c r="AM170" s="388"/>
      <c r="AN170" s="388"/>
      <c r="AO170" s="388"/>
      <c r="AP170" s="388"/>
      <c r="AQ170" s="388"/>
      <c r="AR170" s="388"/>
      <c r="AS170" s="388"/>
    </row>
    <row r="171" spans="1:45" outlineLevel="2" x14ac:dyDescent="0.2">
      <c r="A171" s="332">
        <v>1</v>
      </c>
      <c r="C171" s="342" t="str">
        <f>"        EPS (Analyst Normalized)"</f>
        <v xml:space="preserve">        EPS (Analyst Normalized)</v>
      </c>
      <c r="D171" s="344">
        <f>IF(COUNT(M171:V171)&gt;0,MEDIAN(M171:V171),"")</f>
        <v>7.5904390000000008</v>
      </c>
      <c r="E171" s="344">
        <f>IF(COUNT(M171:V171)&gt;0,AVERAGE(M171:V171),"")</f>
        <v>10.422289277588566</v>
      </c>
      <c r="F171" s="344">
        <f>IF(COUNT(M171:V171)&gt;0,MIN(M171:V171),"")</f>
        <v>2.0945796056294999</v>
      </c>
      <c r="G171" s="344">
        <f>IF(COUNT(M171:V171)&gt;0,MAX(M171:V171),"")</f>
        <v>23.132623563492764</v>
      </c>
      <c r="H171" s="344">
        <f>IF(COUNT(M171:V171)&gt;0,QUARTILE(M171:V171,1),"")</f>
        <v>6.7528945</v>
      </c>
      <c r="I171" s="344">
        <f>IF(COUNT(M171:V171)&gt;0,QUARTILE(M171:V171,3),"")</f>
        <v>15.390874151690852</v>
      </c>
      <c r="J171" s="344">
        <f>IF(COUNT(M171:V171)&gt;1,STDEV(M171:V171),"")</f>
        <v>6.6648144382749779</v>
      </c>
      <c r="K171" s="344">
        <f>IF(COUNT(M171:V171)&gt;1,STDEV(M171:V171)/AVERAGE(M171:V171),"")</f>
        <v>0.63947701515122735</v>
      </c>
      <c r="L171" s="354"/>
      <c r="M171" s="354">
        <v>17.689703000000002</v>
      </c>
      <c r="N171" s="354">
        <v>17.689861000000001</v>
      </c>
      <c r="O171" s="354">
        <v>7.6998060000000015</v>
      </c>
      <c r="P171" s="354">
        <v>7.2700630000000004</v>
      </c>
      <c r="Q171" s="354">
        <v>2.0945796056294999</v>
      </c>
      <c r="R171" s="355">
        <v>7.4810720000000002</v>
      </c>
      <c r="S171" s="354">
        <v>6.0902920000000007</v>
      </c>
      <c r="T171" s="354">
        <v>6.5805049999999996</v>
      </c>
      <c r="U171" s="354">
        <v>23.132623563492764</v>
      </c>
      <c r="V171" s="354">
        <v>8.4943876067634072</v>
      </c>
      <c r="X171" s="390"/>
      <c r="Y171" s="388"/>
      <c r="Z171" s="388"/>
      <c r="AA171" s="388"/>
      <c r="AB171" s="388"/>
      <c r="AC171" s="388"/>
      <c r="AD171" s="388"/>
      <c r="AE171" s="388"/>
      <c r="AF171" s="388"/>
      <c r="AG171" s="388"/>
      <c r="AH171" s="388"/>
      <c r="AI171" s="388"/>
      <c r="AJ171" s="388"/>
      <c r="AK171" s="388"/>
      <c r="AL171" s="388"/>
      <c r="AM171" s="388"/>
      <c r="AN171" s="388"/>
      <c r="AO171" s="388"/>
      <c r="AP171" s="388"/>
      <c r="AQ171" s="388"/>
      <c r="AR171" s="388"/>
      <c r="AS171" s="388"/>
    </row>
    <row r="172" spans="1:45" x14ac:dyDescent="0.2">
      <c r="A172" s="332">
        <v>1</v>
      </c>
      <c r="C172" s="335" t="str">
        <f>"Data Origination"</f>
        <v>Data Origination</v>
      </c>
      <c r="D172" s="340"/>
      <c r="E172" s="340"/>
      <c r="F172" s="340"/>
      <c r="G172" s="340"/>
      <c r="H172" s="340"/>
      <c r="I172" s="340"/>
      <c r="J172" s="340"/>
      <c r="K172" s="340"/>
      <c r="L172" s="340"/>
      <c r="M172" s="340" t="s">
        <v>679</v>
      </c>
      <c r="N172" s="340" t="s">
        <v>679</v>
      </c>
      <c r="O172" s="340" t="s">
        <v>679</v>
      </c>
      <c r="P172" s="340" t="s">
        <v>679</v>
      </c>
      <c r="Q172" s="340" t="s">
        <v>679</v>
      </c>
      <c r="R172" s="353" t="s">
        <v>679</v>
      </c>
      <c r="S172" s="340" t="s">
        <v>679</v>
      </c>
      <c r="T172" s="340" t="s">
        <v>679</v>
      </c>
      <c r="U172" s="340" t="s">
        <v>679</v>
      </c>
      <c r="V172" s="340" t="s">
        <v>679</v>
      </c>
      <c r="X172" s="390"/>
      <c r="Y172" s="388"/>
      <c r="Z172" s="388"/>
      <c r="AA172" s="388"/>
      <c r="AB172" s="388"/>
      <c r="AC172" s="388"/>
      <c r="AD172" s="388"/>
      <c r="AE172" s="388"/>
      <c r="AF172" s="388"/>
      <c r="AG172" s="388"/>
      <c r="AH172" s="388"/>
      <c r="AI172" s="388"/>
      <c r="AJ172" s="388"/>
      <c r="AK172" s="388"/>
      <c r="AL172" s="388"/>
      <c r="AM172" s="388"/>
      <c r="AN172" s="388"/>
      <c r="AO172" s="388"/>
      <c r="AP172" s="388"/>
      <c r="AQ172" s="388"/>
      <c r="AR172" s="388"/>
      <c r="AS172" s="388"/>
    </row>
    <row r="173" spans="1:45" x14ac:dyDescent="0.2">
      <c r="A173" s="332">
        <v>1</v>
      </c>
      <c r="C173" s="342" t="str">
        <f>"    Preliminary"</f>
        <v xml:space="preserve">    Preliminary</v>
      </c>
      <c r="D173" s="357"/>
      <c r="E173" s="357"/>
      <c r="F173" s="357"/>
      <c r="G173" s="357"/>
      <c r="H173" s="357"/>
      <c r="I173" s="357"/>
      <c r="J173" s="357"/>
      <c r="K173" s="357"/>
      <c r="L173" s="358"/>
      <c r="M173" s="358" t="s">
        <v>680</v>
      </c>
      <c r="N173" s="358" t="s">
        <v>680</v>
      </c>
      <c r="O173" s="358" t="s">
        <v>680</v>
      </c>
      <c r="P173" s="358" t="s">
        <v>680</v>
      </c>
      <c r="Q173" s="358" t="s">
        <v>680</v>
      </c>
      <c r="R173" s="359" t="s">
        <v>680</v>
      </c>
      <c r="S173" s="358" t="s">
        <v>680</v>
      </c>
      <c r="T173" s="358" t="s">
        <v>680</v>
      </c>
      <c r="U173" s="358" t="s">
        <v>680</v>
      </c>
      <c r="V173" s="358" t="s">
        <v>680</v>
      </c>
      <c r="X173" s="390"/>
      <c r="Y173" s="388"/>
      <c r="Z173" s="388"/>
      <c r="AA173" s="388"/>
      <c r="AB173" s="388"/>
      <c r="AC173" s="388"/>
      <c r="AD173" s="388"/>
      <c r="AE173" s="388"/>
      <c r="AF173" s="388"/>
      <c r="AG173" s="388"/>
      <c r="AH173" s="388"/>
      <c r="AI173" s="388"/>
      <c r="AJ173" s="388"/>
      <c r="AK173" s="388"/>
      <c r="AL173" s="388"/>
      <c r="AM173" s="388"/>
      <c r="AN173" s="388"/>
      <c r="AO173" s="388"/>
      <c r="AP173" s="388"/>
      <c r="AQ173" s="388"/>
      <c r="AR173" s="388"/>
      <c r="AS173" s="388"/>
    </row>
    <row r="174" spans="1:45" x14ac:dyDescent="0.2">
      <c r="A174" s="332">
        <v>1</v>
      </c>
      <c r="C174" s="342" t="str">
        <f>"    Original"</f>
        <v xml:space="preserve">    Original</v>
      </c>
      <c r="D174" s="357"/>
      <c r="E174" s="357"/>
      <c r="F174" s="357"/>
      <c r="G174" s="357"/>
      <c r="H174" s="357"/>
      <c r="I174" s="357"/>
      <c r="J174" s="357"/>
      <c r="K174" s="357"/>
      <c r="L174" s="358"/>
      <c r="M174" s="358" t="s">
        <v>680</v>
      </c>
      <c r="N174" s="358" t="s">
        <v>680</v>
      </c>
      <c r="O174" s="358" t="s">
        <v>680</v>
      </c>
      <c r="P174" s="358" t="s">
        <v>680</v>
      </c>
      <c r="Q174" s="358" t="s">
        <v>680</v>
      </c>
      <c r="R174" s="359" t="s">
        <v>680</v>
      </c>
      <c r="S174" s="358" t="s">
        <v>680</v>
      </c>
      <c r="T174" s="358" t="s">
        <v>680</v>
      </c>
      <c r="U174" s="358" t="s">
        <v>680</v>
      </c>
      <c r="V174" s="358" t="s">
        <v>680</v>
      </c>
      <c r="X174" s="390"/>
      <c r="Y174" s="388"/>
      <c r="Z174" s="388"/>
      <c r="AA174" s="388"/>
      <c r="AB174" s="388"/>
      <c r="AC174" s="388"/>
      <c r="AD174" s="388"/>
      <c r="AE174" s="388"/>
      <c r="AF174" s="388"/>
      <c r="AG174" s="388"/>
      <c r="AH174" s="388"/>
      <c r="AI174" s="388"/>
      <c r="AJ174" s="388"/>
      <c r="AK174" s="388"/>
      <c r="AL174" s="388"/>
      <c r="AM174" s="388"/>
      <c r="AN174" s="388"/>
      <c r="AO174" s="388"/>
      <c r="AP174" s="388"/>
      <c r="AQ174" s="388"/>
      <c r="AR174" s="388"/>
      <c r="AS174" s="388"/>
    </row>
    <row r="175" spans="1:45" x14ac:dyDescent="0.2">
      <c r="A175" s="332">
        <v>1</v>
      </c>
      <c r="C175" s="342" t="str">
        <f>"    Restated"</f>
        <v xml:space="preserve">    Restated</v>
      </c>
      <c r="D175" s="357"/>
      <c r="E175" s="357"/>
      <c r="F175" s="357"/>
      <c r="G175" s="357"/>
      <c r="H175" s="357"/>
      <c r="I175" s="357"/>
      <c r="J175" s="357"/>
      <c r="K175" s="357"/>
      <c r="L175" s="358"/>
      <c r="M175" s="358" t="s">
        <v>680</v>
      </c>
      <c r="N175" s="358" t="s">
        <v>680</v>
      </c>
      <c r="O175" s="358" t="s">
        <v>680</v>
      </c>
      <c r="P175" s="358" t="s">
        <v>680</v>
      </c>
      <c r="Q175" s="358" t="s">
        <v>680</v>
      </c>
      <c r="R175" s="359" t="s">
        <v>680</v>
      </c>
      <c r="S175" s="358" t="s">
        <v>680</v>
      </c>
      <c r="T175" s="358" t="s">
        <v>680</v>
      </c>
      <c r="U175" s="358" t="s">
        <v>680</v>
      </c>
      <c r="V175" s="358" t="s">
        <v>680</v>
      </c>
      <c r="X175" s="390"/>
      <c r="Y175" s="388"/>
      <c r="Z175" s="388"/>
      <c r="AA175" s="388"/>
      <c r="AB175" s="388"/>
      <c r="AC175" s="388"/>
      <c r="AD175" s="388"/>
      <c r="AE175" s="388"/>
      <c r="AF175" s="388"/>
      <c r="AG175" s="388"/>
      <c r="AH175" s="388"/>
      <c r="AI175" s="388"/>
      <c r="AJ175" s="388"/>
      <c r="AK175" s="388"/>
      <c r="AL175" s="388"/>
      <c r="AM175" s="388"/>
      <c r="AN175" s="388"/>
      <c r="AO175" s="388"/>
      <c r="AP175" s="388"/>
      <c r="AQ175" s="388"/>
      <c r="AR175" s="388"/>
      <c r="AS175" s="388"/>
    </row>
    <row r="176" spans="1:45" x14ac:dyDescent="0.2">
      <c r="A176" s="332"/>
      <c r="C176" s="342" t="str">
        <f>"    Calculated"</f>
        <v xml:space="preserve">    Calculated</v>
      </c>
      <c r="D176" s="357"/>
      <c r="E176" s="357"/>
      <c r="F176" s="357"/>
      <c r="G176" s="357"/>
      <c r="H176" s="357"/>
      <c r="I176" s="357"/>
      <c r="J176" s="357"/>
      <c r="K176" s="357"/>
      <c r="L176" s="358"/>
      <c r="M176" s="358" t="s">
        <v>681</v>
      </c>
      <c r="N176" s="358" t="s">
        <v>681</v>
      </c>
      <c r="O176" s="358" t="s">
        <v>681</v>
      </c>
      <c r="P176" s="358" t="s">
        <v>681</v>
      </c>
      <c r="Q176" s="358" t="s">
        <v>681</v>
      </c>
      <c r="R176" s="359" t="s">
        <v>681</v>
      </c>
      <c r="S176" s="358" t="s">
        <v>681</v>
      </c>
      <c r="T176" s="358" t="s">
        <v>681</v>
      </c>
      <c r="U176" s="358" t="s">
        <v>681</v>
      </c>
      <c r="V176" s="358" t="s">
        <v>681</v>
      </c>
      <c r="X176" s="390"/>
      <c r="Y176" s="388"/>
      <c r="Z176" s="388"/>
      <c r="AA176" s="388"/>
      <c r="AB176" s="388"/>
      <c r="AC176" s="388"/>
      <c r="AD176" s="388"/>
      <c r="AE176" s="388"/>
      <c r="AF176" s="388"/>
      <c r="AG176" s="388"/>
      <c r="AH176" s="388"/>
      <c r="AI176" s="388"/>
      <c r="AJ176" s="388"/>
      <c r="AK176" s="388"/>
      <c r="AL176" s="388"/>
      <c r="AM176" s="388"/>
      <c r="AN176" s="388"/>
      <c r="AO176" s="388"/>
      <c r="AP176" s="388"/>
      <c r="AQ176" s="388"/>
      <c r="AR176" s="388"/>
      <c r="AS176" s="388"/>
    </row>
    <row r="177" spans="1:45" x14ac:dyDescent="0.2">
      <c r="A177" s="332"/>
      <c r="C177" s="342"/>
      <c r="D177" s="357"/>
      <c r="E177" s="357"/>
      <c r="F177" s="357"/>
      <c r="G177" s="357"/>
      <c r="H177" s="357"/>
      <c r="I177" s="357"/>
      <c r="J177" s="357"/>
      <c r="K177" s="357"/>
      <c r="L177" s="358"/>
      <c r="M177" s="358"/>
      <c r="N177" s="358"/>
      <c r="O177" s="358"/>
      <c r="P177" s="358"/>
      <c r="Q177" s="358"/>
      <c r="R177" s="359"/>
      <c r="S177" s="358"/>
      <c r="T177" s="358"/>
      <c r="U177" s="358"/>
      <c r="V177" s="358"/>
      <c r="X177" s="390"/>
      <c r="Y177" s="388"/>
      <c r="Z177" s="388"/>
      <c r="AA177" s="388"/>
      <c r="AB177" s="388"/>
      <c r="AC177" s="388"/>
      <c r="AD177" s="388"/>
      <c r="AE177" s="388"/>
      <c r="AF177" s="388"/>
      <c r="AG177" s="388"/>
      <c r="AH177" s="388"/>
      <c r="AI177" s="388"/>
      <c r="AJ177" s="388"/>
      <c r="AK177" s="388"/>
      <c r="AL177" s="388"/>
      <c r="AM177" s="388"/>
      <c r="AN177" s="388"/>
      <c r="AO177" s="388"/>
      <c r="AP177" s="388"/>
      <c r="AQ177" s="388"/>
      <c r="AR177" s="388"/>
      <c r="AS177" s="388"/>
    </row>
    <row r="178" spans="1:45" x14ac:dyDescent="0.2">
      <c r="A178" s="332"/>
      <c r="C178" s="413"/>
      <c r="D178" s="414"/>
      <c r="E178" s="414"/>
      <c r="F178" s="414"/>
      <c r="G178" s="414"/>
      <c r="H178" s="414"/>
      <c r="I178" s="414"/>
      <c r="J178" s="414"/>
      <c r="K178" s="414"/>
      <c r="L178" s="415"/>
      <c r="M178" s="415"/>
      <c r="N178" s="415"/>
      <c r="O178" s="415"/>
      <c r="P178" s="415"/>
      <c r="Q178" s="415"/>
      <c r="R178" s="416"/>
      <c r="S178" s="415"/>
      <c r="T178" s="415"/>
      <c r="U178" s="415"/>
      <c r="V178" s="415"/>
      <c r="X178" s="390"/>
      <c r="Y178" s="388"/>
      <c r="Z178" s="388"/>
      <c r="AA178" s="388"/>
      <c r="AB178" s="388"/>
      <c r="AC178" s="388"/>
      <c r="AD178" s="388"/>
      <c r="AE178" s="388"/>
      <c r="AF178" s="388"/>
      <c r="AG178" s="388"/>
      <c r="AH178" s="388"/>
      <c r="AI178" s="388"/>
      <c r="AJ178" s="388"/>
      <c r="AK178" s="388"/>
      <c r="AL178" s="388"/>
      <c r="AM178" s="388"/>
      <c r="AN178" s="388"/>
      <c r="AO178" s="388"/>
      <c r="AP178" s="388"/>
      <c r="AQ178" s="388"/>
      <c r="AR178" s="388"/>
      <c r="AS178" s="388"/>
    </row>
    <row r="179" spans="1:45" x14ac:dyDescent="0.2">
      <c r="A179" s="332"/>
      <c r="C179" s="342"/>
      <c r="D179" s="357"/>
      <c r="E179" s="357"/>
      <c r="F179" s="357"/>
      <c r="G179" s="357"/>
      <c r="H179" s="357"/>
      <c r="I179" s="357"/>
      <c r="J179" s="357"/>
      <c r="K179" s="357"/>
      <c r="L179" s="358"/>
      <c r="M179" s="358"/>
      <c r="N179" s="358"/>
      <c r="O179" s="358"/>
      <c r="P179" s="358"/>
      <c r="Q179" s="358"/>
      <c r="R179" s="359"/>
      <c r="S179" s="358"/>
      <c r="T179" s="358"/>
      <c r="U179" s="358"/>
      <c r="V179" s="358"/>
      <c r="X179" s="390"/>
      <c r="Y179" s="388"/>
      <c r="Z179" s="388"/>
      <c r="AA179" s="388"/>
      <c r="AB179" s="388"/>
      <c r="AC179" s="388"/>
      <c r="AD179" s="388"/>
      <c r="AE179" s="388"/>
      <c r="AF179" s="388"/>
      <c r="AG179" s="388"/>
      <c r="AH179" s="388"/>
      <c r="AI179" s="388"/>
      <c r="AJ179" s="388"/>
      <c r="AK179" s="388"/>
      <c r="AL179" s="388"/>
      <c r="AM179" s="388"/>
      <c r="AN179" s="388"/>
      <c r="AO179" s="388"/>
      <c r="AP179" s="388"/>
      <c r="AQ179" s="388"/>
      <c r="AR179" s="388"/>
      <c r="AS179" s="388"/>
    </row>
    <row r="180" spans="1:45" x14ac:dyDescent="0.2">
      <c r="A180" s="332"/>
      <c r="C180" s="342" t="str">
        <f>"    Price to Earnings"</f>
        <v xml:space="preserve">    Price to Earnings</v>
      </c>
      <c r="D180" s="411">
        <f>IF(COUNT(M180:V180)&gt;0,MEDIAN(M180:V180),"")</f>
        <v>17.863322790145276</v>
      </c>
      <c r="E180" s="411">
        <f>IF(COUNT(M180:V180)&gt;0,AVERAGE(M180:V180),"")</f>
        <v>17.981605672354515</v>
      </c>
      <c r="F180" s="411">
        <f>IF(COUNT(M180:V180)&gt;0,MIN(M180:V180),"")</f>
        <v>9.3337006176257749</v>
      </c>
      <c r="G180" s="411">
        <f>IF(COUNT(M180:V180)&gt;0,MAX(M180:V180),"")</f>
        <v>32.518939393939391</v>
      </c>
      <c r="H180" s="411">
        <f>IF(COUNT(M180:V180)&gt;0,QUARTILE(M180:V180,1),"")</f>
        <v>14.342214477145451</v>
      </c>
      <c r="I180" s="411">
        <f>IF(COUNT(M180:V180)&gt;0,QUARTILE(M180:V180,3),"")</f>
        <v>20.518275610690907</v>
      </c>
      <c r="J180" s="411">
        <f>IF(COUNT(M180:V180)&gt;1,STDEV(M180:V180),"")</f>
        <v>6.8107690537762151</v>
      </c>
      <c r="K180" s="344">
        <f>IF(COUNT(M180:V180)&gt;1,STDEV(M180:V180)/AVERAGE(M180:V180),"")</f>
        <v>0.37876311926066231</v>
      </c>
      <c r="L180" s="412"/>
      <c r="M180" s="412">
        <v>21.078651685393258</v>
      </c>
      <c r="N180" s="412">
        <v>14.150229943791519</v>
      </c>
      <c r="O180" s="412">
        <v>23.436482084690557</v>
      </c>
      <c r="P180" s="412">
        <v>32.518939393939391</v>
      </c>
      <c r="Q180" s="412">
        <v>14.918168077207248</v>
      </c>
      <c r="R180" s="417">
        <v>18.369205298013245</v>
      </c>
      <c r="S180" s="412">
        <v>9.3337006176257749</v>
      </c>
      <c r="T180" s="412">
        <v>9.8160919540229887</v>
      </c>
      <c r="U180" s="412">
        <v>18.837147386583862</v>
      </c>
      <c r="V180" s="412">
        <v>17.35744028227731</v>
      </c>
      <c r="X180" s="390"/>
      <c r="Y180" s="388"/>
      <c r="Z180" s="388"/>
      <c r="AA180" s="388"/>
      <c r="AB180" s="388"/>
      <c r="AC180" s="388"/>
      <c r="AD180" s="388"/>
      <c r="AE180" s="388"/>
      <c r="AF180" s="388"/>
      <c r="AG180" s="388"/>
      <c r="AH180" s="388"/>
      <c r="AI180" s="388"/>
      <c r="AJ180" s="388"/>
      <c r="AK180" s="388"/>
      <c r="AL180" s="388"/>
      <c r="AM180" s="388"/>
      <c r="AN180" s="388"/>
      <c r="AO180" s="388"/>
      <c r="AP180" s="388"/>
      <c r="AQ180" s="388"/>
      <c r="AR180" s="388"/>
      <c r="AS180" s="388"/>
    </row>
    <row r="181" spans="1:45" x14ac:dyDescent="0.2">
      <c r="A181" s="332"/>
      <c r="C181" s="342"/>
      <c r="D181" s="357"/>
      <c r="E181" s="357"/>
      <c r="F181" s="357"/>
      <c r="G181" s="357"/>
      <c r="H181" s="357"/>
      <c r="I181" s="357"/>
      <c r="J181" s="357"/>
      <c r="K181" s="357"/>
      <c r="L181" s="358"/>
      <c r="M181" s="358"/>
      <c r="N181" s="358"/>
      <c r="O181" s="358"/>
      <c r="P181" s="358"/>
      <c r="Q181" s="358"/>
      <c r="R181" s="359"/>
      <c r="S181" s="358"/>
      <c r="T181" s="358"/>
      <c r="U181" s="358"/>
      <c r="V181" s="358"/>
      <c r="X181" s="390"/>
      <c r="Y181" s="388"/>
      <c r="Z181" s="388"/>
      <c r="AA181" s="388"/>
      <c r="AB181" s="388"/>
      <c r="AC181" s="388"/>
      <c r="AD181" s="388"/>
      <c r="AE181" s="388"/>
      <c r="AF181" s="388"/>
      <c r="AG181" s="388"/>
      <c r="AH181" s="388"/>
      <c r="AI181" s="388"/>
      <c r="AJ181" s="388"/>
      <c r="AK181" s="388"/>
      <c r="AL181" s="388"/>
      <c r="AM181" s="388"/>
      <c r="AN181" s="388"/>
      <c r="AO181" s="388"/>
      <c r="AP181" s="388"/>
      <c r="AQ181" s="388"/>
      <c r="AR181" s="388"/>
      <c r="AS181" s="388"/>
    </row>
    <row r="182" spans="1:45" x14ac:dyDescent="0.2">
      <c r="A182" s="332"/>
      <c r="C182" s="342"/>
      <c r="D182" s="357"/>
      <c r="E182" s="357"/>
      <c r="F182" s="357"/>
      <c r="G182" s="357"/>
      <c r="H182" s="357"/>
      <c r="I182" s="357"/>
      <c r="J182" s="357"/>
      <c r="K182" s="357"/>
      <c r="L182" s="358"/>
      <c r="M182" s="358"/>
      <c r="N182" s="358"/>
      <c r="O182" s="358"/>
      <c r="P182" s="358"/>
      <c r="Q182" s="358"/>
      <c r="R182" s="359"/>
      <c r="S182" s="358"/>
      <c r="T182" s="358"/>
      <c r="U182" s="358"/>
      <c r="V182" s="358"/>
      <c r="X182" s="390"/>
      <c r="Y182" s="388"/>
      <c r="Z182" s="388"/>
      <c r="AA182" s="388"/>
      <c r="AB182" s="388"/>
      <c r="AC182" s="388"/>
      <c r="AD182" s="388"/>
      <c r="AE182" s="388"/>
      <c r="AF182" s="388"/>
      <c r="AG182" s="388"/>
      <c r="AH182" s="388"/>
      <c r="AI182" s="388"/>
      <c r="AJ182" s="388"/>
      <c r="AK182" s="388"/>
      <c r="AL182" s="388"/>
      <c r="AM182" s="388"/>
      <c r="AN182" s="388"/>
      <c r="AO182" s="388"/>
      <c r="AP182" s="388"/>
      <c r="AQ182" s="388"/>
      <c r="AR182" s="388"/>
      <c r="AS182" s="388"/>
    </row>
    <row r="183" spans="1:45" x14ac:dyDescent="0.2">
      <c r="A183" s="332"/>
      <c r="C183" s="342"/>
      <c r="D183" s="357"/>
      <c r="E183" s="357"/>
      <c r="F183" s="357"/>
      <c r="G183" s="357"/>
      <c r="H183" s="357"/>
      <c r="I183" s="357"/>
      <c r="J183" s="357"/>
      <c r="K183" s="357"/>
      <c r="L183" s="358"/>
      <c r="M183" s="358"/>
      <c r="N183" s="358"/>
      <c r="O183" s="358"/>
      <c r="P183" s="358"/>
      <c r="Q183" s="358"/>
      <c r="R183" s="359"/>
      <c r="S183" s="358"/>
      <c r="T183" s="358"/>
      <c r="U183" s="358"/>
      <c r="V183" s="358"/>
      <c r="X183" s="390"/>
      <c r="Y183" s="388"/>
      <c r="Z183" s="388"/>
      <c r="AA183" s="388"/>
      <c r="AB183" s="388"/>
      <c r="AC183" s="388"/>
      <c r="AD183" s="388"/>
      <c r="AE183" s="388"/>
      <c r="AF183" s="388"/>
      <c r="AG183" s="388"/>
      <c r="AH183" s="388"/>
      <c r="AI183" s="388"/>
      <c r="AJ183" s="388"/>
      <c r="AK183" s="388"/>
      <c r="AL183" s="388"/>
      <c r="AM183" s="388"/>
      <c r="AN183" s="388"/>
      <c r="AO183" s="388"/>
      <c r="AP183" s="388"/>
      <c r="AQ183" s="388"/>
      <c r="AR183" s="388"/>
      <c r="AS183" s="388"/>
    </row>
    <row r="184" spans="1:45" x14ac:dyDescent="0.2">
      <c r="A184" s="332"/>
      <c r="C184" s="342"/>
      <c r="D184" s="357"/>
      <c r="E184" s="357"/>
      <c r="F184" s="357"/>
      <c r="G184" s="357"/>
      <c r="H184" s="357"/>
      <c r="I184" s="357"/>
      <c r="J184" s="357"/>
      <c r="K184" s="357"/>
      <c r="L184" s="358"/>
      <c r="M184" s="358"/>
      <c r="N184" s="358"/>
      <c r="O184" s="358"/>
      <c r="P184" s="358"/>
      <c r="Q184" s="358"/>
      <c r="R184" s="359"/>
      <c r="S184" s="358"/>
      <c r="T184" s="358"/>
      <c r="U184" s="358"/>
      <c r="V184" s="358"/>
      <c r="X184" s="390"/>
      <c r="Y184" s="388"/>
      <c r="Z184" s="388"/>
      <c r="AA184" s="388"/>
      <c r="AB184" s="388"/>
      <c r="AC184" s="388"/>
      <c r="AD184" s="388"/>
      <c r="AE184" s="388"/>
      <c r="AF184" s="388"/>
      <c r="AG184" s="388"/>
      <c r="AH184" s="388"/>
      <c r="AI184" s="388"/>
      <c r="AJ184" s="388"/>
      <c r="AK184" s="388"/>
      <c r="AL184" s="388"/>
      <c r="AM184" s="388"/>
      <c r="AN184" s="388"/>
      <c r="AO184" s="388"/>
      <c r="AP184" s="388"/>
      <c r="AQ184" s="388"/>
      <c r="AR184" s="388"/>
      <c r="AS184" s="388"/>
    </row>
    <row r="185" spans="1:45" x14ac:dyDescent="0.2">
      <c r="A185" s="332"/>
      <c r="C185" s="342"/>
      <c r="D185" s="357"/>
      <c r="E185" s="357"/>
      <c r="F185" s="357"/>
      <c r="G185" s="357"/>
      <c r="H185" s="357"/>
      <c r="I185" s="357"/>
      <c r="J185" s="357"/>
      <c r="K185" s="357"/>
      <c r="L185" s="358"/>
      <c r="M185" s="358"/>
      <c r="N185" s="358"/>
      <c r="O185" s="358"/>
      <c r="P185" s="358"/>
      <c r="Q185" s="358"/>
      <c r="R185" s="359"/>
      <c r="S185" s="358"/>
      <c r="T185" s="358"/>
      <c r="U185" s="358"/>
      <c r="V185" s="358"/>
      <c r="X185" s="390"/>
      <c r="Y185" s="388"/>
      <c r="Z185" s="388"/>
      <c r="AA185" s="388"/>
      <c r="AB185" s="388"/>
      <c r="AC185" s="388"/>
      <c r="AD185" s="388"/>
      <c r="AE185" s="388"/>
      <c r="AF185" s="388"/>
      <c r="AG185" s="388"/>
      <c r="AH185" s="388"/>
      <c r="AI185" s="388"/>
      <c r="AJ185" s="388"/>
      <c r="AK185" s="388"/>
      <c r="AL185" s="388"/>
      <c r="AM185" s="388"/>
      <c r="AN185" s="388"/>
      <c r="AO185" s="388"/>
      <c r="AP185" s="388"/>
      <c r="AQ185" s="388"/>
      <c r="AR185" s="388"/>
      <c r="AS185" s="388"/>
    </row>
    <row r="186" spans="1:45" x14ac:dyDescent="0.2">
      <c r="A186" s="332"/>
      <c r="C186" s="342"/>
      <c r="D186" s="357"/>
      <c r="E186" s="357"/>
      <c r="F186" s="357"/>
      <c r="G186" s="357"/>
      <c r="H186" s="357"/>
      <c r="I186" s="357"/>
      <c r="J186" s="357"/>
      <c r="K186" s="357"/>
      <c r="L186" s="358"/>
      <c r="M186" s="358"/>
      <c r="N186" s="358"/>
      <c r="O186" s="358"/>
      <c r="P186" s="358"/>
      <c r="Q186" s="358"/>
      <c r="R186" s="359"/>
      <c r="S186" s="358"/>
      <c r="T186" s="358"/>
      <c r="U186" s="358"/>
      <c r="V186" s="358"/>
      <c r="X186" s="390"/>
      <c r="Y186" s="388"/>
      <c r="Z186" s="388"/>
      <c r="AA186" s="388"/>
      <c r="AB186" s="388"/>
      <c r="AC186" s="388"/>
      <c r="AD186" s="388"/>
      <c r="AE186" s="388"/>
      <c r="AF186" s="388"/>
      <c r="AG186" s="388"/>
      <c r="AH186" s="388"/>
      <c r="AI186" s="388"/>
      <c r="AJ186" s="388"/>
      <c r="AK186" s="388"/>
      <c r="AL186" s="388"/>
      <c r="AM186" s="388"/>
      <c r="AN186" s="388"/>
      <c r="AO186" s="388"/>
      <c r="AP186" s="388"/>
      <c r="AQ186" s="388"/>
      <c r="AR186" s="388"/>
      <c r="AS186" s="388"/>
    </row>
    <row r="187" spans="1:45" x14ac:dyDescent="0.2">
      <c r="A187" s="332"/>
      <c r="C187" s="342"/>
      <c r="D187" s="357"/>
      <c r="E187" s="357"/>
      <c r="F187" s="357"/>
      <c r="G187" s="357"/>
      <c r="H187" s="357"/>
      <c r="I187" s="357"/>
      <c r="J187" s="357"/>
      <c r="K187" s="357"/>
      <c r="L187" s="358"/>
      <c r="M187" s="358"/>
      <c r="N187" s="358"/>
      <c r="O187" s="358"/>
      <c r="P187" s="358"/>
      <c r="Q187" s="358"/>
      <c r="R187" s="359"/>
      <c r="S187" s="358"/>
      <c r="T187" s="358"/>
      <c r="U187" s="358"/>
      <c r="V187" s="358"/>
      <c r="X187" s="390"/>
      <c r="Y187" s="388"/>
      <c r="Z187" s="388"/>
      <c r="AA187" s="388"/>
      <c r="AB187" s="388"/>
      <c r="AC187" s="388"/>
      <c r="AD187" s="388"/>
      <c r="AE187" s="388"/>
      <c r="AF187" s="388"/>
      <c r="AG187" s="388"/>
      <c r="AH187" s="388"/>
      <c r="AI187" s="388"/>
      <c r="AJ187" s="388"/>
      <c r="AK187" s="388"/>
      <c r="AL187" s="388"/>
      <c r="AM187" s="388"/>
      <c r="AN187" s="388"/>
      <c r="AO187" s="388"/>
      <c r="AP187" s="388"/>
      <c r="AQ187" s="388"/>
      <c r="AR187" s="388"/>
      <c r="AS187" s="388"/>
    </row>
    <row r="188" spans="1:45" x14ac:dyDescent="0.2">
      <c r="A188" s="332"/>
      <c r="C188" s="342"/>
      <c r="D188" s="357"/>
      <c r="E188" s="357"/>
      <c r="F188" s="357"/>
      <c r="G188" s="357"/>
      <c r="H188" s="357"/>
      <c r="I188" s="357"/>
      <c r="J188" s="357"/>
      <c r="K188" s="357"/>
      <c r="L188" s="358"/>
      <c r="M188" s="358"/>
      <c r="N188" s="358"/>
      <c r="O188" s="358"/>
      <c r="P188" s="358"/>
      <c r="Q188" s="358"/>
      <c r="R188" s="359"/>
      <c r="S188" s="358"/>
      <c r="T188" s="358"/>
      <c r="U188" s="358"/>
      <c r="V188" s="358"/>
      <c r="X188" s="390"/>
      <c r="Y188" s="388"/>
      <c r="Z188" s="388"/>
      <c r="AA188" s="388"/>
      <c r="AB188" s="388"/>
      <c r="AC188" s="388"/>
      <c r="AD188" s="388"/>
      <c r="AE188" s="388"/>
      <c r="AF188" s="388"/>
      <c r="AG188" s="388"/>
      <c r="AH188" s="388"/>
      <c r="AI188" s="388"/>
      <c r="AJ188" s="388"/>
      <c r="AK188" s="388"/>
      <c r="AL188" s="388"/>
      <c r="AM188" s="388"/>
      <c r="AN188" s="388"/>
      <c r="AO188" s="388"/>
      <c r="AP188" s="388"/>
      <c r="AQ188" s="388"/>
      <c r="AR188" s="388"/>
      <c r="AS188" s="388"/>
    </row>
    <row r="189" spans="1:45" x14ac:dyDescent="0.2">
      <c r="A189" s="332"/>
      <c r="C189" s="342"/>
      <c r="D189" s="357"/>
      <c r="E189" s="357"/>
      <c r="F189" s="357"/>
      <c r="G189" s="357"/>
      <c r="H189" s="357"/>
      <c r="I189" s="357"/>
      <c r="J189" s="357"/>
      <c r="K189" s="357"/>
      <c r="L189" s="358"/>
      <c r="M189" s="358"/>
      <c r="N189" s="358"/>
      <c r="O189" s="358"/>
      <c r="P189" s="358"/>
      <c r="Q189" s="358"/>
      <c r="R189" s="359"/>
      <c r="S189" s="358"/>
      <c r="T189" s="358"/>
      <c r="U189" s="358"/>
      <c r="V189" s="358"/>
      <c r="X189" s="390"/>
      <c r="Y189" s="388"/>
      <c r="Z189" s="388"/>
      <c r="AA189" s="388"/>
      <c r="AB189" s="388"/>
      <c r="AC189" s="388"/>
      <c r="AD189" s="388"/>
      <c r="AE189" s="388"/>
      <c r="AF189" s="388"/>
      <c r="AG189" s="388"/>
      <c r="AH189" s="388"/>
      <c r="AI189" s="388"/>
      <c r="AJ189" s="388"/>
      <c r="AK189" s="388"/>
      <c r="AL189" s="388"/>
      <c r="AM189" s="388"/>
      <c r="AN189" s="388"/>
      <c r="AO189" s="388"/>
      <c r="AP189" s="388"/>
      <c r="AQ189" s="388"/>
      <c r="AR189" s="388"/>
      <c r="AS189" s="388"/>
    </row>
    <row r="190" spans="1:45" x14ac:dyDescent="0.2">
      <c r="A190" s="332">
        <v>1</v>
      </c>
      <c r="D190" s="357"/>
      <c r="E190" s="357"/>
      <c r="F190" s="357"/>
      <c r="G190" s="357"/>
      <c r="H190" s="357"/>
      <c r="I190" s="357"/>
      <c r="J190" s="357"/>
      <c r="K190" s="357"/>
      <c r="L190" s="358"/>
      <c r="X190" s="390"/>
      <c r="Y190" s="388"/>
      <c r="Z190" s="388"/>
      <c r="AA190" s="388"/>
      <c r="AB190" s="388"/>
      <c r="AC190" s="388"/>
      <c r="AD190" s="388"/>
      <c r="AE190" s="388"/>
      <c r="AF190" s="388"/>
      <c r="AG190" s="388"/>
      <c r="AH190" s="388"/>
      <c r="AI190" s="388"/>
      <c r="AJ190" s="388"/>
      <c r="AK190" s="388"/>
      <c r="AL190" s="388"/>
      <c r="AM190" s="388"/>
      <c r="AN190" s="388"/>
      <c r="AO190" s="388"/>
      <c r="AP190" s="388"/>
      <c r="AQ190" s="388"/>
      <c r="AR190" s="388"/>
      <c r="AS190" s="388"/>
    </row>
    <row r="191" spans="1:45" x14ac:dyDescent="0.2">
      <c r="A191" s="332"/>
      <c r="X191" s="390"/>
      <c r="Y191" s="388"/>
      <c r="Z191" s="388"/>
      <c r="AA191" s="388"/>
      <c r="AB191" s="388"/>
      <c r="AC191" s="388"/>
      <c r="AD191" s="388"/>
      <c r="AE191" s="388"/>
      <c r="AF191" s="388"/>
      <c r="AG191" s="388"/>
      <c r="AH191" s="388"/>
      <c r="AI191" s="388"/>
      <c r="AJ191" s="388"/>
      <c r="AK191" s="388"/>
      <c r="AL191" s="388"/>
      <c r="AM191" s="388"/>
      <c r="AN191" s="388"/>
      <c r="AO191" s="388"/>
      <c r="AP191" s="388"/>
      <c r="AQ191" s="388"/>
      <c r="AR191" s="388"/>
      <c r="AS191" s="388"/>
    </row>
    <row r="192" spans="1:45" x14ac:dyDescent="0.2">
      <c r="A192" s="332"/>
      <c r="X192" s="390"/>
      <c r="Y192" s="388"/>
      <c r="Z192" s="388"/>
      <c r="AA192" s="388"/>
      <c r="AB192" s="388"/>
      <c r="AC192" s="388"/>
      <c r="AD192" s="388"/>
      <c r="AE192" s="388"/>
      <c r="AF192" s="388"/>
      <c r="AG192" s="388"/>
      <c r="AH192" s="388"/>
      <c r="AI192" s="388"/>
      <c r="AJ192" s="388"/>
      <c r="AK192" s="388"/>
      <c r="AL192" s="388"/>
      <c r="AM192" s="388"/>
      <c r="AN192" s="388"/>
      <c r="AO192" s="388"/>
      <c r="AP192" s="388"/>
      <c r="AQ192" s="388"/>
      <c r="AR192" s="388"/>
      <c r="AS192" s="388"/>
    </row>
    <row r="193" spans="1:45" x14ac:dyDescent="0.2">
      <c r="A193" s="332"/>
      <c r="C193" s="363" t="s">
        <v>682</v>
      </c>
      <c r="X193" s="390"/>
      <c r="Y193" s="388"/>
      <c r="Z193" s="388"/>
      <c r="AA193" s="388"/>
      <c r="AB193" s="388"/>
      <c r="AC193" s="388"/>
      <c r="AD193" s="388"/>
      <c r="AE193" s="388"/>
      <c r="AF193" s="388"/>
      <c r="AG193" s="388"/>
      <c r="AH193" s="388"/>
      <c r="AI193" s="388"/>
      <c r="AJ193" s="388"/>
      <c r="AK193" s="388"/>
      <c r="AL193" s="388"/>
      <c r="AM193" s="388"/>
      <c r="AN193" s="388"/>
      <c r="AO193" s="388"/>
      <c r="AP193" s="388"/>
      <c r="AQ193" s="388"/>
      <c r="AR193" s="388"/>
      <c r="AS193" s="388"/>
    </row>
    <row r="194" spans="1:45" x14ac:dyDescent="0.2">
      <c r="A194" s="332"/>
      <c r="C194" s="363" t="s">
        <v>683</v>
      </c>
      <c r="X194" s="390"/>
      <c r="Y194" s="388"/>
      <c r="Z194" s="388"/>
      <c r="AA194" s="388"/>
      <c r="AB194" s="388"/>
      <c r="AC194" s="388"/>
      <c r="AD194" s="388"/>
      <c r="AE194" s="388"/>
      <c r="AF194" s="388"/>
      <c r="AG194" s="388"/>
      <c r="AH194" s="388"/>
      <c r="AI194" s="388"/>
      <c r="AJ194" s="388"/>
      <c r="AK194" s="388"/>
      <c r="AL194" s="388"/>
      <c r="AM194" s="388"/>
      <c r="AN194" s="388"/>
      <c r="AO194" s="388"/>
      <c r="AP194" s="388"/>
      <c r="AQ194" s="388"/>
      <c r="AR194" s="388"/>
      <c r="AS194" s="388"/>
    </row>
    <row r="195" spans="1:45" ht="17" thickBot="1" x14ac:dyDescent="0.25">
      <c r="A195" s="332"/>
      <c r="X195" s="390"/>
      <c r="Y195" s="388"/>
      <c r="Z195" s="388"/>
      <c r="AA195" s="388"/>
      <c r="AB195" s="388"/>
      <c r="AC195" s="388"/>
      <c r="AD195" s="388"/>
      <c r="AE195" s="388"/>
      <c r="AF195" s="388"/>
      <c r="AG195" s="388"/>
      <c r="AH195" s="388"/>
      <c r="AI195" s="388"/>
      <c r="AJ195" s="388"/>
      <c r="AK195" s="388"/>
      <c r="AL195" s="388"/>
      <c r="AM195" s="388"/>
      <c r="AN195" s="388"/>
      <c r="AO195" s="388"/>
      <c r="AP195" s="388"/>
      <c r="AQ195" s="388"/>
      <c r="AR195" s="388"/>
      <c r="AS195" s="388"/>
    </row>
    <row r="196" spans="1:45" x14ac:dyDescent="0.2">
      <c r="A196" s="329"/>
      <c r="B196" s="364"/>
      <c r="C196" s="364"/>
      <c r="D196" s="364"/>
      <c r="E196" s="364"/>
      <c r="F196" s="364"/>
      <c r="G196" s="364"/>
      <c r="H196" s="364"/>
      <c r="I196" s="364"/>
      <c r="J196" s="364"/>
      <c r="K196" s="364"/>
      <c r="L196" s="364"/>
      <c r="M196" s="364"/>
      <c r="N196" s="364"/>
      <c r="O196" s="364"/>
      <c r="P196" s="364"/>
      <c r="Q196" s="364"/>
      <c r="R196" s="365"/>
      <c r="S196" s="364"/>
      <c r="T196" s="364"/>
      <c r="U196" s="364"/>
      <c r="V196" s="364"/>
      <c r="W196" s="364"/>
      <c r="X196" s="388"/>
      <c r="Y196" s="388"/>
      <c r="Z196" s="388"/>
      <c r="AA196" s="388"/>
      <c r="AB196" s="388"/>
      <c r="AC196" s="388"/>
      <c r="AD196" s="388"/>
      <c r="AE196" s="388"/>
      <c r="AF196" s="388"/>
      <c r="AG196" s="388"/>
      <c r="AH196" s="388"/>
      <c r="AI196" s="388"/>
      <c r="AJ196" s="388"/>
      <c r="AK196" s="388"/>
      <c r="AL196" s="388"/>
      <c r="AM196" s="388"/>
      <c r="AN196" s="388"/>
      <c r="AO196" s="388"/>
      <c r="AP196" s="388"/>
      <c r="AQ196" s="388"/>
      <c r="AR196" s="388"/>
      <c r="AS196" s="388"/>
    </row>
  </sheetData>
  <mergeCells count="8">
    <mergeCell ref="J5:J6"/>
    <mergeCell ref="K5:K6"/>
    <mergeCell ref="D5:D6"/>
    <mergeCell ref="E5:E6"/>
    <mergeCell ref="F5:F6"/>
    <mergeCell ref="G5:G6"/>
    <mergeCell ref="H5:H6"/>
    <mergeCell ref="I5:I6"/>
  </mergeCells>
  <conditionalFormatting sqref="D10:V10 D19:V19 D36:V37 D77:V78 D85:V91 D94:V97 D101:V101 D105:V107 D147:V147 D171:V171">
    <cfRule type="expression" dxfId="7" priority="1">
      <formula>NOT(SUBTOTAL(109,$A11)=$A11)</formula>
    </cfRule>
  </conditionalFormatting>
  <hyperlinks>
    <hyperlink ref="M4" r:id="rId1" xr:uid="{00258714-A9C9-4544-B525-168016A6F3ED}"/>
    <hyperlink ref="M5" r:id="rId2" xr:uid="{A1F0BCFE-0D19-4441-9C5B-189D900EBE89}"/>
    <hyperlink ref="N4" r:id="rId3" xr:uid="{90B72315-7F2E-3F44-84A7-AA3EE7F2587F}"/>
    <hyperlink ref="N5" r:id="rId4" xr:uid="{5DA01AE6-C0B0-D445-BD63-2B1E7B5E9953}"/>
    <hyperlink ref="O4" r:id="rId5" xr:uid="{F5FCFED9-F8A0-5746-BC3F-B4CC4656BA0F}"/>
    <hyperlink ref="O5" r:id="rId6" xr:uid="{8EE592BE-4F81-3344-8676-BCD54BADDDAC}"/>
    <hyperlink ref="P4" r:id="rId7" xr:uid="{F1AC97A4-F8A7-E54D-B581-2A3C5D22181A}"/>
    <hyperlink ref="P5" r:id="rId8" xr:uid="{C6D291F9-013C-5543-86E7-DEAFFF755066}"/>
    <hyperlink ref="Q4" r:id="rId9" xr:uid="{F3430B6E-5043-9241-93FE-09DE279AF28E}"/>
    <hyperlink ref="Q5" r:id="rId10" xr:uid="{0CA9B68D-FC84-7B4A-BE12-69A0D5F62F66}"/>
    <hyperlink ref="R4" r:id="rId11" xr:uid="{3E3ED4F8-25C5-3A43-AFB1-F3D60BFB63CC}"/>
    <hyperlink ref="R5" r:id="rId12" xr:uid="{C9ABE3AD-9850-4046-B096-23A435DAEE5D}"/>
    <hyperlink ref="S4" r:id="rId13" xr:uid="{47DD2398-BDFE-8A40-B052-07E0928AB5FD}"/>
    <hyperlink ref="S5" r:id="rId14" xr:uid="{5532A00B-8CF0-AD40-9306-1C8CFF2A1C13}"/>
    <hyperlink ref="T4" r:id="rId15" xr:uid="{A008FE49-96F7-5441-A740-E4DAD381A2DE}"/>
    <hyperlink ref="T5" r:id="rId16" xr:uid="{AF375FE7-D132-194B-A100-EFDA6AB97F28}"/>
    <hyperlink ref="U4" r:id="rId17" xr:uid="{F6235548-02C6-EF4F-8802-D3FD176155DF}"/>
    <hyperlink ref="U5" r:id="rId18" xr:uid="{ED8B4782-38F5-7545-9C2F-5CDF05ACD759}"/>
    <hyperlink ref="V4" r:id="rId19" xr:uid="{B954E8D8-EFCD-5641-B531-49524B00E545}"/>
    <hyperlink ref="V5" r:id="rId20" xr:uid="{413646FF-D3D4-6641-B5F9-BBF060CB6F40}"/>
  </hyperlinks>
  <pageMargins left="0.7" right="0.7" top="0.75" bottom="0.75" header="0.3" footer="0.3"/>
  <drawing r:id="rId2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4623-EDF1-AE4D-9DFD-AD3C6F5648E2}">
  <dimension ref="A1:O53"/>
  <sheetViews>
    <sheetView zoomScale="150" zoomScaleNormal="150" workbookViewId="0">
      <selection activeCell="I3" sqref="I3:K6"/>
    </sheetView>
  </sheetViews>
  <sheetFormatPr baseColWidth="10" defaultRowHeight="16" x14ac:dyDescent="0.2"/>
  <cols>
    <col min="1" max="1" width="59" style="439" bestFit="1" customWidth="1"/>
    <col min="2" max="2" width="20.1640625" style="439" bestFit="1" customWidth="1"/>
    <col min="3" max="4" width="10.83203125" style="439"/>
    <col min="5" max="5" width="23.6640625" style="439" bestFit="1" customWidth="1"/>
    <col min="6" max="6" width="10.33203125" style="440" bestFit="1" customWidth="1"/>
    <col min="7" max="7" width="9.5" style="440" customWidth="1"/>
    <col min="8" max="8" width="19.83203125" style="440" customWidth="1"/>
    <col min="9" max="9" width="22.83203125" style="439" bestFit="1" customWidth="1"/>
    <col min="10" max="10" width="23.1640625" style="439" bestFit="1" customWidth="1"/>
    <col min="11" max="11" width="23.6640625" style="439" bestFit="1" customWidth="1"/>
    <col min="12" max="12" width="10.83203125" style="439"/>
    <col min="13" max="13" width="7.83203125" style="439" customWidth="1"/>
    <col min="14" max="16384" width="10.83203125" style="439"/>
  </cols>
  <sheetData>
    <row r="1" spans="1:15" x14ac:dyDescent="0.2">
      <c r="A1" s="440" t="s">
        <v>731</v>
      </c>
      <c r="E1" s="440" t="s">
        <v>1010</v>
      </c>
      <c r="G1" s="439"/>
    </row>
    <row r="2" spans="1:15" x14ac:dyDescent="0.2">
      <c r="A2" s="450" t="s">
        <v>732</v>
      </c>
      <c r="B2" s="452">
        <f>Equity!C255</f>
        <v>110.18396</v>
      </c>
      <c r="E2" s="481" t="s">
        <v>991</v>
      </c>
      <c r="F2" s="481" t="s">
        <v>992</v>
      </c>
      <c r="G2" s="481" t="s">
        <v>993</v>
      </c>
      <c r="H2" s="481" t="s">
        <v>994</v>
      </c>
      <c r="I2" s="439" t="s">
        <v>1011</v>
      </c>
    </row>
    <row r="3" spans="1:15" x14ac:dyDescent="0.2">
      <c r="A3" s="451" t="s">
        <v>733</v>
      </c>
      <c r="B3" s="453">
        <f>'Valuation (DCF) Model'!C46</f>
        <v>259.4696231018201</v>
      </c>
      <c r="E3" s="439" t="s">
        <v>995</v>
      </c>
      <c r="F3" s="482">
        <v>4</v>
      </c>
      <c r="G3" s="483">
        <v>5</v>
      </c>
      <c r="H3" s="439" t="s">
        <v>1005</v>
      </c>
      <c r="I3" s="498" t="s">
        <v>995</v>
      </c>
      <c r="J3" s="507" t="s">
        <v>1003</v>
      </c>
      <c r="K3" s="499" t="s">
        <v>998</v>
      </c>
      <c r="L3" s="439" t="s">
        <v>1008</v>
      </c>
      <c r="M3" s="439" t="s">
        <v>1009</v>
      </c>
      <c r="N3" s="439" t="s">
        <v>1006</v>
      </c>
      <c r="O3" s="439" t="s">
        <v>1007</v>
      </c>
    </row>
    <row r="4" spans="1:15" x14ac:dyDescent="0.2">
      <c r="A4" s="450" t="s">
        <v>734</v>
      </c>
      <c r="B4" s="454">
        <f>'Valuation (DCF) Model'!C49</f>
        <v>1.354876545568158</v>
      </c>
      <c r="E4" s="439" t="s">
        <v>996</v>
      </c>
      <c r="F4" s="484">
        <v>3</v>
      </c>
      <c r="G4" s="484">
        <v>3</v>
      </c>
      <c r="H4" s="439" t="s">
        <v>1006</v>
      </c>
      <c r="I4" s="506" t="s">
        <v>1000</v>
      </c>
      <c r="J4" s="497" t="s">
        <v>999</v>
      </c>
      <c r="K4" s="504"/>
    </row>
    <row r="5" spans="1:15" x14ac:dyDescent="0.2">
      <c r="A5" s="451" t="s">
        <v>736</v>
      </c>
      <c r="B5" s="455">
        <f>'Valuation (DCF) Model'!C36</f>
        <v>2540</v>
      </c>
      <c r="E5" s="439" t="s">
        <v>997</v>
      </c>
      <c r="F5" s="485">
        <v>2</v>
      </c>
      <c r="G5" s="484">
        <v>3</v>
      </c>
      <c r="H5" s="439" t="s">
        <v>1006</v>
      </c>
      <c r="I5" s="500" t="s">
        <v>996</v>
      </c>
      <c r="J5" s="505"/>
      <c r="K5" s="501" t="s">
        <v>1002</v>
      </c>
    </row>
    <row r="6" spans="1:15" x14ac:dyDescent="0.2">
      <c r="A6" s="450" t="s">
        <v>737</v>
      </c>
      <c r="B6" s="456">
        <f>'Financial Analysis'!C13</f>
        <v>279867.25839999999</v>
      </c>
      <c r="E6" s="439" t="s">
        <v>998</v>
      </c>
      <c r="F6" s="484">
        <v>3</v>
      </c>
      <c r="G6" s="485">
        <v>2</v>
      </c>
      <c r="H6" s="439" t="s">
        <v>1006</v>
      </c>
      <c r="I6" s="502" t="s">
        <v>1004</v>
      </c>
      <c r="J6" s="504" t="s">
        <v>997</v>
      </c>
      <c r="K6" s="503" t="s">
        <v>1001</v>
      </c>
    </row>
    <row r="7" spans="1:15" x14ac:dyDescent="0.2">
      <c r="A7" s="451" t="s">
        <v>691</v>
      </c>
      <c r="B7" s="457">
        <f>'Cost of Capital'!L9</f>
        <v>0.39842290569347988</v>
      </c>
      <c r="E7" s="439" t="s">
        <v>999</v>
      </c>
      <c r="F7" s="482">
        <v>4</v>
      </c>
      <c r="G7" s="485">
        <v>2</v>
      </c>
      <c r="H7" s="439" t="s">
        <v>1006</v>
      </c>
    </row>
    <row r="8" spans="1:15" x14ac:dyDescent="0.2">
      <c r="A8" s="450" t="s">
        <v>735</v>
      </c>
      <c r="B8" s="458">
        <f>'Financial Analysis'!C16</f>
        <v>19.27593211653695</v>
      </c>
      <c r="E8" s="439" t="s">
        <v>1000</v>
      </c>
      <c r="F8" s="484">
        <v>3</v>
      </c>
      <c r="G8" s="482">
        <v>4</v>
      </c>
      <c r="H8" s="439" t="s">
        <v>1005</v>
      </c>
    </row>
    <row r="9" spans="1:15" x14ac:dyDescent="0.2">
      <c r="E9" s="439" t="s">
        <v>1002</v>
      </c>
      <c r="F9" s="485">
        <v>2</v>
      </c>
      <c r="G9" s="486">
        <v>1</v>
      </c>
      <c r="H9" s="439" t="s">
        <v>1007</v>
      </c>
    </row>
    <row r="10" spans="1:15" x14ac:dyDescent="0.2">
      <c r="A10" s="440" t="s">
        <v>765</v>
      </c>
      <c r="B10" s="440"/>
      <c r="E10" s="439" t="s">
        <v>1001</v>
      </c>
      <c r="F10" s="484">
        <v>3</v>
      </c>
      <c r="G10" s="486">
        <v>1</v>
      </c>
      <c r="H10" s="439" t="s">
        <v>1007</v>
      </c>
    </row>
    <row r="11" spans="1:15" x14ac:dyDescent="0.2">
      <c r="A11" s="442" t="s">
        <v>722</v>
      </c>
      <c r="B11" s="443" t="s">
        <v>723</v>
      </c>
      <c r="E11" s="439" t="s">
        <v>1003</v>
      </c>
      <c r="F11" s="484">
        <v>3</v>
      </c>
      <c r="G11" s="482">
        <v>4</v>
      </c>
      <c r="H11" s="439" t="s">
        <v>1005</v>
      </c>
    </row>
    <row r="12" spans="1:15" ht="36" x14ac:dyDescent="0.2">
      <c r="A12" s="445" t="s">
        <v>716</v>
      </c>
      <c r="B12" s="446" t="s">
        <v>710</v>
      </c>
      <c r="E12" s="439" t="s">
        <v>1004</v>
      </c>
      <c r="F12" s="485">
        <v>2</v>
      </c>
      <c r="G12" s="482">
        <v>4</v>
      </c>
      <c r="H12" s="439" t="s">
        <v>1006</v>
      </c>
    </row>
    <row r="13" spans="1:15" ht="144" x14ac:dyDescent="0.2">
      <c r="A13" s="447" t="s">
        <v>717</v>
      </c>
      <c r="B13" s="444" t="s">
        <v>711</v>
      </c>
    </row>
    <row r="14" spans="1:15" ht="120" x14ac:dyDescent="0.2">
      <c r="A14" s="445" t="s">
        <v>718</v>
      </c>
      <c r="B14" s="446" t="s">
        <v>712</v>
      </c>
    </row>
    <row r="15" spans="1:15" ht="36" x14ac:dyDescent="0.2">
      <c r="A15" s="447" t="s">
        <v>719</v>
      </c>
      <c r="B15" s="444" t="s">
        <v>713</v>
      </c>
    </row>
    <row r="16" spans="1:15" ht="48" x14ac:dyDescent="0.2">
      <c r="A16" s="445" t="s">
        <v>720</v>
      </c>
      <c r="B16" s="446" t="s">
        <v>714</v>
      </c>
    </row>
    <row r="17" spans="1:6" ht="120" x14ac:dyDescent="0.2">
      <c r="A17" s="448" t="s">
        <v>721</v>
      </c>
      <c r="B17" s="444" t="s">
        <v>715</v>
      </c>
    </row>
    <row r="18" spans="1:6" x14ac:dyDescent="0.2">
      <c r="A18" s="440" t="s">
        <v>724</v>
      </c>
      <c r="B18" s="440"/>
    </row>
    <row r="19" spans="1:6" x14ac:dyDescent="0.2">
      <c r="A19" s="440"/>
      <c r="B19" s="440"/>
    </row>
    <row r="20" spans="1:6" x14ac:dyDescent="0.2">
      <c r="A20" s="440" t="s">
        <v>1022</v>
      </c>
      <c r="B20" s="440"/>
      <c r="D20" s="440" t="s">
        <v>1023</v>
      </c>
    </row>
    <row r="21" spans="1:6" x14ac:dyDescent="0.2">
      <c r="A21" s="490" t="str">
        <f>'Financial Analysis'!B4</f>
        <v>Financial Information</v>
      </c>
      <c r="B21" s="491"/>
      <c r="D21" s="490" t="str">
        <f>'Financial Analysis'!B12</f>
        <v>Value Measurement</v>
      </c>
      <c r="E21" s="491"/>
    </row>
    <row r="22" spans="1:6" x14ac:dyDescent="0.2">
      <c r="A22" s="487" t="str">
        <f>'Financial Analysis'!B5</f>
        <v>Price per share</v>
      </c>
      <c r="B22" s="487">
        <f>'Financial Analysis'!C5</f>
        <v>110.18396</v>
      </c>
      <c r="D22" s="487" t="str">
        <f>'Financial Analysis'!B13</f>
        <v xml:space="preserve">   Market Capitalization (Market Value)</v>
      </c>
      <c r="E22" s="493">
        <f>'Financial Analysis'!C13</f>
        <v>279867.25839999999</v>
      </c>
    </row>
    <row r="23" spans="1:6" x14ac:dyDescent="0.2">
      <c r="A23" s="488" t="str">
        <f>'Financial Analysis'!B6</f>
        <v>Shares outstanding (millions)</v>
      </c>
      <c r="B23" s="488">
        <f>'Financial Analysis'!C6</f>
        <v>2540</v>
      </c>
      <c r="D23" s="488" t="str">
        <f>'Financial Analysis'!B14</f>
        <v xml:space="preserve">   Market Value Added (MVA)</v>
      </c>
      <c r="E23" s="494">
        <f>'Financial Analysis'!C14</f>
        <v>233876.25839999999</v>
      </c>
    </row>
    <row r="24" spans="1:6" x14ac:dyDescent="0.2">
      <c r="A24" s="488" t="str">
        <f>'Financial Analysis'!B7</f>
        <v>Interest Expense on the I/S</v>
      </c>
      <c r="B24" s="488">
        <f>'Financial Analysis'!C7</f>
        <v>962</v>
      </c>
      <c r="D24" s="488" t="str">
        <f>'Financial Analysis'!B15</f>
        <v xml:space="preserve">   Market to Book ratio</v>
      </c>
      <c r="E24" s="492">
        <f>'Financial Analysis'!C15</f>
        <v>6.0852614294101022</v>
      </c>
    </row>
    <row r="25" spans="1:6" x14ac:dyDescent="0.2">
      <c r="A25" s="488" t="str">
        <f>'Financial Analysis'!B8</f>
        <v>Weighted Average Cost of Capital (%)</v>
      </c>
      <c r="B25" s="489">
        <f>'Financial Analysis'!C8</f>
        <v>4.4223475004669069E-2</v>
      </c>
      <c r="D25" s="488" t="str">
        <f>'Financial Analysis'!B16</f>
        <v xml:space="preserve">   Price to Earnings</v>
      </c>
      <c r="E25" s="495">
        <f>'Financial Analysis'!C16</f>
        <v>19.27593211653695</v>
      </c>
    </row>
    <row r="26" spans="1:6" x14ac:dyDescent="0.2">
      <c r="A26" s="488" t="str">
        <f>'Financial Analysis'!B9</f>
        <v>Cost of Equity (%)</v>
      </c>
      <c r="B26" s="489">
        <f>'Financial Analysis'!C9</f>
        <v>4.6766881019563077E-2</v>
      </c>
    </row>
    <row r="27" spans="1:6" x14ac:dyDescent="0.2">
      <c r="A27" s="488" t="str">
        <f>'Financial Analysis'!B10</f>
        <v>Tax Rate (%)</v>
      </c>
      <c r="B27" s="489">
        <f>'Financial Analysis'!C10</f>
        <v>0.14099999999999999</v>
      </c>
    </row>
    <row r="30" spans="1:6" x14ac:dyDescent="0.2">
      <c r="A30" s="459" t="s">
        <v>739</v>
      </c>
      <c r="B30" s="459"/>
      <c r="C30" s="459"/>
      <c r="D30" s="459"/>
      <c r="E30" s="459"/>
      <c r="F30" s="459"/>
    </row>
    <row r="31" spans="1:6" x14ac:dyDescent="0.2">
      <c r="A31" s="460" t="s">
        <v>740</v>
      </c>
      <c r="B31" s="461">
        <v>2017</v>
      </c>
      <c r="C31" s="461">
        <v>2018</v>
      </c>
      <c r="D31" s="461">
        <v>2019</v>
      </c>
      <c r="E31" s="461">
        <v>2020</v>
      </c>
      <c r="F31" s="461">
        <v>2021</v>
      </c>
    </row>
    <row r="32" spans="1:6" x14ac:dyDescent="0.2">
      <c r="A32" s="462" t="s">
        <v>741</v>
      </c>
      <c r="B32" s="463">
        <v>12</v>
      </c>
      <c r="C32" s="463">
        <v>11</v>
      </c>
      <c r="D32" s="463">
        <v>12</v>
      </c>
      <c r="E32" s="463">
        <v>12</v>
      </c>
      <c r="F32" s="463">
        <v>12</v>
      </c>
    </row>
    <row r="33" spans="1:6" x14ac:dyDescent="0.2">
      <c r="A33" s="462" t="s">
        <v>742</v>
      </c>
      <c r="B33" s="464">
        <v>0.92</v>
      </c>
      <c r="C33" s="464">
        <v>0.92</v>
      </c>
      <c r="D33" s="464">
        <v>0.92</v>
      </c>
      <c r="E33" s="464">
        <v>0.92</v>
      </c>
      <c r="F33" s="464">
        <v>0.86</v>
      </c>
    </row>
    <row r="34" spans="1:6" x14ac:dyDescent="0.2">
      <c r="A34" s="462" t="s">
        <v>743</v>
      </c>
      <c r="B34" s="463" t="s">
        <v>680</v>
      </c>
      <c r="C34" s="463" t="s">
        <v>680</v>
      </c>
      <c r="D34" s="463" t="s">
        <v>680</v>
      </c>
      <c r="E34" s="463" t="s">
        <v>680</v>
      </c>
      <c r="F34" s="463" t="s">
        <v>681</v>
      </c>
    </row>
    <row r="35" spans="1:6" x14ac:dyDescent="0.2">
      <c r="A35" s="462" t="s">
        <v>744</v>
      </c>
      <c r="B35" s="463" t="s">
        <v>681</v>
      </c>
      <c r="C35" s="463" t="s">
        <v>681</v>
      </c>
      <c r="D35" s="465" t="s">
        <v>681</v>
      </c>
      <c r="E35" s="465" t="s">
        <v>681</v>
      </c>
      <c r="F35" s="465" t="s">
        <v>681</v>
      </c>
    </row>
    <row r="36" spans="1:6" x14ac:dyDescent="0.2">
      <c r="A36" s="462" t="s">
        <v>745</v>
      </c>
      <c r="B36" s="465" t="s">
        <v>681</v>
      </c>
      <c r="C36" s="465" t="s">
        <v>681</v>
      </c>
      <c r="D36" s="465" t="s">
        <v>681</v>
      </c>
      <c r="E36" s="465" t="s">
        <v>681</v>
      </c>
      <c r="F36" s="465" t="s">
        <v>681</v>
      </c>
    </row>
    <row r="37" spans="1:6" x14ac:dyDescent="0.2">
      <c r="A37" s="462" t="s">
        <v>746</v>
      </c>
      <c r="B37" s="465" t="s">
        <v>681</v>
      </c>
      <c r="C37" s="465" t="s">
        <v>681</v>
      </c>
      <c r="D37" s="465" t="s">
        <v>681</v>
      </c>
      <c r="E37" s="465" t="s">
        <v>681</v>
      </c>
      <c r="F37" s="465" t="s">
        <v>681</v>
      </c>
    </row>
    <row r="38" spans="1:6" x14ac:dyDescent="0.2">
      <c r="A38" s="462" t="s">
        <v>747</v>
      </c>
      <c r="B38" s="465" t="s">
        <v>681</v>
      </c>
      <c r="C38" s="465" t="s">
        <v>681</v>
      </c>
      <c r="D38" s="465" t="s">
        <v>681</v>
      </c>
      <c r="E38" s="465" t="s">
        <v>681</v>
      </c>
      <c r="F38" s="465" t="s">
        <v>681</v>
      </c>
    </row>
    <row r="39" spans="1:6" x14ac:dyDescent="0.2">
      <c r="A39" s="462" t="s">
        <v>748</v>
      </c>
      <c r="B39" s="464">
        <v>0.23</v>
      </c>
      <c r="C39" s="464">
        <v>0.33</v>
      </c>
      <c r="D39" s="464">
        <v>0.46</v>
      </c>
      <c r="E39" s="464">
        <v>0.46</v>
      </c>
      <c r="F39" s="464">
        <v>0.43</v>
      </c>
    </row>
    <row r="40" spans="1:6" x14ac:dyDescent="0.2">
      <c r="A40" s="462" t="s">
        <v>749</v>
      </c>
      <c r="B40" s="464">
        <v>0.15</v>
      </c>
      <c r="C40" s="464">
        <v>0.17</v>
      </c>
      <c r="D40" s="464">
        <v>0.23</v>
      </c>
      <c r="E40" s="464">
        <v>0.31</v>
      </c>
      <c r="F40" s="464">
        <v>0.21</v>
      </c>
    </row>
    <row r="41" spans="1:6" x14ac:dyDescent="0.2">
      <c r="A41" s="462" t="s">
        <v>750</v>
      </c>
      <c r="B41" s="463">
        <v>8</v>
      </c>
      <c r="C41" s="463">
        <v>6</v>
      </c>
      <c r="D41" s="463">
        <v>6</v>
      </c>
      <c r="E41" s="463">
        <v>7</v>
      </c>
      <c r="F41" s="463">
        <v>7</v>
      </c>
    </row>
    <row r="42" spans="1:6" x14ac:dyDescent="0.2">
      <c r="A42" s="462" t="s">
        <v>751</v>
      </c>
      <c r="B42" s="464">
        <v>0.95</v>
      </c>
      <c r="C42" s="464">
        <v>0.93</v>
      </c>
      <c r="D42" s="464">
        <v>0.92</v>
      </c>
      <c r="E42" s="464">
        <v>0.91</v>
      </c>
      <c r="F42" s="464">
        <v>0.92</v>
      </c>
    </row>
    <row r="43" spans="1:6" x14ac:dyDescent="0.2">
      <c r="A43" s="459"/>
      <c r="B43" s="459"/>
      <c r="C43" s="459"/>
      <c r="D43" s="459"/>
      <c r="E43" s="459"/>
      <c r="F43" s="459"/>
    </row>
    <row r="44" spans="1:6" x14ac:dyDescent="0.2">
      <c r="A44" s="459" t="s">
        <v>752</v>
      </c>
      <c r="B44" s="459"/>
      <c r="C44" s="459"/>
      <c r="D44" s="459"/>
      <c r="E44" s="459"/>
      <c r="F44" s="459"/>
    </row>
    <row r="45" spans="1:6" x14ac:dyDescent="0.2">
      <c r="A45" s="460" t="s">
        <v>753</v>
      </c>
      <c r="B45" s="461">
        <v>2017</v>
      </c>
      <c r="C45" s="461">
        <v>2018</v>
      </c>
      <c r="D45" s="461">
        <v>2019</v>
      </c>
      <c r="E45" s="461">
        <v>2020</v>
      </c>
      <c r="F45" s="461">
        <v>2021</v>
      </c>
    </row>
    <row r="46" spans="1:6" x14ac:dyDescent="0.2">
      <c r="A46" s="462" t="s">
        <v>754</v>
      </c>
      <c r="B46" s="463" t="s">
        <v>755</v>
      </c>
      <c r="C46" s="463">
        <v>451</v>
      </c>
      <c r="D46" s="463">
        <v>4</v>
      </c>
      <c r="E46" s="463">
        <v>8</v>
      </c>
      <c r="F46" s="463">
        <v>4</v>
      </c>
    </row>
    <row r="47" spans="1:6" x14ac:dyDescent="0.2">
      <c r="A47" s="462" t="s">
        <v>756</v>
      </c>
      <c r="B47" s="463">
        <v>195</v>
      </c>
      <c r="C47" s="463">
        <v>148</v>
      </c>
      <c r="D47" s="463">
        <v>190</v>
      </c>
      <c r="E47" s="463">
        <v>183</v>
      </c>
      <c r="F47" s="463">
        <v>137</v>
      </c>
    </row>
    <row r="48" spans="1:6" x14ac:dyDescent="0.2">
      <c r="A48" s="462" t="s">
        <v>757</v>
      </c>
      <c r="B48" s="463" t="s">
        <v>755</v>
      </c>
      <c r="C48" s="463" t="s">
        <v>755</v>
      </c>
      <c r="D48" s="463" t="s">
        <v>755</v>
      </c>
      <c r="E48" s="463">
        <v>185</v>
      </c>
      <c r="F48" s="463">
        <v>997</v>
      </c>
    </row>
    <row r="49" spans="1:6" x14ac:dyDescent="0.2">
      <c r="A49" s="462" t="s">
        <v>758</v>
      </c>
      <c r="B49" s="463">
        <v>466</v>
      </c>
      <c r="C49" s="463">
        <v>595</v>
      </c>
      <c r="D49" s="463">
        <v>706</v>
      </c>
      <c r="E49" s="463">
        <v>547</v>
      </c>
      <c r="F49" s="463">
        <v>127</v>
      </c>
    </row>
    <row r="50" spans="1:6" x14ac:dyDescent="0.2">
      <c r="A50" s="462" t="s">
        <v>759</v>
      </c>
      <c r="B50" s="463">
        <v>32</v>
      </c>
      <c r="C50" s="463">
        <v>104</v>
      </c>
      <c r="D50" s="463">
        <v>39</v>
      </c>
      <c r="E50" s="463">
        <v>47</v>
      </c>
      <c r="F50" s="463">
        <v>10</v>
      </c>
    </row>
    <row r="51" spans="1:6" x14ac:dyDescent="0.2">
      <c r="A51" s="462" t="s">
        <v>760</v>
      </c>
      <c r="B51" s="464">
        <v>1</v>
      </c>
      <c r="C51" s="464">
        <v>1</v>
      </c>
      <c r="D51" s="464">
        <v>0.99</v>
      </c>
      <c r="E51" s="464">
        <v>0.99</v>
      </c>
      <c r="F51" s="464">
        <v>0.13</v>
      </c>
    </row>
    <row r="52" spans="1:6" x14ac:dyDescent="0.2">
      <c r="A52" s="462" t="s">
        <v>761</v>
      </c>
      <c r="B52" s="463" t="s">
        <v>755</v>
      </c>
      <c r="C52" s="463" t="s">
        <v>755</v>
      </c>
      <c r="D52" s="463" t="s">
        <v>755</v>
      </c>
      <c r="E52" s="463">
        <v>1492</v>
      </c>
      <c r="F52" s="463">
        <v>1856</v>
      </c>
    </row>
    <row r="53" spans="1:6" x14ac:dyDescent="0.2">
      <c r="A53" s="462" t="s">
        <v>762</v>
      </c>
      <c r="B53" s="465" t="s">
        <v>755</v>
      </c>
      <c r="C53" s="465" t="s">
        <v>755</v>
      </c>
      <c r="D53" s="465" t="s">
        <v>755</v>
      </c>
      <c r="E53" s="463">
        <v>247</v>
      </c>
      <c r="F53" s="463">
        <v>212</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F4B48-AA23-A842-B64B-7883ECE5FB59}">
  <dimension ref="A1:Y209"/>
  <sheetViews>
    <sheetView topLeftCell="A108" zoomScale="82" zoomScaleNormal="68" workbookViewId="0">
      <selection activeCell="O180" sqref="O180"/>
    </sheetView>
  </sheetViews>
  <sheetFormatPr baseColWidth="10" defaultRowHeight="16" x14ac:dyDescent="0.2"/>
  <cols>
    <col min="1" max="1" width="26" style="1" customWidth="1"/>
    <col min="2" max="2" width="19.33203125" style="1" bestFit="1" customWidth="1"/>
    <col min="3" max="3" width="15" style="1" customWidth="1"/>
    <col min="4" max="4" width="22.6640625" style="1" customWidth="1"/>
    <col min="5" max="5" width="18.1640625" style="1" bestFit="1" customWidth="1"/>
    <col min="6" max="8" width="12.5" style="1" bestFit="1" customWidth="1"/>
    <col min="9" max="11" width="11.5" style="1" bestFit="1" customWidth="1"/>
    <col min="12" max="13" width="11" style="1" bestFit="1" customWidth="1"/>
    <col min="14" max="19" width="10.83203125" style="1"/>
    <col min="20" max="20" width="28.83203125" style="1" bestFit="1" customWidth="1"/>
    <col min="21" max="21" width="35.33203125" style="1" customWidth="1"/>
    <col min="22" max="16384" width="10.83203125" style="1"/>
  </cols>
  <sheetData>
    <row r="1" spans="1:21" x14ac:dyDescent="0.2">
      <c r="A1" s="257" t="s">
        <v>738</v>
      </c>
      <c r="J1" s="257" t="s">
        <v>727</v>
      </c>
      <c r="T1" s="513" t="s">
        <v>786</v>
      </c>
      <c r="U1" s="511" t="s">
        <v>787</v>
      </c>
    </row>
    <row r="2" spans="1:21" x14ac:dyDescent="0.2">
      <c r="T2" s="513"/>
      <c r="U2" s="511"/>
    </row>
    <row r="3" spans="1:21" x14ac:dyDescent="0.2">
      <c r="F3" s="1" t="s">
        <v>725</v>
      </c>
      <c r="P3" s="1" t="s">
        <v>726</v>
      </c>
      <c r="T3" s="439" t="s">
        <v>788</v>
      </c>
      <c r="U3" s="470">
        <v>0.36099999999999999</v>
      </c>
    </row>
    <row r="4" spans="1:21" x14ac:dyDescent="0.2">
      <c r="T4" s="439" t="s">
        <v>789</v>
      </c>
      <c r="U4" s="470">
        <v>0.46760000000000002</v>
      </c>
    </row>
    <row r="5" spans="1:21" x14ac:dyDescent="0.2">
      <c r="T5" s="439" t="s">
        <v>790</v>
      </c>
      <c r="U5" s="470">
        <v>0.1787</v>
      </c>
    </row>
    <row r="6" spans="1:21" x14ac:dyDescent="0.2">
      <c r="T6" s="439" t="s">
        <v>791</v>
      </c>
      <c r="U6" s="470">
        <v>0.74939999999999996</v>
      </c>
    </row>
    <row r="7" spans="1:21" x14ac:dyDescent="0.2">
      <c r="T7" s="439" t="s">
        <v>792</v>
      </c>
      <c r="U7" s="470">
        <v>0.46700000000000003</v>
      </c>
    </row>
    <row r="8" spans="1:21" x14ac:dyDescent="0.2">
      <c r="T8" s="439" t="s">
        <v>793</v>
      </c>
      <c r="U8" s="470">
        <v>0.65649999999999997</v>
      </c>
    </row>
    <row r="9" spans="1:21" x14ac:dyDescent="0.2">
      <c r="T9" s="439" t="s">
        <v>794</v>
      </c>
      <c r="U9" s="470">
        <v>0.91769999999999996</v>
      </c>
    </row>
    <row r="10" spans="1:21" x14ac:dyDescent="0.2">
      <c r="T10" s="439" t="s">
        <v>795</v>
      </c>
      <c r="U10" s="470">
        <v>0.38119999999999998</v>
      </c>
    </row>
    <row r="11" spans="1:21" x14ac:dyDescent="0.2">
      <c r="T11" s="439" t="s">
        <v>796</v>
      </c>
      <c r="U11" s="470">
        <v>0.87339999999999995</v>
      </c>
    </row>
    <row r="12" spans="1:21" x14ac:dyDescent="0.2">
      <c r="T12" s="439" t="s">
        <v>797</v>
      </c>
      <c r="U12" s="470">
        <v>0.76590000000000003</v>
      </c>
    </row>
    <row r="13" spans="1:21" x14ac:dyDescent="0.2">
      <c r="T13" s="439" t="s">
        <v>798</v>
      </c>
      <c r="U13" s="470">
        <v>0.53510000000000002</v>
      </c>
    </row>
    <row r="14" spans="1:21" x14ac:dyDescent="0.2">
      <c r="T14" s="439" t="s">
        <v>799</v>
      </c>
      <c r="U14" s="470">
        <v>0.44280000000000003</v>
      </c>
    </row>
    <row r="15" spans="1:21" x14ac:dyDescent="0.2">
      <c r="T15" s="439" t="s">
        <v>800</v>
      </c>
      <c r="U15" s="470">
        <v>0.72940000000000005</v>
      </c>
    </row>
    <row r="16" spans="1:21" x14ac:dyDescent="0.2">
      <c r="T16" s="439" t="s">
        <v>801</v>
      </c>
      <c r="U16" s="470">
        <v>0.91800000000000004</v>
      </c>
    </row>
    <row r="17" spans="1:25" x14ac:dyDescent="0.2">
      <c r="A17" s="257" t="s">
        <v>728</v>
      </c>
      <c r="F17" s="257" t="s">
        <v>729</v>
      </c>
      <c r="J17" s="477" t="s">
        <v>730</v>
      </c>
      <c r="T17" s="439" t="s">
        <v>802</v>
      </c>
      <c r="U17" s="470">
        <v>0.57010000000000005</v>
      </c>
    </row>
    <row r="18" spans="1:25" x14ac:dyDescent="0.2">
      <c r="B18" s="1">
        <v>2022</v>
      </c>
      <c r="J18" s="449"/>
      <c r="T18" s="439" t="s">
        <v>803</v>
      </c>
      <c r="U18" s="470">
        <v>0.69089999999999996</v>
      </c>
    </row>
    <row r="19" spans="1:25" ht="30" x14ac:dyDescent="0.2">
      <c r="A19" s="1" t="str" cm="1">
        <f t="array" ref="A19:A25">Earnings!A8:A14</f>
        <v>Januvia/met</v>
      </c>
      <c r="B19" s="300" cm="1">
        <f t="array" ref="B19:B25">Earnings!AE8:AE14</f>
        <v>4512</v>
      </c>
      <c r="G19" s="475" t="s">
        <v>972</v>
      </c>
      <c r="J19" s="1" t="s">
        <v>704</v>
      </c>
      <c r="T19" s="439" t="s">
        <v>804</v>
      </c>
      <c r="U19" s="470">
        <v>0.80620000000000003</v>
      </c>
    </row>
    <row r="20" spans="1:25" x14ac:dyDescent="0.2">
      <c r="A20" s="1" t="str">
        <v>Remicade</v>
      </c>
      <c r="B20" s="300">
        <v>207</v>
      </c>
      <c r="G20" s="476" t="s">
        <v>973</v>
      </c>
      <c r="J20" s="1" t="s">
        <v>633</v>
      </c>
      <c r="K20" s="1">
        <v>14</v>
      </c>
      <c r="T20" s="439" t="s">
        <v>805</v>
      </c>
      <c r="U20" s="470">
        <v>0.63360000000000005</v>
      </c>
    </row>
    <row r="21" spans="1:25" x14ac:dyDescent="0.2">
      <c r="A21" s="1" t="str">
        <v>Gardasil (HPV Vaccine)</v>
      </c>
      <c r="B21" s="300">
        <v>6896</v>
      </c>
      <c r="G21" s="476"/>
      <c r="J21" s="1" t="s">
        <v>700</v>
      </c>
      <c r="K21" s="441">
        <f>'Financial Statements'!Q17/1000</f>
        <v>12.676389458388558</v>
      </c>
      <c r="T21" s="439" t="s">
        <v>806</v>
      </c>
      <c r="U21" s="470">
        <v>0.3049</v>
      </c>
    </row>
    <row r="22" spans="1:25" ht="30" x14ac:dyDescent="0.2">
      <c r="A22" s="1" t="str">
        <v>Insentress</v>
      </c>
      <c r="B22" s="300">
        <v>633</v>
      </c>
      <c r="G22" s="475" t="s">
        <v>974</v>
      </c>
      <c r="J22" s="1" t="s">
        <v>705</v>
      </c>
      <c r="K22" s="1">
        <v>12.2</v>
      </c>
      <c r="T22" s="439" t="s">
        <v>807</v>
      </c>
      <c r="U22" s="470">
        <v>0.90600000000000003</v>
      </c>
    </row>
    <row r="23" spans="1:25" x14ac:dyDescent="0.2">
      <c r="A23" s="1" t="str">
        <v>Keytruda</v>
      </c>
      <c r="B23" s="300">
        <v>20936</v>
      </c>
      <c r="G23" s="476" t="s">
        <v>975</v>
      </c>
      <c r="J23" s="1" t="s">
        <v>634</v>
      </c>
      <c r="K23" s="1">
        <v>10.5</v>
      </c>
      <c r="T23" s="439" t="s">
        <v>808</v>
      </c>
      <c r="U23" s="470">
        <v>0.63929999999999998</v>
      </c>
    </row>
    <row r="24" spans="1:25" x14ac:dyDescent="0.2">
      <c r="A24" s="1" t="str">
        <v>Cozaar/Hyzaar (hypertension)</v>
      </c>
      <c r="B24" s="300">
        <v>0</v>
      </c>
      <c r="G24" s="476"/>
      <c r="J24" s="1" t="s">
        <v>636</v>
      </c>
      <c r="K24" s="1">
        <v>10</v>
      </c>
      <c r="T24" s="439" t="s">
        <v>809</v>
      </c>
      <c r="U24" s="470">
        <v>0.28749999999999998</v>
      </c>
    </row>
    <row r="25" spans="1:25" ht="30" x14ac:dyDescent="0.2">
      <c r="A25" s="1" t="str">
        <v>Singulair (asthma and allergy)</v>
      </c>
      <c r="B25" s="300">
        <v>0</v>
      </c>
      <c r="G25" s="475" t="s">
        <v>976</v>
      </c>
      <c r="J25" s="1" t="s">
        <v>675</v>
      </c>
      <c r="K25" s="1">
        <v>9</v>
      </c>
      <c r="T25" s="439" t="s">
        <v>810</v>
      </c>
      <c r="U25" s="470">
        <v>0.82140000000000002</v>
      </c>
      <c r="Y25" s="257" t="s">
        <v>981</v>
      </c>
    </row>
    <row r="26" spans="1:25" x14ac:dyDescent="0.2">
      <c r="G26" s="476" t="s">
        <v>977</v>
      </c>
      <c r="J26" s="1" t="s">
        <v>701</v>
      </c>
      <c r="K26" s="1">
        <v>8.6</v>
      </c>
      <c r="T26" s="439" t="s">
        <v>811</v>
      </c>
      <c r="U26" s="470">
        <v>0.89100000000000001</v>
      </c>
      <c r="Y26" s="1" t="s">
        <v>968</v>
      </c>
    </row>
    <row r="27" spans="1:25" x14ac:dyDescent="0.2">
      <c r="J27" s="1" t="s">
        <v>706</v>
      </c>
      <c r="K27" s="1">
        <v>8.1</v>
      </c>
      <c r="T27" s="439" t="s">
        <v>812</v>
      </c>
      <c r="U27" s="470">
        <v>1.0306</v>
      </c>
      <c r="Y27" s="1" t="s">
        <v>969</v>
      </c>
    </row>
    <row r="28" spans="1:25" x14ac:dyDescent="0.2">
      <c r="J28" s="1" t="s">
        <v>644</v>
      </c>
      <c r="K28" s="1">
        <v>7.9</v>
      </c>
      <c r="T28" s="439" t="s">
        <v>813</v>
      </c>
      <c r="U28" s="470">
        <v>0.30309999999999998</v>
      </c>
    </row>
    <row r="29" spans="1:25" x14ac:dyDescent="0.2">
      <c r="J29" s="1" t="s">
        <v>707</v>
      </c>
      <c r="K29" s="1">
        <v>7.5</v>
      </c>
      <c r="T29" s="439" t="s">
        <v>814</v>
      </c>
      <c r="U29" s="470">
        <v>0.2167</v>
      </c>
    </row>
    <row r="30" spans="1:25" x14ac:dyDescent="0.2">
      <c r="J30" s="449"/>
      <c r="T30" s="439" t="s">
        <v>815</v>
      </c>
      <c r="U30" s="470">
        <v>0.6391</v>
      </c>
    </row>
    <row r="31" spans="1:25" x14ac:dyDescent="0.2">
      <c r="J31" s="449"/>
      <c r="T31" s="439" t="s">
        <v>816</v>
      </c>
      <c r="U31" s="470">
        <v>2.7000000000000001E-3</v>
      </c>
    </row>
    <row r="32" spans="1:25" x14ac:dyDescent="0.2">
      <c r="J32" s="449"/>
      <c r="T32" s="439" t="s">
        <v>817</v>
      </c>
      <c r="U32" s="470">
        <v>0.64159999999999995</v>
      </c>
    </row>
    <row r="33" spans="1:21" x14ac:dyDescent="0.2">
      <c r="J33" s="449"/>
      <c r="T33" s="439" t="s">
        <v>818</v>
      </c>
      <c r="U33" s="470">
        <v>0.91349999999999998</v>
      </c>
    </row>
    <row r="34" spans="1:21" x14ac:dyDescent="0.2">
      <c r="J34" s="449"/>
      <c r="T34" s="439" t="s">
        <v>819</v>
      </c>
      <c r="U34" s="470">
        <v>0.12920000000000001</v>
      </c>
    </row>
    <row r="35" spans="1:21" x14ac:dyDescent="0.2">
      <c r="J35" s="449"/>
      <c r="T35" s="439" t="s">
        <v>820</v>
      </c>
      <c r="U35" s="470">
        <v>0.90890000000000004</v>
      </c>
    </row>
    <row r="36" spans="1:21" x14ac:dyDescent="0.2">
      <c r="A36" s="477" t="s">
        <v>764</v>
      </c>
      <c r="I36" s="477" t="s">
        <v>766</v>
      </c>
      <c r="J36" s="449"/>
      <c r="T36" s="439" t="s">
        <v>821</v>
      </c>
      <c r="U36" s="470">
        <v>0.47449999999999998</v>
      </c>
    </row>
    <row r="37" spans="1:21" x14ac:dyDescent="0.2">
      <c r="I37" s="257"/>
      <c r="J37" s="449"/>
      <c r="T37" s="439" t="s">
        <v>822</v>
      </c>
      <c r="U37" s="470">
        <v>0.37990000000000002</v>
      </c>
    </row>
    <row r="38" spans="1:21" x14ac:dyDescent="0.2">
      <c r="B38" s="1" t="s">
        <v>763</v>
      </c>
      <c r="T38" s="439" t="s">
        <v>823</v>
      </c>
      <c r="U38" s="470">
        <v>0.94620000000000004</v>
      </c>
    </row>
    <row r="39" spans="1:21" x14ac:dyDescent="0.2">
      <c r="A39" s="1">
        <v>2019</v>
      </c>
      <c r="B39" s="1">
        <v>27.75</v>
      </c>
      <c r="T39" s="439" t="s">
        <v>779</v>
      </c>
      <c r="U39" s="470">
        <v>0.92810000000000004</v>
      </c>
    </row>
    <row r="40" spans="1:21" x14ac:dyDescent="0.2">
      <c r="A40" s="1">
        <v>2020</v>
      </c>
      <c r="B40" s="1">
        <v>22.56</v>
      </c>
      <c r="T40" s="439" t="s">
        <v>824</v>
      </c>
      <c r="U40" s="470">
        <v>0.84419999999999995</v>
      </c>
    </row>
    <row r="41" spans="1:21" x14ac:dyDescent="0.2">
      <c r="A41" s="1">
        <v>2021</v>
      </c>
      <c r="B41" s="1">
        <v>21.91</v>
      </c>
      <c r="T41" s="439" t="s">
        <v>825</v>
      </c>
      <c r="U41" s="470">
        <v>0.50460000000000005</v>
      </c>
    </row>
    <row r="42" spans="1:21" x14ac:dyDescent="0.2">
      <c r="A42" s="1">
        <v>2022</v>
      </c>
      <c r="B42" s="1">
        <v>21.65</v>
      </c>
      <c r="T42" s="439" t="s">
        <v>826</v>
      </c>
      <c r="U42" s="470">
        <v>0.126</v>
      </c>
    </row>
    <row r="43" spans="1:21" x14ac:dyDescent="0.2">
      <c r="A43" s="1">
        <v>2023</v>
      </c>
      <c r="B43" s="1" cm="1">
        <f t="array" ref="B43:B46">TREND(B39:B42,A39:A42,A43:A46)</f>
        <v>18.730000000000018</v>
      </c>
      <c r="T43" s="439" t="s">
        <v>827</v>
      </c>
      <c r="U43" s="470">
        <v>0.12889999999999999</v>
      </c>
    </row>
    <row r="44" spans="1:21" x14ac:dyDescent="0.2">
      <c r="A44" s="1">
        <v>2024</v>
      </c>
      <c r="B44" s="1">
        <v>16.835000000000036</v>
      </c>
      <c r="T44" s="439" t="s">
        <v>828</v>
      </c>
      <c r="U44" s="470">
        <v>0.90400000000000003</v>
      </c>
    </row>
    <row r="45" spans="1:21" x14ac:dyDescent="0.2">
      <c r="A45" s="1">
        <v>2025</v>
      </c>
      <c r="B45" s="1">
        <v>14.940000000000055</v>
      </c>
      <c r="T45" s="439" t="s">
        <v>829</v>
      </c>
      <c r="U45" s="470">
        <v>0.51429999999999998</v>
      </c>
    </row>
    <row r="46" spans="1:21" x14ac:dyDescent="0.2">
      <c r="A46" s="1">
        <v>2026</v>
      </c>
      <c r="B46" s="1">
        <v>13.045000000000073</v>
      </c>
      <c r="T46" s="439" t="s">
        <v>830</v>
      </c>
      <c r="U46" s="470">
        <v>0.56540000000000001</v>
      </c>
    </row>
    <row r="47" spans="1:21" x14ac:dyDescent="0.2">
      <c r="T47" s="439" t="s">
        <v>831</v>
      </c>
      <c r="U47" s="470">
        <v>0.94720000000000004</v>
      </c>
    </row>
    <row r="48" spans="1:21" x14ac:dyDescent="0.2">
      <c r="T48" s="439" t="s">
        <v>832</v>
      </c>
      <c r="U48" s="470">
        <v>0.55569999999999997</v>
      </c>
    </row>
    <row r="49" spans="1:21" x14ac:dyDescent="0.2">
      <c r="T49" s="439" t="s">
        <v>833</v>
      </c>
      <c r="U49" s="470">
        <v>0.65129999999999999</v>
      </c>
    </row>
    <row r="50" spans="1:21" x14ac:dyDescent="0.2">
      <c r="T50" s="439" t="s">
        <v>834</v>
      </c>
      <c r="U50" s="470">
        <v>0.82169999999999999</v>
      </c>
    </row>
    <row r="51" spans="1:21" x14ac:dyDescent="0.2">
      <c r="T51" s="439" t="s">
        <v>835</v>
      </c>
      <c r="U51" s="470">
        <v>0.45829999999999999</v>
      </c>
    </row>
    <row r="52" spans="1:21" x14ac:dyDescent="0.2">
      <c r="A52" s="477" t="s">
        <v>767</v>
      </c>
      <c r="I52" s="477" t="s">
        <v>978</v>
      </c>
      <c r="T52" s="439" t="s">
        <v>836</v>
      </c>
      <c r="U52" s="470">
        <v>0.67390000000000005</v>
      </c>
    </row>
    <row r="53" spans="1:21" x14ac:dyDescent="0.2">
      <c r="A53" s="1" t="s">
        <v>971</v>
      </c>
      <c r="B53" s="1">
        <v>2022</v>
      </c>
      <c r="T53" s="439" t="s">
        <v>837</v>
      </c>
      <c r="U53" s="470">
        <v>0.86890000000000001</v>
      </c>
    </row>
    <row r="54" spans="1:21" x14ac:dyDescent="0.2">
      <c r="A54" s="471" t="str">
        <f>Products!A6</f>
        <v>Oncology</v>
      </c>
      <c r="B54" s="472">
        <f>Products!DG9+Products!DG21+Products!DG24+Products!DG30</f>
        <v>23095</v>
      </c>
      <c r="I54" s="1" t="s">
        <v>990</v>
      </c>
      <c r="T54" s="439" t="s">
        <v>838</v>
      </c>
      <c r="U54" s="470">
        <v>0.53890000000000005</v>
      </c>
    </row>
    <row r="55" spans="1:21" x14ac:dyDescent="0.2">
      <c r="A55" s="471" t="str">
        <f>Products!A40</f>
        <v>Vaccines</v>
      </c>
      <c r="B55" s="472">
        <f>Products!DG43+Products!DG49+Products!DG55+Products!DG61+Products!DG67</f>
        <v>10696</v>
      </c>
      <c r="T55" s="439" t="s">
        <v>839</v>
      </c>
      <c r="U55" s="470">
        <v>0.71730000000000005</v>
      </c>
    </row>
    <row r="56" spans="1:21" x14ac:dyDescent="0.2">
      <c r="A56" s="18" t="str">
        <f>Products!A77</f>
        <v>Hospital Acute Care</v>
      </c>
      <c r="B56" s="473">
        <f>Products!DG80+Products!DG86+Products!DG92+Products!DG98+Products!DG104+Products!DG110+Products!DG116+Products!DG122</f>
        <v>3268</v>
      </c>
      <c r="I56" s="1" t="s">
        <v>984</v>
      </c>
      <c r="J56" s="1" t="s">
        <v>985</v>
      </c>
      <c r="K56" s="1" t="s">
        <v>986</v>
      </c>
      <c r="L56" s="1" t="s">
        <v>987</v>
      </c>
      <c r="M56" s="1" t="s">
        <v>988</v>
      </c>
      <c r="N56" s="1" t="s">
        <v>989</v>
      </c>
      <c r="T56" s="439" t="s">
        <v>840</v>
      </c>
      <c r="U56" s="470">
        <v>0.1925</v>
      </c>
    </row>
    <row r="57" spans="1:21" x14ac:dyDescent="0.2">
      <c r="A57" s="18" t="str">
        <f>Products!A132</f>
        <v>Immunology</v>
      </c>
      <c r="B57" s="473">
        <f>Products!DG135+Products!DG141</f>
        <v>913</v>
      </c>
      <c r="I57" s="304">
        <v>0.35</v>
      </c>
      <c r="J57" s="304">
        <v>0.3</v>
      </c>
      <c r="K57" s="304">
        <v>0.15</v>
      </c>
      <c r="L57" s="304">
        <v>0.1</v>
      </c>
      <c r="M57" s="304">
        <v>0.05</v>
      </c>
      <c r="N57" s="304">
        <v>0.05</v>
      </c>
      <c r="T57" s="439" t="s">
        <v>841</v>
      </c>
      <c r="U57" s="470">
        <v>0.6552</v>
      </c>
    </row>
    <row r="58" spans="1:21" x14ac:dyDescent="0.2">
      <c r="A58" s="471" t="str">
        <f>Products!A145</f>
        <v>Neuroscience</v>
      </c>
      <c r="B58" s="472">
        <f>Products!DG148</f>
        <v>257</v>
      </c>
      <c r="T58" s="439" t="s">
        <v>842</v>
      </c>
      <c r="U58" s="470">
        <v>0.44090000000000001</v>
      </c>
    </row>
    <row r="59" spans="1:21" x14ac:dyDescent="0.2">
      <c r="A59" s="471" t="str">
        <f>Products!A152</f>
        <v>Virology</v>
      </c>
      <c r="B59" s="472">
        <f>Products!DG155+Products!DG161</f>
        <v>6317</v>
      </c>
      <c r="T59" s="439" t="s">
        <v>843</v>
      </c>
      <c r="U59" s="470">
        <v>0.38090000000000002</v>
      </c>
    </row>
    <row r="60" spans="1:21" x14ac:dyDescent="0.2">
      <c r="A60" s="471" t="str">
        <f>Products!A171</f>
        <v xml:space="preserve">Cardiovascular </v>
      </c>
      <c r="B60" s="474">
        <f>Products!DG192</f>
        <v>579</v>
      </c>
      <c r="T60" s="439" t="s">
        <v>844</v>
      </c>
      <c r="U60" s="470">
        <v>0.79400000000000004</v>
      </c>
    </row>
    <row r="61" spans="1:21" x14ac:dyDescent="0.2">
      <c r="A61" s="18" t="str">
        <f>Products!A197</f>
        <v>Januvia+Janumet /DPP4 Inhibitor US</v>
      </c>
      <c r="B61" s="472">
        <f>Products!DG199</f>
        <v>4512</v>
      </c>
      <c r="T61" s="439" t="s">
        <v>845</v>
      </c>
      <c r="U61" s="470">
        <v>0.82050000000000001</v>
      </c>
    </row>
    <row r="62" spans="1:21" x14ac:dyDescent="0.2">
      <c r="A62" s="471" t="str">
        <f>Products!A216</f>
        <v>Diversified Brands</v>
      </c>
      <c r="B62" s="472">
        <f>Products!DG388+Products!DG397+Products!DG415+Products!DG445+Products!DG451</f>
        <v>63379</v>
      </c>
      <c r="T62" s="439" t="s">
        <v>782</v>
      </c>
      <c r="U62" s="470">
        <v>0.8377</v>
      </c>
    </row>
    <row r="63" spans="1:21" x14ac:dyDescent="0.2">
      <c r="T63" s="439" t="s">
        <v>846</v>
      </c>
      <c r="U63" s="470">
        <v>0.13980000000000001</v>
      </c>
    </row>
    <row r="64" spans="1:21" x14ac:dyDescent="0.2">
      <c r="T64" s="439" t="s">
        <v>847</v>
      </c>
      <c r="U64" s="470">
        <v>0.38679999999999998</v>
      </c>
    </row>
    <row r="65" spans="1:21" x14ac:dyDescent="0.2">
      <c r="T65" s="439" t="s">
        <v>848</v>
      </c>
      <c r="U65" s="470">
        <v>0.41470000000000001</v>
      </c>
    </row>
    <row r="66" spans="1:21" x14ac:dyDescent="0.2">
      <c r="T66" s="439" t="s">
        <v>785</v>
      </c>
      <c r="U66" s="470">
        <v>0.78010000000000002</v>
      </c>
    </row>
    <row r="67" spans="1:21" x14ac:dyDescent="0.2">
      <c r="A67" s="477" t="s">
        <v>979</v>
      </c>
      <c r="T67" s="439" t="s">
        <v>849</v>
      </c>
      <c r="U67" s="470">
        <v>0.41360000000000002</v>
      </c>
    </row>
    <row r="68" spans="1:21" x14ac:dyDescent="0.2">
      <c r="A68" s="1" t="s">
        <v>702</v>
      </c>
      <c r="B68" s="1">
        <v>2016</v>
      </c>
      <c r="C68" s="1">
        <v>2017</v>
      </c>
      <c r="D68" s="1">
        <v>2018</v>
      </c>
      <c r="E68" s="1">
        <v>2019</v>
      </c>
      <c r="F68" s="1">
        <v>2020</v>
      </c>
      <c r="G68" s="1">
        <v>2021</v>
      </c>
      <c r="H68" s="1">
        <v>2022</v>
      </c>
      <c r="I68" s="1">
        <v>2023</v>
      </c>
      <c r="J68" s="1">
        <v>2024</v>
      </c>
      <c r="K68" s="1">
        <v>2025</v>
      </c>
      <c r="L68" s="1">
        <v>2026</v>
      </c>
      <c r="M68" s="1">
        <v>2027</v>
      </c>
      <c r="T68" s="439" t="s">
        <v>850</v>
      </c>
      <c r="U68" s="470">
        <v>0.76119999999999999</v>
      </c>
    </row>
    <row r="69" spans="1:21" x14ac:dyDescent="0.2">
      <c r="A69" s="1" t="s">
        <v>703</v>
      </c>
      <c r="B69" s="1">
        <v>821.1</v>
      </c>
      <c r="C69" s="1">
        <v>847.4</v>
      </c>
      <c r="D69" s="1">
        <v>883</v>
      </c>
      <c r="E69" s="1">
        <v>917.5</v>
      </c>
      <c r="F69" s="1">
        <v>931.6</v>
      </c>
      <c r="G69" s="1">
        <v>1047</v>
      </c>
      <c r="H69" s="1">
        <v>1109</v>
      </c>
      <c r="I69" s="1">
        <v>1148</v>
      </c>
      <c r="J69" s="1">
        <v>1203</v>
      </c>
      <c r="K69" s="1">
        <v>1274</v>
      </c>
      <c r="L69" s="1">
        <v>1351</v>
      </c>
      <c r="M69" s="1">
        <v>1431</v>
      </c>
      <c r="T69" s="439" t="s">
        <v>851</v>
      </c>
      <c r="U69" s="470">
        <v>0.3926</v>
      </c>
    </row>
    <row r="70" spans="1:21" x14ac:dyDescent="0.2">
      <c r="T70" s="439" t="s">
        <v>852</v>
      </c>
      <c r="U70" s="470">
        <v>0.49740000000000001</v>
      </c>
    </row>
    <row r="71" spans="1:21" x14ac:dyDescent="0.2">
      <c r="T71" s="439" t="s">
        <v>853</v>
      </c>
      <c r="U71" s="470">
        <v>0.58330000000000004</v>
      </c>
    </row>
    <row r="72" spans="1:21" x14ac:dyDescent="0.2">
      <c r="A72" s="257" t="s">
        <v>980</v>
      </c>
      <c r="T72" s="439" t="s">
        <v>854</v>
      </c>
      <c r="U72" s="470">
        <v>0.27650000000000002</v>
      </c>
    </row>
    <row r="73" spans="1:21" x14ac:dyDescent="0.2">
      <c r="A73" s="1" t="s">
        <v>708</v>
      </c>
      <c r="T73" s="439" t="s">
        <v>855</v>
      </c>
      <c r="U73" s="470">
        <v>0.62960000000000005</v>
      </c>
    </row>
    <row r="74" spans="1:21" x14ac:dyDescent="0.2">
      <c r="B74" s="1" t="s">
        <v>709</v>
      </c>
      <c r="T74" s="439" t="s">
        <v>856</v>
      </c>
      <c r="U74" s="470">
        <v>3.56E-2</v>
      </c>
    </row>
    <row r="75" spans="1:21" x14ac:dyDescent="0.2">
      <c r="A75" s="1">
        <v>2017</v>
      </c>
      <c r="B75" s="308">
        <v>-3.0000000000000001E-3</v>
      </c>
      <c r="T75" s="439" t="s">
        <v>857</v>
      </c>
      <c r="U75" s="470">
        <v>0.65839999999999999</v>
      </c>
    </row>
    <row r="76" spans="1:21" x14ac:dyDescent="0.2">
      <c r="A76" s="1">
        <v>2018</v>
      </c>
      <c r="B76" s="308">
        <v>2.4E-2</v>
      </c>
      <c r="T76" s="439" t="s">
        <v>858</v>
      </c>
      <c r="U76" s="470">
        <v>0.66459999999999997</v>
      </c>
    </row>
    <row r="77" spans="1:21" x14ac:dyDescent="0.2">
      <c r="A77" s="1">
        <v>2019</v>
      </c>
      <c r="B77" s="308">
        <v>3.6999999999999998E-2</v>
      </c>
      <c r="T77" s="439" t="s">
        <v>859</v>
      </c>
      <c r="U77" s="470">
        <v>0.90769999999999995</v>
      </c>
    </row>
    <row r="78" spans="1:21" x14ac:dyDescent="0.2">
      <c r="A78" s="1">
        <v>2020</v>
      </c>
      <c r="B78" s="308">
        <v>4.2999999999999997E-2</v>
      </c>
      <c r="T78" s="439" t="s">
        <v>780</v>
      </c>
      <c r="U78" s="470">
        <v>0.74439999999999995</v>
      </c>
    </row>
    <row r="79" spans="1:21" x14ac:dyDescent="0.2">
      <c r="A79" s="1">
        <v>2021</v>
      </c>
      <c r="B79" s="308">
        <v>4.8000000000000001E-2</v>
      </c>
      <c r="T79" s="439" t="s">
        <v>860</v>
      </c>
      <c r="U79" s="470">
        <v>0.74450000000000005</v>
      </c>
    </row>
    <row r="80" spans="1:21" x14ac:dyDescent="0.2">
      <c r="A80" s="1">
        <v>2022</v>
      </c>
      <c r="B80" s="308">
        <v>5.3999999999999999E-2</v>
      </c>
      <c r="T80" s="439" t="s">
        <v>861</v>
      </c>
      <c r="U80" s="470">
        <v>0.77569999999999995</v>
      </c>
    </row>
    <row r="81" spans="1:22" x14ac:dyDescent="0.2">
      <c r="A81" s="1">
        <v>2023</v>
      </c>
      <c r="B81" s="308">
        <v>5.5E-2</v>
      </c>
      <c r="T81" s="439" t="s">
        <v>862</v>
      </c>
      <c r="U81" s="470">
        <v>0.28170000000000001</v>
      </c>
    </row>
    <row r="82" spans="1:22" x14ac:dyDescent="0.2">
      <c r="A82" s="1">
        <v>2024</v>
      </c>
      <c r="B82" s="308">
        <v>5.5E-2</v>
      </c>
      <c r="T82" s="439" t="s">
        <v>863</v>
      </c>
      <c r="U82" s="470">
        <v>0.83179999999999998</v>
      </c>
    </row>
    <row r="83" spans="1:22" x14ac:dyDescent="0.2">
      <c r="A83" s="1">
        <v>2025</v>
      </c>
      <c r="B83" s="308">
        <v>5.4000000000000006E-2</v>
      </c>
      <c r="T83" s="439" t="s">
        <v>783</v>
      </c>
      <c r="U83" s="470">
        <v>0.81510000000000005</v>
      </c>
    </row>
    <row r="84" spans="1:22" x14ac:dyDescent="0.2">
      <c r="A84" s="1">
        <v>2026</v>
      </c>
      <c r="B84" s="308">
        <v>5.4000000000000006E-2</v>
      </c>
      <c r="T84" s="439" t="s">
        <v>864</v>
      </c>
      <c r="U84" s="470">
        <v>0.84160000000000001</v>
      </c>
    </row>
    <row r="85" spans="1:22" x14ac:dyDescent="0.2">
      <c r="A85" s="1">
        <v>2027</v>
      </c>
      <c r="B85" s="308">
        <v>5.4000000000000006E-2</v>
      </c>
      <c r="T85" s="439" t="s">
        <v>865</v>
      </c>
      <c r="U85" s="470">
        <v>0.28770000000000001</v>
      </c>
    </row>
    <row r="86" spans="1:22" x14ac:dyDescent="0.2">
      <c r="T86" s="439" t="s">
        <v>784</v>
      </c>
      <c r="U86" s="470">
        <v>0.8276</v>
      </c>
    </row>
    <row r="87" spans="1:22" x14ac:dyDescent="0.2">
      <c r="A87" s="257" t="s">
        <v>983</v>
      </c>
      <c r="T87" s="439"/>
      <c r="U87" s="470"/>
    </row>
    <row r="88" spans="1:22" x14ac:dyDescent="0.2">
      <c r="A88" s="512" t="s">
        <v>776</v>
      </c>
      <c r="B88" s="512"/>
      <c r="C88" s="478" t="s">
        <v>777</v>
      </c>
      <c r="D88" s="478" t="s">
        <v>863</v>
      </c>
      <c r="E88" s="478" t="s">
        <v>863</v>
      </c>
      <c r="F88" s="478" t="s">
        <v>804</v>
      </c>
      <c r="G88" s="478" t="s">
        <v>875</v>
      </c>
      <c r="H88" s="478" t="s">
        <v>903</v>
      </c>
      <c r="I88" s="478" t="s">
        <v>823</v>
      </c>
      <c r="J88" s="478" t="s">
        <v>834</v>
      </c>
      <c r="K88" s="478" t="s">
        <v>935</v>
      </c>
      <c r="L88" s="478" t="s">
        <v>845</v>
      </c>
      <c r="M88" s="478" t="s">
        <v>945</v>
      </c>
      <c r="N88" s="478"/>
      <c r="T88" s="478"/>
      <c r="V88" s="478"/>
    </row>
    <row r="89" spans="1:22" x14ac:dyDescent="0.2">
      <c r="A89" s="479"/>
      <c r="B89" s="479"/>
      <c r="C89" s="480">
        <v>5.2</v>
      </c>
      <c r="D89" s="480">
        <v>5.5</v>
      </c>
      <c r="E89" s="480">
        <v>5.5</v>
      </c>
      <c r="F89" s="480">
        <v>5.7</v>
      </c>
      <c r="G89" s="480">
        <v>6</v>
      </c>
      <c r="H89" s="480">
        <v>6.3</v>
      </c>
      <c r="I89" s="480">
        <v>7</v>
      </c>
      <c r="J89" s="480">
        <v>7.7</v>
      </c>
      <c r="K89" s="480">
        <v>12.9</v>
      </c>
      <c r="L89" s="480">
        <v>13</v>
      </c>
      <c r="M89" s="480">
        <v>16.100000000000001</v>
      </c>
      <c r="N89" s="480"/>
      <c r="T89" s="480"/>
      <c r="V89" s="480"/>
    </row>
    <row r="90" spans="1:22" x14ac:dyDescent="0.2">
      <c r="T90" s="439" t="s">
        <v>866</v>
      </c>
      <c r="U90" s="470">
        <v>0.47249999999999998</v>
      </c>
    </row>
    <row r="91" spans="1:22" x14ac:dyDescent="0.2">
      <c r="A91" s="257" t="s">
        <v>982</v>
      </c>
      <c r="T91" s="439" t="s">
        <v>867</v>
      </c>
      <c r="U91" s="470">
        <v>0.65890000000000004</v>
      </c>
    </row>
    <row r="92" spans="1:22" x14ac:dyDescent="0.2">
      <c r="A92" s="1" t="s">
        <v>770</v>
      </c>
      <c r="L92" s="257" t="s">
        <v>1012</v>
      </c>
      <c r="T92" s="439" t="s">
        <v>868</v>
      </c>
      <c r="U92" s="470">
        <v>0.26619999999999999</v>
      </c>
    </row>
    <row r="93" spans="1:22" x14ac:dyDescent="0.2">
      <c r="A93" s="1" t="s">
        <v>768</v>
      </c>
      <c r="B93" s="1">
        <v>10</v>
      </c>
      <c r="T93" s="439" t="s">
        <v>869</v>
      </c>
      <c r="U93" s="470">
        <v>0.8579</v>
      </c>
    </row>
    <row r="94" spans="1:22" ht="30" x14ac:dyDescent="0.2">
      <c r="A94" s="1" t="s">
        <v>769</v>
      </c>
      <c r="B94" s="1">
        <v>3</v>
      </c>
      <c r="M94" s="475" t="s">
        <v>1014</v>
      </c>
      <c r="T94" s="439" t="s">
        <v>870</v>
      </c>
      <c r="U94" s="470">
        <v>0.87549999999999994</v>
      </c>
    </row>
    <row r="95" spans="1:22" x14ac:dyDescent="0.2">
      <c r="M95" s="476" t="s">
        <v>1013</v>
      </c>
      <c r="T95" s="439" t="s">
        <v>871</v>
      </c>
      <c r="U95" s="470">
        <v>0.50090000000000001</v>
      </c>
    </row>
    <row r="96" spans="1:22" x14ac:dyDescent="0.2">
      <c r="A96" s="1" t="s">
        <v>771</v>
      </c>
      <c r="T96" s="439" t="s">
        <v>872</v>
      </c>
      <c r="U96" s="470">
        <v>0.80930000000000002</v>
      </c>
    </row>
    <row r="97" spans="1:21" ht="30" x14ac:dyDescent="0.2">
      <c r="A97" s="1" t="s">
        <v>768</v>
      </c>
      <c r="B97" s="1">
        <v>2600</v>
      </c>
      <c r="M97" s="475" t="s">
        <v>1015</v>
      </c>
      <c r="T97" s="439" t="s">
        <v>873</v>
      </c>
      <c r="U97" s="470">
        <v>0.25340000000000001</v>
      </c>
    </row>
    <row r="98" spans="1:21" x14ac:dyDescent="0.2">
      <c r="A98" s="1" t="s">
        <v>769</v>
      </c>
      <c r="B98" s="1">
        <f>SUM(B99:B101)</f>
        <v>548</v>
      </c>
      <c r="M98" s="476" t="s">
        <v>1016</v>
      </c>
      <c r="T98" s="439" t="s">
        <v>874</v>
      </c>
      <c r="U98" s="470">
        <v>0.86460000000000004</v>
      </c>
    </row>
    <row r="99" spans="1:21" ht="30" x14ac:dyDescent="0.2">
      <c r="A99" s="1" t="s">
        <v>773</v>
      </c>
      <c r="B99" s="14">
        <v>366</v>
      </c>
      <c r="M99" s="475"/>
      <c r="T99" s="439" t="s">
        <v>875</v>
      </c>
      <c r="U99" s="470">
        <v>0.7137</v>
      </c>
    </row>
    <row r="100" spans="1:21" x14ac:dyDescent="0.2">
      <c r="A100" s="1" t="s">
        <v>774</v>
      </c>
      <c r="B100" s="1">
        <v>156</v>
      </c>
      <c r="M100" s="476"/>
      <c r="T100" s="439" t="s">
        <v>876</v>
      </c>
      <c r="U100" s="470">
        <v>0.40139999999999998</v>
      </c>
    </row>
    <row r="101" spans="1:21" x14ac:dyDescent="0.2">
      <c r="A101" s="1" t="s">
        <v>775</v>
      </c>
      <c r="B101" s="1">
        <v>26</v>
      </c>
      <c r="T101" s="439" t="s">
        <v>877</v>
      </c>
      <c r="U101" s="470">
        <v>0.47060000000000002</v>
      </c>
    </row>
    <row r="102" spans="1:21" x14ac:dyDescent="0.2">
      <c r="T102" s="439" t="s">
        <v>878</v>
      </c>
      <c r="U102" s="470">
        <v>0.77180000000000004</v>
      </c>
    </row>
    <row r="103" spans="1:21" x14ac:dyDescent="0.2">
      <c r="A103" s="301" t="s">
        <v>772</v>
      </c>
      <c r="T103" s="439" t="s">
        <v>879</v>
      </c>
      <c r="U103" s="470">
        <v>0.33710000000000001</v>
      </c>
    </row>
    <row r="104" spans="1:21" x14ac:dyDescent="0.2">
      <c r="T104" s="439" t="s">
        <v>880</v>
      </c>
      <c r="U104" s="470">
        <v>0.70179999999999998</v>
      </c>
    </row>
    <row r="105" spans="1:21" x14ac:dyDescent="0.2">
      <c r="T105" s="439" t="s">
        <v>881</v>
      </c>
      <c r="U105" s="470">
        <v>0.71879999999999999</v>
      </c>
    </row>
    <row r="106" spans="1:21" x14ac:dyDescent="0.2">
      <c r="A106" s="257" t="s">
        <v>1020</v>
      </c>
      <c r="T106" s="439" t="s">
        <v>882</v>
      </c>
      <c r="U106" s="470">
        <v>0.76980000000000004</v>
      </c>
    </row>
    <row r="107" spans="1:21" x14ac:dyDescent="0.2">
      <c r="B107" s="1" t="s">
        <v>636</v>
      </c>
      <c r="C107" s="1" t="s">
        <v>675</v>
      </c>
      <c r="D107" s="1" t="s">
        <v>644</v>
      </c>
      <c r="E107" s="1" t="s">
        <v>642</v>
      </c>
      <c r="F107" s="1" t="s">
        <v>645</v>
      </c>
      <c r="G107" s="1" t="s">
        <v>640</v>
      </c>
      <c r="H107" s="1" t="s">
        <v>634</v>
      </c>
      <c r="I107" s="1" t="s">
        <v>633</v>
      </c>
      <c r="J107" s="1" t="s">
        <v>0</v>
      </c>
      <c r="K107" s="1" t="s">
        <v>643</v>
      </c>
      <c r="T107" s="439" t="s">
        <v>883</v>
      </c>
      <c r="U107" s="470">
        <v>8.4199999999999997E-2</v>
      </c>
    </row>
    <row r="108" spans="1:21" x14ac:dyDescent="0.2">
      <c r="A108" s="1" t="s">
        <v>346</v>
      </c>
      <c r="B108" s="469">
        <f>'Competitors Data'!S15</f>
        <v>51828000</v>
      </c>
      <c r="C108" s="469">
        <f>'Competitors Data'!O15</f>
        <v>46159000</v>
      </c>
      <c r="D108" s="469">
        <f>'Competitors Data'!Q15</f>
        <v>36140895.766683996</v>
      </c>
      <c r="E108" s="469">
        <f>'Competitors Data'!V15</f>
        <v>47722135.169732995</v>
      </c>
      <c r="F108" s="469">
        <f>'Competitors Data'!N15</f>
        <v>10173400</v>
      </c>
      <c r="G108" s="469">
        <f>'Competitors Data'!M15</f>
        <v>26323000</v>
      </c>
      <c r="H108" s="469">
        <f>'Competitors Data'!T15</f>
        <v>100330000</v>
      </c>
      <c r="I108" s="469">
        <f>'Competitors Data'!U15</f>
        <v>69062687.690534994</v>
      </c>
      <c r="J108" s="469">
        <f>'Competitors Data'!R15</f>
        <v>59283000</v>
      </c>
      <c r="K108" s="469">
        <f>'Competitors Data'!P15</f>
        <v>27281000</v>
      </c>
      <c r="T108" s="439" t="s">
        <v>884</v>
      </c>
      <c r="U108" s="470">
        <v>0.25869999999999999</v>
      </c>
    </row>
    <row r="109" spans="1:21" x14ac:dyDescent="0.2">
      <c r="A109" s="1" t="s">
        <v>1021</v>
      </c>
      <c r="B109" s="469">
        <f>'Competitors Data'!S37</f>
        <v>9197000</v>
      </c>
      <c r="C109" s="469">
        <f>'Competitors Data'!O37</f>
        <v>9104000</v>
      </c>
      <c r="D109" s="469">
        <f>'Competitors Data'!Q37</f>
        <v>8293278.1207890008</v>
      </c>
      <c r="E109" s="469">
        <f>'Competitors Data'!V37</f>
        <v>12491720.195456998</v>
      </c>
      <c r="F109" s="469">
        <f>'Competitors Data'!N37</f>
        <v>2901900</v>
      </c>
      <c r="G109" s="469">
        <f>'Competitors Data'!M37</f>
        <v>9566000</v>
      </c>
      <c r="H109" s="469">
        <f>'Competitors Data'!T37</f>
        <v>37272000</v>
      </c>
      <c r="I109" s="469">
        <f>'Competitors Data'!U37</f>
        <v>21051445.970624994</v>
      </c>
      <c r="J109" s="469">
        <f>'Competitors Data'!R37</f>
        <v>18282000</v>
      </c>
      <c r="K109" s="469">
        <f>'Competitors Data'!P37</f>
        <v>10974000</v>
      </c>
      <c r="T109" s="439" t="s">
        <v>885</v>
      </c>
      <c r="U109" s="470">
        <v>0.86909999999999998</v>
      </c>
    </row>
    <row r="110" spans="1:21" x14ac:dyDescent="0.2">
      <c r="T110" s="439" t="s">
        <v>886</v>
      </c>
      <c r="U110" s="470">
        <v>0.73850000000000005</v>
      </c>
    </row>
    <row r="111" spans="1:21" x14ac:dyDescent="0.2">
      <c r="T111" s="439" t="s">
        <v>887</v>
      </c>
      <c r="U111" s="470">
        <v>0.1784</v>
      </c>
    </row>
    <row r="112" spans="1:21" x14ac:dyDescent="0.2">
      <c r="T112" s="439" t="s">
        <v>888</v>
      </c>
      <c r="U112" s="470">
        <v>1.0842000000000001</v>
      </c>
    </row>
    <row r="113" spans="20:21" x14ac:dyDescent="0.2">
      <c r="T113" s="439" t="s">
        <v>889</v>
      </c>
      <c r="U113" s="470">
        <v>0.78110000000000002</v>
      </c>
    </row>
    <row r="114" spans="20:21" x14ac:dyDescent="0.2">
      <c r="T114" s="439" t="s">
        <v>890</v>
      </c>
      <c r="U114" s="470">
        <v>0.45169999999999999</v>
      </c>
    </row>
    <row r="115" spans="20:21" x14ac:dyDescent="0.2">
      <c r="T115" s="439" t="s">
        <v>891</v>
      </c>
      <c r="U115" s="470">
        <v>0.88360000000000005</v>
      </c>
    </row>
    <row r="116" spans="20:21" x14ac:dyDescent="0.2">
      <c r="T116" s="439" t="s">
        <v>892</v>
      </c>
      <c r="U116" s="470">
        <v>0.7752</v>
      </c>
    </row>
    <row r="117" spans="20:21" x14ac:dyDescent="0.2">
      <c r="T117" s="439" t="s">
        <v>893</v>
      </c>
      <c r="U117" s="470">
        <v>0.75270000000000004</v>
      </c>
    </row>
    <row r="118" spans="20:21" x14ac:dyDescent="0.2">
      <c r="T118" s="439" t="s">
        <v>894</v>
      </c>
      <c r="U118" s="470">
        <v>0.2747</v>
      </c>
    </row>
    <row r="119" spans="20:21" x14ac:dyDescent="0.2">
      <c r="T119" s="439" t="s">
        <v>895</v>
      </c>
      <c r="U119" s="470">
        <v>0.73570000000000002</v>
      </c>
    </row>
    <row r="120" spans="20:21" x14ac:dyDescent="0.2">
      <c r="T120" s="439" t="s">
        <v>896</v>
      </c>
      <c r="U120" s="470">
        <v>0.6966</v>
      </c>
    </row>
    <row r="121" spans="20:21" x14ac:dyDescent="0.2">
      <c r="T121" s="439" t="s">
        <v>897</v>
      </c>
      <c r="U121" s="470">
        <v>0.46610000000000001</v>
      </c>
    </row>
    <row r="122" spans="20:21" x14ac:dyDescent="0.2">
      <c r="T122" s="439" t="s">
        <v>898</v>
      </c>
      <c r="U122" s="470">
        <v>0.67779999999999996</v>
      </c>
    </row>
    <row r="123" spans="20:21" x14ac:dyDescent="0.2">
      <c r="T123" s="439" t="s">
        <v>899</v>
      </c>
      <c r="U123" s="470">
        <v>0.59640000000000004</v>
      </c>
    </row>
    <row r="124" spans="20:21" x14ac:dyDescent="0.2">
      <c r="T124" s="439" t="s">
        <v>900</v>
      </c>
      <c r="U124" s="470">
        <v>0.2399</v>
      </c>
    </row>
    <row r="125" spans="20:21" x14ac:dyDescent="0.2">
      <c r="T125" s="439" t="s">
        <v>901</v>
      </c>
      <c r="U125" s="470">
        <v>0.95130000000000003</v>
      </c>
    </row>
    <row r="126" spans="20:21" x14ac:dyDescent="0.2">
      <c r="T126" s="439" t="s">
        <v>902</v>
      </c>
      <c r="U126" s="470">
        <v>0.74560000000000004</v>
      </c>
    </row>
    <row r="127" spans="20:21" x14ac:dyDescent="0.2">
      <c r="T127" s="439" t="s">
        <v>903</v>
      </c>
      <c r="U127" s="470">
        <v>0.89190000000000003</v>
      </c>
    </row>
    <row r="128" spans="20:21" x14ac:dyDescent="0.2">
      <c r="T128" s="439" t="s">
        <v>904</v>
      </c>
      <c r="U128" s="470">
        <v>0.94069999999999998</v>
      </c>
    </row>
    <row r="129" spans="1:21" x14ac:dyDescent="0.2">
      <c r="T129" s="439" t="s">
        <v>905</v>
      </c>
      <c r="U129" s="470">
        <v>0.253</v>
      </c>
    </row>
    <row r="130" spans="1:21" x14ac:dyDescent="0.2">
      <c r="A130" s="257" t="s">
        <v>1019</v>
      </c>
      <c r="B130" s="439"/>
      <c r="C130" s="439"/>
      <c r="D130" s="439"/>
      <c r="T130" s="439" t="s">
        <v>906</v>
      </c>
      <c r="U130" s="470">
        <v>0.38440000000000002</v>
      </c>
    </row>
    <row r="131" spans="1:21" x14ac:dyDescent="0.2">
      <c r="A131" s="1" t="s">
        <v>970</v>
      </c>
      <c r="B131" s="1">
        <f>Earnings!F5</f>
        <v>2017</v>
      </c>
      <c r="C131" s="1">
        <v>2018</v>
      </c>
      <c r="D131" s="1">
        <v>2019</v>
      </c>
      <c r="E131" s="1">
        <v>2020</v>
      </c>
      <c r="F131" s="1">
        <v>2021</v>
      </c>
      <c r="G131" s="1">
        <v>2022</v>
      </c>
      <c r="H131" s="1">
        <v>2023</v>
      </c>
      <c r="I131" s="1">
        <v>2024</v>
      </c>
      <c r="J131" s="1">
        <v>2025</v>
      </c>
      <c r="K131" s="1">
        <v>2026</v>
      </c>
      <c r="L131" s="1">
        <v>2027</v>
      </c>
      <c r="T131" s="439" t="s">
        <v>907</v>
      </c>
      <c r="U131" s="470">
        <v>0.41010000000000002</v>
      </c>
    </row>
    <row r="132" spans="1:21" x14ac:dyDescent="0.2">
      <c r="A132" s="1" t="str">
        <f>Earnings!A15</f>
        <v>Revenue</v>
      </c>
      <c r="B132" s="469">
        <f>Earnings!F15</f>
        <v>40123</v>
      </c>
      <c r="C132" s="469">
        <f>Earnings!K15</f>
        <v>42292.600000000006</v>
      </c>
      <c r="D132" s="469">
        <f>Earnings!P15</f>
        <v>46840</v>
      </c>
      <c r="E132" s="469">
        <f>Earnings!U15</f>
        <v>47994</v>
      </c>
      <c r="F132" s="469">
        <f>Earnings!Z15</f>
        <v>50462</v>
      </c>
      <c r="G132" s="469">
        <f>Earnings!AE15</f>
        <v>59284</v>
      </c>
      <c r="H132" s="469">
        <f>Earnings!AJ15</f>
        <v>57481.03</v>
      </c>
      <c r="I132" s="469">
        <f>Earnings!AK15</f>
        <v>61387.662723310001</v>
      </c>
      <c r="J132" s="469">
        <f>Earnings!AL15</f>
        <v>64565.516867482009</v>
      </c>
      <c r="K132" s="469">
        <f>Earnings!AM15</f>
        <v>66022.8617624404</v>
      </c>
      <c r="L132" s="469">
        <f>Earnings!AN15</f>
        <v>67788.785416207276</v>
      </c>
      <c r="M132" s="469"/>
      <c r="N132" s="469"/>
      <c r="T132" s="439" t="s">
        <v>908</v>
      </c>
      <c r="U132" s="470">
        <v>0.80179999999999996</v>
      </c>
    </row>
    <row r="133" spans="1:21" x14ac:dyDescent="0.2">
      <c r="A133" s="1" t="str">
        <f>Earnings!A33</f>
        <v>Net Income</v>
      </c>
      <c r="B133" s="469">
        <f>Earnings!F33</f>
        <v>10933</v>
      </c>
      <c r="C133" s="469">
        <f>Earnings!K33</f>
        <v>11619.600000000006</v>
      </c>
      <c r="D133" s="469">
        <f>Earnings!P33</f>
        <v>13382</v>
      </c>
      <c r="E133" s="469">
        <f>Earnings!U33</f>
        <v>15082</v>
      </c>
      <c r="F133" s="469">
        <f>Earnings!Z33</f>
        <v>17037.25</v>
      </c>
      <c r="G133" s="469">
        <f>Earnings!AE33</f>
        <v>19005</v>
      </c>
      <c r="H133" s="469">
        <f>Earnings!AJ33</f>
        <v>17191.589932400002</v>
      </c>
      <c r="I133" s="469">
        <f>Earnings!AK33</f>
        <v>20532.293493899808</v>
      </c>
      <c r="J133" s="469">
        <f>Earnings!AL33</f>
        <v>22530.626574279922</v>
      </c>
      <c r="K133" s="469">
        <f>Earnings!AM33</f>
        <v>23491.693784517123</v>
      </c>
      <c r="L133" s="469">
        <f>Earnings!AN33</f>
        <v>24752.014340910908</v>
      </c>
      <c r="M133" s="469"/>
      <c r="N133" s="469"/>
      <c r="T133" s="439" t="s">
        <v>909</v>
      </c>
      <c r="U133" s="470">
        <v>0.63780000000000003</v>
      </c>
    </row>
    <row r="134" spans="1:21" x14ac:dyDescent="0.2">
      <c r="B134" s="469"/>
      <c r="C134" s="469"/>
      <c r="D134" s="469"/>
      <c r="E134" s="469"/>
      <c r="F134" s="469"/>
      <c r="G134" s="469"/>
      <c r="H134" s="469"/>
      <c r="I134" s="469"/>
      <c r="J134" s="469"/>
      <c r="K134" s="469"/>
      <c r="L134" s="469"/>
      <c r="M134" s="469"/>
      <c r="N134" s="469"/>
      <c r="T134" s="439" t="s">
        <v>910</v>
      </c>
      <c r="U134" s="470">
        <v>0.73429999999999995</v>
      </c>
    </row>
    <row r="135" spans="1:21" x14ac:dyDescent="0.2">
      <c r="B135" s="469"/>
      <c r="C135" s="469"/>
      <c r="D135" s="469"/>
      <c r="E135" s="469"/>
      <c r="I135" s="469"/>
      <c r="J135" s="469"/>
      <c r="K135" s="469"/>
      <c r="L135" s="469"/>
      <c r="M135" s="469"/>
      <c r="N135" s="469"/>
      <c r="T135" s="439" t="s">
        <v>911</v>
      </c>
      <c r="U135" s="470">
        <v>1.1534</v>
      </c>
    </row>
    <row r="136" spans="1:21" x14ac:dyDescent="0.2">
      <c r="G136" s="257" t="s">
        <v>1018</v>
      </c>
      <c r="T136" s="439" t="s">
        <v>912</v>
      </c>
      <c r="U136" s="470">
        <v>0.81730000000000003</v>
      </c>
    </row>
    <row r="137" spans="1:21" x14ac:dyDescent="0.2">
      <c r="G137" s="466" t="s">
        <v>583</v>
      </c>
      <c r="H137" s="410" t="s">
        <v>585</v>
      </c>
      <c r="T137" s="439" t="s">
        <v>913</v>
      </c>
      <c r="U137" s="470">
        <v>4.2000000000000003E-2</v>
      </c>
    </row>
    <row r="138" spans="1:21" x14ac:dyDescent="0.2">
      <c r="G138" s="467" t="s">
        <v>0</v>
      </c>
      <c r="H138" s="468">
        <f>'Multiple (Relative Methods)'!D6</f>
        <v>271553.23599999998</v>
      </c>
      <c r="T138" s="439" t="s">
        <v>914</v>
      </c>
      <c r="U138" s="470">
        <v>0.55900000000000005</v>
      </c>
    </row>
    <row r="139" spans="1:21" x14ac:dyDescent="0.2">
      <c r="G139" s="323" t="s">
        <v>633</v>
      </c>
      <c r="H139" s="469">
        <f>'Multiple (Relative Methods)'!D7</f>
        <v>231640.66800000001</v>
      </c>
      <c r="T139" s="439" t="s">
        <v>915</v>
      </c>
      <c r="U139" s="470">
        <v>0.92030000000000001</v>
      </c>
    </row>
    <row r="140" spans="1:21" x14ac:dyDescent="0.2">
      <c r="G140" s="323" t="s">
        <v>634</v>
      </c>
      <c r="H140" s="469">
        <f>'Multiple (Relative Methods)'!D8</f>
        <v>224201.07699999999</v>
      </c>
      <c r="T140" s="439" t="s">
        <v>916</v>
      </c>
      <c r="U140" s="470">
        <v>0.71609999999999996</v>
      </c>
    </row>
    <row r="141" spans="1:21" x14ac:dyDescent="0.2">
      <c r="G141" s="323" t="s">
        <v>636</v>
      </c>
      <c r="H141" s="469">
        <f>'Multiple (Relative Methods)'!D9</f>
        <v>172347.693</v>
      </c>
      <c r="T141" s="439" t="s">
        <v>917</v>
      </c>
      <c r="U141" s="470">
        <v>0.60629999999999995</v>
      </c>
    </row>
    <row r="142" spans="1:21" x14ac:dyDescent="0.2">
      <c r="G142" s="323" t="s">
        <v>638</v>
      </c>
      <c r="H142" s="469">
        <f>'Multiple (Relative Methods)'!D10</f>
        <v>139505.639</v>
      </c>
      <c r="T142" s="439" t="s">
        <v>918</v>
      </c>
      <c r="U142" s="470">
        <v>0.95920000000000005</v>
      </c>
    </row>
    <row r="143" spans="1:21" x14ac:dyDescent="0.2">
      <c r="G143" s="323" t="s">
        <v>640</v>
      </c>
      <c r="H143" s="469">
        <f>'Multiple (Relative Methods)'!D11</f>
        <v>123161.61900000001</v>
      </c>
      <c r="T143" s="439" t="s">
        <v>919</v>
      </c>
      <c r="U143" s="470">
        <v>0.98980000000000001</v>
      </c>
    </row>
    <row r="144" spans="1:21" x14ac:dyDescent="0.2">
      <c r="G144" s="323" t="s">
        <v>642</v>
      </c>
      <c r="H144" s="469">
        <f>'Multiple (Relative Methods)'!D12</f>
        <v>116986.11</v>
      </c>
      <c r="T144" s="439" t="s">
        <v>920</v>
      </c>
      <c r="U144" s="470">
        <v>0.42549999999999999</v>
      </c>
    </row>
    <row r="145" spans="1:21" x14ac:dyDescent="0.2">
      <c r="G145" s="323" t="s">
        <v>643</v>
      </c>
      <c r="H145" s="469">
        <f>'Multiple (Relative Methods)'!D13</f>
        <v>99481.577999999994</v>
      </c>
      <c r="T145" s="439" t="s">
        <v>921</v>
      </c>
      <c r="U145" s="470">
        <v>0.60580000000000001</v>
      </c>
    </row>
    <row r="146" spans="1:21" x14ac:dyDescent="0.2">
      <c r="G146" s="323" t="s">
        <v>644</v>
      </c>
      <c r="H146" s="469">
        <f>'Multiple (Relative Methods)'!D14</f>
        <v>68075.813999999998</v>
      </c>
      <c r="T146" s="439" t="s">
        <v>922</v>
      </c>
      <c r="U146" s="470">
        <v>0.81630000000000003</v>
      </c>
    </row>
    <row r="147" spans="1:21" x14ac:dyDescent="0.2">
      <c r="T147" s="439" t="s">
        <v>923</v>
      </c>
      <c r="U147" s="470">
        <v>0.63529999999999998</v>
      </c>
    </row>
    <row r="148" spans="1:21" x14ac:dyDescent="0.2">
      <c r="T148" s="439" t="s">
        <v>924</v>
      </c>
      <c r="U148" s="470">
        <v>0.32750000000000001</v>
      </c>
    </row>
    <row r="149" spans="1:21" x14ac:dyDescent="0.2">
      <c r="T149" s="439" t="s">
        <v>925</v>
      </c>
      <c r="U149" s="470">
        <v>0.97570000000000001</v>
      </c>
    </row>
    <row r="150" spans="1:21" x14ac:dyDescent="0.2">
      <c r="T150" s="439" t="s">
        <v>926</v>
      </c>
      <c r="U150" s="470">
        <v>0.77659999999999996</v>
      </c>
    </row>
    <row r="151" spans="1:21" x14ac:dyDescent="0.2">
      <c r="F151" s="257" t="s">
        <v>1029</v>
      </c>
      <c r="T151" s="439" t="s">
        <v>927</v>
      </c>
      <c r="U151" s="470">
        <v>0.58199999999999996</v>
      </c>
    </row>
    <row r="152" spans="1:21" x14ac:dyDescent="0.2">
      <c r="T152" s="439" t="s">
        <v>928</v>
      </c>
      <c r="U152" s="470">
        <v>0.77580000000000005</v>
      </c>
    </row>
    <row r="153" spans="1:21" x14ac:dyDescent="0.2">
      <c r="T153" s="439" t="s">
        <v>929</v>
      </c>
      <c r="U153" s="470">
        <v>0.1603</v>
      </c>
    </row>
    <row r="154" spans="1:21" x14ac:dyDescent="0.2">
      <c r="A154" s="257" t="s">
        <v>1024</v>
      </c>
      <c r="M154" s="257" t="s">
        <v>1030</v>
      </c>
      <c r="T154" s="439" t="s">
        <v>930</v>
      </c>
      <c r="U154" s="470">
        <v>0.38869999999999999</v>
      </c>
    </row>
    <row r="155" spans="1:21" x14ac:dyDescent="0.2">
      <c r="A155" s="1" t="s">
        <v>1025</v>
      </c>
      <c r="B155" s="496">
        <f>'Financial Analysis'!G21</f>
        <v>0.13300659582264565</v>
      </c>
      <c r="T155" s="439" t="s">
        <v>931</v>
      </c>
      <c r="U155" s="470">
        <v>0.87270000000000003</v>
      </c>
    </row>
    <row r="156" spans="1:21" x14ac:dyDescent="0.2">
      <c r="A156" s="1" t="s">
        <v>1026</v>
      </c>
      <c r="B156" s="496">
        <f>'Financial Analysis'!G23</f>
        <v>0.31569220064795284</v>
      </c>
      <c r="T156" s="439" t="s">
        <v>932</v>
      </c>
      <c r="U156" s="470">
        <v>0.58950000000000002</v>
      </c>
    </row>
    <row r="157" spans="1:21" x14ac:dyDescent="0.2">
      <c r="A157" s="1" t="s">
        <v>1027</v>
      </c>
      <c r="B157" s="496">
        <f>'Financial Analysis'!G26</f>
        <v>0.18771309740791936</v>
      </c>
      <c r="T157" s="439" t="s">
        <v>933</v>
      </c>
      <c r="U157" s="470">
        <v>0.88200000000000001</v>
      </c>
    </row>
    <row r="158" spans="1:21" x14ac:dyDescent="0.2">
      <c r="T158" s="439" t="s">
        <v>934</v>
      </c>
      <c r="U158" s="470">
        <v>0.52239999999999998</v>
      </c>
    </row>
    <row r="159" spans="1:21" x14ac:dyDescent="0.2">
      <c r="T159" s="439" t="s">
        <v>935</v>
      </c>
      <c r="U159" s="470">
        <v>0.60880000000000001</v>
      </c>
    </row>
    <row r="160" spans="1:21" x14ac:dyDescent="0.2">
      <c r="T160" s="439" t="s">
        <v>936</v>
      </c>
      <c r="U160" s="470">
        <v>0.52659999999999996</v>
      </c>
    </row>
    <row r="161" spans="1:21" x14ac:dyDescent="0.2">
      <c r="T161" s="439" t="s">
        <v>937</v>
      </c>
      <c r="U161" s="470">
        <v>0.48630000000000001</v>
      </c>
    </row>
    <row r="162" spans="1:21" x14ac:dyDescent="0.2">
      <c r="T162" s="439" t="s">
        <v>938</v>
      </c>
      <c r="U162" s="470">
        <v>0.40410000000000001</v>
      </c>
    </row>
    <row r="163" spans="1:21" x14ac:dyDescent="0.2">
      <c r="T163" s="439" t="s">
        <v>939</v>
      </c>
      <c r="U163" s="470">
        <v>0.27900000000000003</v>
      </c>
    </row>
    <row r="164" spans="1:21" x14ac:dyDescent="0.2">
      <c r="T164" s="439" t="s">
        <v>940</v>
      </c>
      <c r="U164" s="470">
        <v>0.88419999999999999</v>
      </c>
    </row>
    <row r="165" spans="1:21" x14ac:dyDescent="0.2">
      <c r="T165" s="439" t="s">
        <v>941</v>
      </c>
      <c r="U165" s="470">
        <v>0.80059999999999998</v>
      </c>
    </row>
    <row r="166" spans="1:21" x14ac:dyDescent="0.2">
      <c r="T166" s="439" t="s">
        <v>942</v>
      </c>
      <c r="U166" s="470">
        <v>0.33800000000000002</v>
      </c>
    </row>
    <row r="167" spans="1:21" x14ac:dyDescent="0.2">
      <c r="T167" s="439" t="s">
        <v>943</v>
      </c>
      <c r="U167" s="470">
        <v>0.28789999999999999</v>
      </c>
    </row>
    <row r="168" spans="1:21" x14ac:dyDescent="0.2">
      <c r="T168" s="439" t="s">
        <v>944</v>
      </c>
      <c r="U168" s="470">
        <v>0.45650000000000002</v>
      </c>
    </row>
    <row r="169" spans="1:21" x14ac:dyDescent="0.2">
      <c r="T169" s="439" t="s">
        <v>945</v>
      </c>
      <c r="U169" s="470">
        <v>0.7742</v>
      </c>
    </row>
    <row r="170" spans="1:21" x14ac:dyDescent="0.2">
      <c r="T170" s="439" t="s">
        <v>946</v>
      </c>
      <c r="U170" s="470">
        <v>0.70430000000000004</v>
      </c>
    </row>
    <row r="171" spans="1:21" x14ac:dyDescent="0.2">
      <c r="A171" s="257" t="s">
        <v>1031</v>
      </c>
      <c r="F171" s="257" t="s">
        <v>1032</v>
      </c>
      <c r="T171" s="439" t="s">
        <v>947</v>
      </c>
      <c r="U171" s="470">
        <v>0.18340000000000001</v>
      </c>
    </row>
    <row r="172" spans="1:21" x14ac:dyDescent="0.2">
      <c r="T172" s="439" t="s">
        <v>948</v>
      </c>
      <c r="U172" s="470">
        <v>0.91830000000000001</v>
      </c>
    </row>
    <row r="173" spans="1:21" x14ac:dyDescent="0.2">
      <c r="T173" s="439" t="s">
        <v>949</v>
      </c>
      <c r="U173" s="470">
        <v>0.55689999999999995</v>
      </c>
    </row>
    <row r="174" spans="1:21" x14ac:dyDescent="0.2">
      <c r="T174" s="439" t="s">
        <v>950</v>
      </c>
      <c r="U174" s="470">
        <v>0.5675</v>
      </c>
    </row>
    <row r="175" spans="1:21" x14ac:dyDescent="0.2">
      <c r="T175" s="439" t="s">
        <v>951</v>
      </c>
      <c r="U175" s="470">
        <v>0.82499999999999996</v>
      </c>
    </row>
    <row r="176" spans="1:21" x14ac:dyDescent="0.2">
      <c r="T176" s="439" t="s">
        <v>952</v>
      </c>
      <c r="U176" s="470">
        <v>0.66969999999999996</v>
      </c>
    </row>
    <row r="177" spans="1:21" x14ac:dyDescent="0.2">
      <c r="T177" s="439" t="s">
        <v>953</v>
      </c>
      <c r="U177" s="470">
        <v>0.27110000000000001</v>
      </c>
    </row>
    <row r="178" spans="1:21" x14ac:dyDescent="0.2">
      <c r="T178" s="439" t="s">
        <v>954</v>
      </c>
      <c r="U178" s="470">
        <v>0.53900000000000003</v>
      </c>
    </row>
    <row r="179" spans="1:21" x14ac:dyDescent="0.2">
      <c r="T179" s="439" t="s">
        <v>955</v>
      </c>
      <c r="U179" s="470">
        <v>0.61070000000000002</v>
      </c>
    </row>
    <row r="180" spans="1:21" x14ac:dyDescent="0.2">
      <c r="T180" s="439" t="s">
        <v>956</v>
      </c>
      <c r="U180" s="470">
        <v>0.68700000000000006</v>
      </c>
    </row>
    <row r="181" spans="1:21" x14ac:dyDescent="0.2">
      <c r="T181" s="439" t="s">
        <v>957</v>
      </c>
      <c r="U181" s="470">
        <v>0.42599999999999999</v>
      </c>
    </row>
    <row r="182" spans="1:21" x14ac:dyDescent="0.2">
      <c r="T182" s="439" t="s">
        <v>958</v>
      </c>
      <c r="U182" s="470">
        <v>0.36059999999999998</v>
      </c>
    </row>
    <row r="183" spans="1:21" x14ac:dyDescent="0.2">
      <c r="T183" s="439" t="s">
        <v>781</v>
      </c>
      <c r="U183" s="470">
        <v>1.0101</v>
      </c>
    </row>
    <row r="184" spans="1:21" x14ac:dyDescent="0.2">
      <c r="T184" s="439" t="s">
        <v>778</v>
      </c>
      <c r="U184" s="470">
        <v>0.79269999999999996</v>
      </c>
    </row>
    <row r="185" spans="1:21" x14ac:dyDescent="0.2">
      <c r="T185" s="439" t="s">
        <v>777</v>
      </c>
      <c r="U185" s="470">
        <v>0.81810000000000005</v>
      </c>
    </row>
    <row r="186" spans="1:21" x14ac:dyDescent="0.2">
      <c r="T186" s="439" t="s">
        <v>959</v>
      </c>
      <c r="U186" s="470">
        <v>0.86550000000000005</v>
      </c>
    </row>
    <row r="187" spans="1:21" x14ac:dyDescent="0.2">
      <c r="A187" s="257" t="s">
        <v>1033</v>
      </c>
      <c r="T187" s="439" t="s">
        <v>960</v>
      </c>
      <c r="U187" s="470">
        <v>0.64759999999999995</v>
      </c>
    </row>
    <row r="188" spans="1:21" x14ac:dyDescent="0.2">
      <c r="A188" s="1" t="s">
        <v>636</v>
      </c>
      <c r="B188" s="1" t="s">
        <v>675</v>
      </c>
      <c r="C188" s="1" t="s">
        <v>644</v>
      </c>
      <c r="D188" s="1" t="s">
        <v>642</v>
      </c>
      <c r="E188" s="1" t="s">
        <v>645</v>
      </c>
      <c r="F188" s="1" t="s">
        <v>640</v>
      </c>
      <c r="G188" s="1" t="s">
        <v>634</v>
      </c>
      <c r="H188" s="1" t="s">
        <v>633</v>
      </c>
      <c r="I188" s="1" t="s">
        <v>0</v>
      </c>
      <c r="J188" s="1" t="s">
        <v>643</v>
      </c>
      <c r="T188" s="439" t="s">
        <v>961</v>
      </c>
      <c r="U188" s="470">
        <v>0.60340000000000005</v>
      </c>
    </row>
    <row r="189" spans="1:21" x14ac:dyDescent="0.2">
      <c r="A189" s="308">
        <v>7.7100000000000002E-2</v>
      </c>
      <c r="B189" s="308">
        <v>7.2700000000000001E-2</v>
      </c>
      <c r="C189" s="308">
        <v>7.1400000000000005E-2</v>
      </c>
      <c r="D189" s="308">
        <v>6.7299999999999999E-2</v>
      </c>
      <c r="E189" s="308">
        <v>6.7000000000000004E-2</v>
      </c>
      <c r="F189" s="308">
        <v>6.5000000000000002E-2</v>
      </c>
      <c r="G189" s="308">
        <v>6.5000000000000002E-2</v>
      </c>
      <c r="H189" s="308">
        <v>4.7E-2</v>
      </c>
      <c r="I189" s="308">
        <f>'Cost of Capital'!L23</f>
        <v>4.4223475004669069E-2</v>
      </c>
      <c r="J189" s="308">
        <v>4.0099999999999997E-2</v>
      </c>
      <c r="T189" s="439" t="s">
        <v>962</v>
      </c>
      <c r="U189" s="470">
        <v>0.77910000000000001</v>
      </c>
    </row>
    <row r="190" spans="1:21" x14ac:dyDescent="0.2">
      <c r="T190" s="439" t="s">
        <v>963</v>
      </c>
      <c r="U190" s="470">
        <v>0.9294</v>
      </c>
    </row>
    <row r="191" spans="1:21" x14ac:dyDescent="0.2">
      <c r="A191" s="257" t="s">
        <v>1033</v>
      </c>
      <c r="T191" s="439" t="s">
        <v>964</v>
      </c>
      <c r="U191" s="470">
        <v>0.39450000000000002</v>
      </c>
    </row>
    <row r="192" spans="1:21" x14ac:dyDescent="0.2">
      <c r="A192" s="1" t="s">
        <v>733</v>
      </c>
      <c r="B192" s="313">
        <f>'Valuation (DCF) Model'!C46</f>
        <v>259.4696231018201</v>
      </c>
      <c r="T192" s="439" t="s">
        <v>965</v>
      </c>
      <c r="U192" s="470">
        <v>3.4099999999999998E-2</v>
      </c>
    </row>
    <row r="193" spans="1:21" x14ac:dyDescent="0.2">
      <c r="A193" s="1" t="s">
        <v>1017</v>
      </c>
      <c r="B193" s="313">
        <f>'Valuation (DCF) Model'!C47</f>
        <v>110.18396</v>
      </c>
      <c r="E193" s="257" t="s">
        <v>1032</v>
      </c>
      <c r="T193" s="439" t="s">
        <v>966</v>
      </c>
      <c r="U193" s="470">
        <v>0.60250000000000004</v>
      </c>
    </row>
    <row r="194" spans="1:21" x14ac:dyDescent="0.2">
      <c r="T194" s="439" t="s">
        <v>967</v>
      </c>
      <c r="U194" s="470">
        <v>0.44429999999999997</v>
      </c>
    </row>
    <row r="195" spans="1:21" x14ac:dyDescent="0.2">
      <c r="T195" s="439" t="s">
        <v>967</v>
      </c>
      <c r="U195" s="470">
        <v>0.44429999999999997</v>
      </c>
    </row>
    <row r="209" spans="1:1" x14ac:dyDescent="0.2">
      <c r="A209" s="241"/>
    </row>
  </sheetData>
  <sortState xmlns:xlrd2="http://schemas.microsoft.com/office/spreadsheetml/2017/richdata2" ref="A189:J189">
    <sortCondition descending="1" ref="J189"/>
  </sortState>
  <mergeCells count="3">
    <mergeCell ref="U1:U2"/>
    <mergeCell ref="A88:B88"/>
    <mergeCell ref="T1:T2"/>
  </mergeCells>
  <hyperlinks>
    <hyperlink ref="A103" r:id="rId1" xr:uid="{068BA6C9-7027-0C42-958D-50039597559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Cover</vt:lpstr>
      <vt:lpstr>Earnings</vt:lpstr>
      <vt:lpstr>Products</vt:lpstr>
      <vt:lpstr>Financial Statements</vt:lpstr>
      <vt:lpstr>Equity</vt:lpstr>
      <vt:lpstr>Cost of Capital</vt:lpstr>
      <vt:lpstr>Valuation (DCF) Model</vt:lpstr>
      <vt:lpstr>Multiple (Relative Methods)</vt:lpstr>
      <vt:lpstr>Financial Analysis</vt:lpstr>
      <vt:lpstr>Competitors Data</vt:lpstr>
      <vt:lpstr>Report Tables</vt:lpstr>
      <vt:lpstr>Report 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Tura Ventolà Franch</dc:creator>
  <cp:lastModifiedBy>Tura Ventolà Franch</cp:lastModifiedBy>
  <dcterms:created xsi:type="dcterms:W3CDTF">2023-03-28T16:12:01Z</dcterms:created>
  <dcterms:modified xsi:type="dcterms:W3CDTF">2023-04-01T20:13:27Z</dcterms:modified>
</cp:coreProperties>
</file>