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ra_ventola_franch/Desktop/"/>
    </mc:Choice>
  </mc:AlternateContent>
  <xr:revisionPtr revIDLastSave="0" documentId="13_ncr:1_{A4831BE3-6BE9-CE41-ACE4-DACA06F6B8E6}" xr6:coauthVersionLast="47" xr6:coauthVersionMax="47" xr10:uidLastSave="{00000000-0000-0000-0000-000000000000}"/>
  <bookViews>
    <workbookView xWindow="0" yWindow="500" windowWidth="31480" windowHeight="20360" tabRatio="715" xr2:uid="{00000000-000D-0000-FFFF-FFFF00000000}"/>
  </bookViews>
  <sheets>
    <sheet name="Valuation" sheetId="22" r:id="rId1"/>
    <sheet name="Key Metrics" sheetId="2" r:id="rId2"/>
    <sheet name="Income Statement" sheetId="3" r:id="rId3"/>
    <sheet name="Balance Sheet" sheetId="4" r:id="rId4"/>
    <sheet name="PB_CACHE" sheetId="13" state="veryHidden" r:id="rId5"/>
    <sheet name="Peer Group" sheetId="1" r:id="rId6"/>
    <sheet name="Graphs for the Tear Sheet" sheetId="20" r:id="rId7"/>
  </sheets>
  <externalReferences>
    <externalReference r:id="rId8"/>
  </externalReferences>
  <definedNames>
    <definedName name="_xlchart.v1.0" hidden="1">'Graphs for the Tear Sheet'!$B$35:$B$37</definedName>
    <definedName name="_xlchart.v1.1" hidden="1">'Graphs for the Tear Sheet'!$C$35:$C$37</definedName>
    <definedName name="CreatedFor">'Peer Group'!$D$5</definedName>
    <definedName name="CreatedForTitle">'Peer Group'!$C$5</definedName>
    <definedName name="FT_GROUP">'[1]Developing Store'!$D$20</definedName>
    <definedName name="FT_SIMPLE">'[1]Developing Store'!$D$22</definedName>
    <definedName name="FT_SIMPLE_BORDERED">'[1]Developing Store'!$D$24</definedName>
    <definedName name="FT_SUB_GROUP">'[1]Developing Store'!$D$26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22" l="1"/>
  <c r="B28" i="22"/>
  <c r="E15" i="22"/>
  <c r="B16" i="22"/>
  <c r="E13" i="22"/>
  <c r="J11" i="22"/>
  <c r="B57" i="22"/>
  <c r="B56" i="22"/>
  <c r="B55" i="22"/>
  <c r="B54" i="22"/>
  <c r="B53" i="22"/>
  <c r="C47" i="22"/>
  <c r="C46" i="22"/>
  <c r="C41" i="22"/>
  <c r="C38" i="22"/>
  <c r="C45" i="22" s="1"/>
  <c r="C36" i="22"/>
  <c r="B26" i="22"/>
  <c r="B25" i="22"/>
  <c r="B24" i="22"/>
  <c r="B20" i="22"/>
  <c r="B19" i="22"/>
  <c r="B17" i="22"/>
  <c r="E16" i="22"/>
  <c r="J9" i="22"/>
  <c r="E14" i="22" s="1"/>
  <c r="B8" i="22"/>
  <c r="B9" i="22" s="1"/>
  <c r="K6" i="22"/>
  <c r="D6" i="22"/>
  <c r="C6" i="22"/>
  <c r="B6" i="22"/>
  <c r="K5" i="22"/>
  <c r="J5" i="22"/>
  <c r="K4" i="22"/>
  <c r="J4" i="22"/>
  <c r="J6" i="22" s="1"/>
  <c r="J7" i="22" s="1"/>
  <c r="B27" i="22" s="1"/>
  <c r="E17" i="22" l="1"/>
  <c r="C32" i="22" l="1"/>
  <c r="D28" i="22"/>
  <c r="D32" i="22" l="1"/>
  <c r="E28" i="22"/>
  <c r="E32" i="22" l="1"/>
  <c r="F28" i="22"/>
  <c r="F32" i="22" l="1"/>
  <c r="G28" i="22"/>
  <c r="G30" i="22" l="1"/>
  <c r="G32" i="22" s="1"/>
  <c r="C35" i="22" s="1"/>
  <c r="C37" i="22" s="1"/>
  <c r="C38" i="20"/>
  <c r="C32" i="20"/>
  <c r="C26" i="20"/>
  <c r="C20" i="20"/>
  <c r="C13" i="20"/>
  <c r="C8" i="20"/>
  <c r="C4" i="20"/>
  <c r="D221" i="4"/>
  <c r="G220" i="4"/>
  <c r="F219" i="4"/>
  <c r="D218" i="4"/>
  <c r="H217" i="4"/>
  <c r="F216" i="4"/>
  <c r="D204" i="4"/>
  <c r="I203" i="4"/>
  <c r="F202" i="4"/>
  <c r="K201" i="4"/>
  <c r="D200" i="4"/>
  <c r="H199" i="4"/>
  <c r="G182" i="4"/>
  <c r="D181" i="4"/>
  <c r="I180" i="4"/>
  <c r="F179" i="4"/>
  <c r="K178" i="4"/>
  <c r="D177" i="4"/>
  <c r="D156" i="4"/>
  <c r="K155" i="4"/>
  <c r="D154" i="4"/>
  <c r="G153" i="4"/>
  <c r="D146" i="4"/>
  <c r="E127" i="4"/>
  <c r="H126" i="4"/>
  <c r="K124" i="4"/>
  <c r="D123" i="4"/>
  <c r="F121" i="4"/>
  <c r="G118" i="4"/>
  <c r="D92" i="4"/>
  <c r="H91" i="4"/>
  <c r="D90" i="4"/>
  <c r="J89" i="4"/>
  <c r="F87" i="4"/>
  <c r="J79" i="4"/>
  <c r="H61" i="4"/>
  <c r="E59" i="4"/>
  <c r="F56" i="4"/>
  <c r="J55" i="4"/>
  <c r="H54" i="4"/>
  <c r="E52" i="4"/>
  <c r="G33" i="4"/>
  <c r="D32" i="4"/>
  <c r="D30" i="4"/>
  <c r="K29" i="4"/>
  <c r="D28" i="4"/>
  <c r="H27" i="4"/>
  <c r="C11" i="4"/>
  <c r="M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12" i="4"/>
  <c r="M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13" i="4"/>
  <c r="M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14" i="4"/>
  <c r="M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M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D24" i="4"/>
  <c r="E24" i="4"/>
  <c r="F24" i="4"/>
  <c r="G24" i="4"/>
  <c r="H24" i="4"/>
  <c r="I24" i="4"/>
  <c r="J24" i="4"/>
  <c r="K24" i="4"/>
  <c r="C25" i="4"/>
  <c r="M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26" i="4"/>
  <c r="M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27" i="4"/>
  <c r="C28" i="4"/>
  <c r="C29" i="4"/>
  <c r="H29" i="4"/>
  <c r="I29" i="4"/>
  <c r="J29" i="4"/>
  <c r="C30" i="4"/>
  <c r="C31" i="4"/>
  <c r="D31" i="4"/>
  <c r="E31" i="4"/>
  <c r="F31" i="4"/>
  <c r="G31" i="4"/>
  <c r="H31" i="4"/>
  <c r="I31" i="4"/>
  <c r="J31" i="4"/>
  <c r="K31" i="4"/>
  <c r="C32" i="4"/>
  <c r="K32" i="4"/>
  <c r="C33" i="4"/>
  <c r="D33" i="4"/>
  <c r="E33" i="4"/>
  <c r="F33" i="4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C37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M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40" i="4"/>
  <c r="M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41" i="4"/>
  <c r="M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42" i="4"/>
  <c r="M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M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C53" i="4"/>
  <c r="M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54" i="4"/>
  <c r="F54" i="4"/>
  <c r="G54" i="4"/>
  <c r="C55" i="4"/>
  <c r="C56" i="4"/>
  <c r="D56" i="4"/>
  <c r="E56" i="4"/>
  <c r="C57" i="4"/>
  <c r="M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58" i="4"/>
  <c r="M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59" i="4"/>
  <c r="D59" i="4"/>
  <c r="C60" i="4"/>
  <c r="M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61" i="4"/>
  <c r="D61" i="4"/>
  <c r="E61" i="4"/>
  <c r="F61" i="4"/>
  <c r="G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M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68" i="4"/>
  <c r="M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69" i="4"/>
  <c r="M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70" i="4"/>
  <c r="D70" i="4"/>
  <c r="E70" i="4"/>
  <c r="F70" i="4"/>
  <c r="G70" i="4"/>
  <c r="H70" i="4"/>
  <c r="I70" i="4"/>
  <c r="J70" i="4"/>
  <c r="K70" i="4"/>
  <c r="C71" i="4"/>
  <c r="D71" i="4"/>
  <c r="E71" i="4"/>
  <c r="F71" i="4"/>
  <c r="G71" i="4"/>
  <c r="H71" i="4"/>
  <c r="I71" i="4"/>
  <c r="J71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K74" i="4"/>
  <c r="C75" i="4"/>
  <c r="M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C79" i="4"/>
  <c r="I79" i="4"/>
  <c r="C80" i="4"/>
  <c r="D80" i="4"/>
  <c r="E80" i="4"/>
  <c r="F80" i="4"/>
  <c r="G80" i="4"/>
  <c r="H80" i="4"/>
  <c r="I80" i="4"/>
  <c r="J80" i="4"/>
  <c r="K80" i="4"/>
  <c r="C81" i="4"/>
  <c r="M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82" i="4"/>
  <c r="D82" i="4"/>
  <c r="E82" i="4"/>
  <c r="F82" i="4"/>
  <c r="G82" i="4"/>
  <c r="H82" i="4"/>
  <c r="I82" i="4"/>
  <c r="J82" i="4"/>
  <c r="K82" i="4"/>
  <c r="C83" i="4"/>
  <c r="D83" i="4"/>
  <c r="E83" i="4"/>
  <c r="F83" i="4"/>
  <c r="G83" i="4"/>
  <c r="H83" i="4"/>
  <c r="I83" i="4"/>
  <c r="J83" i="4"/>
  <c r="K83" i="4"/>
  <c r="C84" i="4"/>
  <c r="M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85" i="4"/>
  <c r="D85" i="4"/>
  <c r="E85" i="4"/>
  <c r="F85" i="4"/>
  <c r="G85" i="4"/>
  <c r="H85" i="4"/>
  <c r="I85" i="4"/>
  <c r="J85" i="4"/>
  <c r="K85" i="4"/>
  <c r="C86" i="4"/>
  <c r="D86" i="4"/>
  <c r="E86" i="4"/>
  <c r="F86" i="4"/>
  <c r="G86" i="4"/>
  <c r="H86" i="4"/>
  <c r="I86" i="4"/>
  <c r="J86" i="4"/>
  <c r="K86" i="4"/>
  <c r="C87" i="4"/>
  <c r="J87" i="4"/>
  <c r="K87" i="4"/>
  <c r="C88" i="4"/>
  <c r="D88" i="4"/>
  <c r="E88" i="4"/>
  <c r="F88" i="4"/>
  <c r="G88" i="4"/>
  <c r="H88" i="4"/>
  <c r="I88" i="4"/>
  <c r="J88" i="4"/>
  <c r="K88" i="4"/>
  <c r="C89" i="4"/>
  <c r="G89" i="4"/>
  <c r="H89" i="4"/>
  <c r="I89" i="4"/>
  <c r="C90" i="4"/>
  <c r="C91" i="4"/>
  <c r="D91" i="4"/>
  <c r="E91" i="4"/>
  <c r="F91" i="4"/>
  <c r="G91" i="4"/>
  <c r="C92" i="4"/>
  <c r="I92" i="4"/>
  <c r="J92" i="4"/>
  <c r="K92" i="4"/>
  <c r="C93" i="4"/>
  <c r="M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94" i="4"/>
  <c r="M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95" i="4"/>
  <c r="M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96" i="4"/>
  <c r="M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97" i="4"/>
  <c r="D97" i="4"/>
  <c r="E97" i="4"/>
  <c r="F97" i="4"/>
  <c r="G97" i="4"/>
  <c r="H97" i="4"/>
  <c r="I97" i="4"/>
  <c r="J97" i="4"/>
  <c r="K97" i="4"/>
  <c r="C98" i="4"/>
  <c r="D98" i="4"/>
  <c r="E98" i="4"/>
  <c r="F98" i="4"/>
  <c r="G98" i="4"/>
  <c r="H98" i="4"/>
  <c r="I98" i="4"/>
  <c r="J98" i="4"/>
  <c r="K98" i="4"/>
  <c r="C99" i="4"/>
  <c r="M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100" i="4"/>
  <c r="D100" i="4"/>
  <c r="E100" i="4"/>
  <c r="F100" i="4"/>
  <c r="G100" i="4"/>
  <c r="H100" i="4"/>
  <c r="I100" i="4"/>
  <c r="J100" i="4"/>
  <c r="K100" i="4"/>
  <c r="C101" i="4"/>
  <c r="D101" i="4"/>
  <c r="E101" i="4"/>
  <c r="F101" i="4"/>
  <c r="G101" i="4"/>
  <c r="H101" i="4"/>
  <c r="I101" i="4"/>
  <c r="J101" i="4"/>
  <c r="K101" i="4"/>
  <c r="C102" i="4"/>
  <c r="D102" i="4"/>
  <c r="E102" i="4"/>
  <c r="F102" i="4"/>
  <c r="G102" i="4"/>
  <c r="H102" i="4"/>
  <c r="I102" i="4"/>
  <c r="J102" i="4"/>
  <c r="K102" i="4"/>
  <c r="C103" i="4"/>
  <c r="D103" i="4"/>
  <c r="E103" i="4"/>
  <c r="F103" i="4"/>
  <c r="G103" i="4"/>
  <c r="H103" i="4"/>
  <c r="I103" i="4"/>
  <c r="J103" i="4"/>
  <c r="K103" i="4"/>
  <c r="C104" i="4"/>
  <c r="D104" i="4"/>
  <c r="E104" i="4"/>
  <c r="F104" i="4"/>
  <c r="G104" i="4"/>
  <c r="H104" i="4"/>
  <c r="I104" i="4"/>
  <c r="J104" i="4"/>
  <c r="K104" i="4"/>
  <c r="C105" i="4"/>
  <c r="D105" i="4"/>
  <c r="E105" i="4"/>
  <c r="F105" i="4"/>
  <c r="G105" i="4"/>
  <c r="H105" i="4"/>
  <c r="I105" i="4"/>
  <c r="J105" i="4"/>
  <c r="K105" i="4"/>
  <c r="C106" i="4"/>
  <c r="M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107" i="4"/>
  <c r="M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108" i="4"/>
  <c r="M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109" i="4"/>
  <c r="D109" i="4"/>
  <c r="E109" i="4"/>
  <c r="F109" i="4"/>
  <c r="G109" i="4"/>
  <c r="H109" i="4"/>
  <c r="I109" i="4"/>
  <c r="J109" i="4"/>
  <c r="K109" i="4"/>
  <c r="C110" i="4"/>
  <c r="D110" i="4"/>
  <c r="E110" i="4"/>
  <c r="F110" i="4"/>
  <c r="G110" i="4"/>
  <c r="H110" i="4"/>
  <c r="I110" i="4"/>
  <c r="J110" i="4"/>
  <c r="K110" i="4"/>
  <c r="C111" i="4"/>
  <c r="M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112" i="4"/>
  <c r="M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113" i="4"/>
  <c r="D113" i="4"/>
  <c r="E113" i="4"/>
  <c r="F113" i="4"/>
  <c r="G113" i="4"/>
  <c r="H113" i="4"/>
  <c r="I113" i="4"/>
  <c r="J113" i="4"/>
  <c r="K113" i="4"/>
  <c r="C114" i="4"/>
  <c r="D114" i="4"/>
  <c r="E114" i="4"/>
  <c r="F114" i="4"/>
  <c r="G114" i="4"/>
  <c r="H114" i="4"/>
  <c r="I114" i="4"/>
  <c r="J114" i="4"/>
  <c r="K114" i="4"/>
  <c r="C115" i="4"/>
  <c r="D115" i="4"/>
  <c r="E115" i="4"/>
  <c r="F115" i="4"/>
  <c r="G115" i="4"/>
  <c r="H115" i="4"/>
  <c r="I115" i="4"/>
  <c r="J115" i="4"/>
  <c r="K115" i="4"/>
  <c r="C116" i="4"/>
  <c r="D116" i="4"/>
  <c r="E116" i="4"/>
  <c r="F116" i="4"/>
  <c r="G116" i="4"/>
  <c r="H116" i="4"/>
  <c r="I116" i="4"/>
  <c r="J116" i="4"/>
  <c r="K116" i="4"/>
  <c r="C117" i="4"/>
  <c r="D117" i="4"/>
  <c r="E117" i="4"/>
  <c r="F117" i="4"/>
  <c r="G117" i="4"/>
  <c r="H117" i="4"/>
  <c r="I117" i="4"/>
  <c r="J117" i="4"/>
  <c r="K117" i="4"/>
  <c r="C118" i="4"/>
  <c r="F118" i="4"/>
  <c r="C119" i="4"/>
  <c r="M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120" i="4"/>
  <c r="M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121" i="4"/>
  <c r="D121" i="4"/>
  <c r="E121" i="4"/>
  <c r="C122" i="4"/>
  <c r="D122" i="4"/>
  <c r="E122" i="4"/>
  <c r="F122" i="4"/>
  <c r="G122" i="4"/>
  <c r="H122" i="4"/>
  <c r="I122" i="4"/>
  <c r="J122" i="4"/>
  <c r="K122" i="4"/>
  <c r="C123" i="4"/>
  <c r="C124" i="4"/>
  <c r="G124" i="4"/>
  <c r="H124" i="4"/>
  <c r="I124" i="4"/>
  <c r="J124" i="4"/>
  <c r="C125" i="4"/>
  <c r="M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126" i="4"/>
  <c r="I126" i="4"/>
  <c r="J126" i="4"/>
  <c r="K126" i="4"/>
  <c r="C127" i="4"/>
  <c r="D127" i="4"/>
  <c r="C128" i="4"/>
  <c r="D128" i="4"/>
  <c r="E128" i="4"/>
  <c r="F128" i="4"/>
  <c r="G128" i="4"/>
  <c r="H128" i="4"/>
  <c r="I128" i="4"/>
  <c r="J128" i="4"/>
  <c r="K128" i="4"/>
  <c r="C129" i="4"/>
  <c r="D129" i="4"/>
  <c r="E129" i="4"/>
  <c r="F129" i="4"/>
  <c r="G129" i="4"/>
  <c r="H129" i="4"/>
  <c r="I129" i="4"/>
  <c r="J129" i="4"/>
  <c r="K129" i="4"/>
  <c r="C130" i="4"/>
  <c r="D130" i="4"/>
  <c r="E130" i="4"/>
  <c r="F130" i="4"/>
  <c r="G130" i="4"/>
  <c r="H130" i="4"/>
  <c r="I130" i="4"/>
  <c r="J130" i="4"/>
  <c r="K130" i="4"/>
  <c r="C131" i="4"/>
  <c r="M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132" i="4"/>
  <c r="M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133" i="4"/>
  <c r="M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134" i="4"/>
  <c r="M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135" i="4"/>
  <c r="D135" i="4"/>
  <c r="E135" i="4"/>
  <c r="F135" i="4"/>
  <c r="G135" i="4"/>
  <c r="H135" i="4"/>
  <c r="I135" i="4"/>
  <c r="J135" i="4"/>
  <c r="K135" i="4"/>
  <c r="C136" i="4"/>
  <c r="D136" i="4"/>
  <c r="E136" i="4"/>
  <c r="F136" i="4"/>
  <c r="G136" i="4"/>
  <c r="H136" i="4"/>
  <c r="I136" i="4"/>
  <c r="J136" i="4"/>
  <c r="K136" i="4"/>
  <c r="C137" i="4"/>
  <c r="D137" i="4"/>
  <c r="E137" i="4"/>
  <c r="F137" i="4"/>
  <c r="G137" i="4"/>
  <c r="H137" i="4"/>
  <c r="I137" i="4"/>
  <c r="J137" i="4"/>
  <c r="K137" i="4"/>
  <c r="C138" i="4"/>
  <c r="D138" i="4"/>
  <c r="E138" i="4"/>
  <c r="F138" i="4"/>
  <c r="G138" i="4"/>
  <c r="H138" i="4"/>
  <c r="I138" i="4"/>
  <c r="J138" i="4"/>
  <c r="K138" i="4"/>
  <c r="C139" i="4"/>
  <c r="D139" i="4"/>
  <c r="E139" i="4"/>
  <c r="F139" i="4"/>
  <c r="G139" i="4"/>
  <c r="H139" i="4"/>
  <c r="I139" i="4"/>
  <c r="J139" i="4"/>
  <c r="K139" i="4"/>
  <c r="C140" i="4"/>
  <c r="M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141" i="4"/>
  <c r="D141" i="4"/>
  <c r="E141" i="4"/>
  <c r="F141" i="4"/>
  <c r="G141" i="4"/>
  <c r="H141" i="4"/>
  <c r="I141" i="4"/>
  <c r="J141" i="4"/>
  <c r="K141" i="4"/>
  <c r="C142" i="4"/>
  <c r="D142" i="4"/>
  <c r="E142" i="4"/>
  <c r="F142" i="4"/>
  <c r="G142" i="4"/>
  <c r="H142" i="4"/>
  <c r="I142" i="4"/>
  <c r="J142" i="4"/>
  <c r="K142" i="4"/>
  <c r="C143" i="4"/>
  <c r="D143" i="4"/>
  <c r="E143" i="4"/>
  <c r="F143" i="4"/>
  <c r="G143" i="4"/>
  <c r="H143" i="4"/>
  <c r="I143" i="4"/>
  <c r="J143" i="4"/>
  <c r="K143" i="4"/>
  <c r="C144" i="4"/>
  <c r="D144" i="4"/>
  <c r="E144" i="4"/>
  <c r="F144" i="4"/>
  <c r="G144" i="4"/>
  <c r="H144" i="4"/>
  <c r="I144" i="4"/>
  <c r="J144" i="4"/>
  <c r="K144" i="4"/>
  <c r="C145" i="4"/>
  <c r="K145" i="4"/>
  <c r="C146" i="4"/>
  <c r="C147" i="4"/>
  <c r="M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148" i="4"/>
  <c r="M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149" i="4"/>
  <c r="M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150" i="4"/>
  <c r="M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151" i="4"/>
  <c r="M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152" i="4"/>
  <c r="D152" i="4"/>
  <c r="E152" i="4"/>
  <c r="F152" i="4"/>
  <c r="G152" i="4"/>
  <c r="H152" i="4"/>
  <c r="I152" i="4"/>
  <c r="J152" i="4"/>
  <c r="K152" i="4"/>
  <c r="C153" i="4"/>
  <c r="J153" i="4"/>
  <c r="K153" i="4"/>
  <c r="C154" i="4"/>
  <c r="C155" i="4"/>
  <c r="F155" i="4"/>
  <c r="G155" i="4"/>
  <c r="H155" i="4"/>
  <c r="I155" i="4"/>
  <c r="J155" i="4"/>
  <c r="C156" i="4"/>
  <c r="C157" i="4"/>
  <c r="D157" i="4"/>
  <c r="E157" i="4"/>
  <c r="F157" i="4"/>
  <c r="G157" i="4"/>
  <c r="H157" i="4"/>
  <c r="I157" i="4"/>
  <c r="J157" i="4"/>
  <c r="K157" i="4"/>
  <c r="C158" i="4"/>
  <c r="D158" i="4"/>
  <c r="E158" i="4"/>
  <c r="F158" i="4"/>
  <c r="G158" i="4"/>
  <c r="H158" i="4"/>
  <c r="I158" i="4"/>
  <c r="J158" i="4"/>
  <c r="K158" i="4"/>
  <c r="C159" i="4"/>
  <c r="D159" i="4"/>
  <c r="E159" i="4"/>
  <c r="F159" i="4"/>
  <c r="G159" i="4"/>
  <c r="H159" i="4"/>
  <c r="I159" i="4"/>
  <c r="J159" i="4"/>
  <c r="K159" i="4"/>
  <c r="C160" i="4"/>
  <c r="D160" i="4"/>
  <c r="E160" i="4"/>
  <c r="F160" i="4"/>
  <c r="G160" i="4"/>
  <c r="H160" i="4"/>
  <c r="I160" i="4"/>
  <c r="J160" i="4"/>
  <c r="K160" i="4"/>
  <c r="C161" i="4"/>
  <c r="D161" i="4"/>
  <c r="E161" i="4"/>
  <c r="F161" i="4"/>
  <c r="G161" i="4"/>
  <c r="H161" i="4"/>
  <c r="I161" i="4"/>
  <c r="J161" i="4"/>
  <c r="K161" i="4"/>
  <c r="C162" i="4"/>
  <c r="D162" i="4"/>
  <c r="E162" i="4"/>
  <c r="F162" i="4"/>
  <c r="G162" i="4"/>
  <c r="H162" i="4"/>
  <c r="I162" i="4"/>
  <c r="J162" i="4"/>
  <c r="K162" i="4"/>
  <c r="C163" i="4"/>
  <c r="C164" i="4"/>
  <c r="M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165" i="4"/>
  <c r="D165" i="4"/>
  <c r="E165" i="4"/>
  <c r="F165" i="4"/>
  <c r="G165" i="4"/>
  <c r="H165" i="4"/>
  <c r="I165" i="4"/>
  <c r="J165" i="4"/>
  <c r="K165" i="4"/>
  <c r="C166" i="4"/>
  <c r="D166" i="4"/>
  <c r="E166" i="4"/>
  <c r="F166" i="4"/>
  <c r="G166" i="4"/>
  <c r="H166" i="4"/>
  <c r="I166" i="4"/>
  <c r="J166" i="4"/>
  <c r="K166" i="4"/>
  <c r="C167" i="4"/>
  <c r="D167" i="4"/>
  <c r="E167" i="4"/>
  <c r="F167" i="4"/>
  <c r="G167" i="4"/>
  <c r="H167" i="4"/>
  <c r="I167" i="4"/>
  <c r="J167" i="4"/>
  <c r="K167" i="4"/>
  <c r="C168" i="4"/>
  <c r="C169" i="4"/>
  <c r="M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170" i="4"/>
  <c r="D170" i="4"/>
  <c r="E170" i="4"/>
  <c r="F170" i="4"/>
  <c r="G170" i="4"/>
  <c r="H170" i="4"/>
  <c r="I170" i="4"/>
  <c r="J170" i="4"/>
  <c r="K170" i="4"/>
  <c r="C171" i="4"/>
  <c r="D171" i="4"/>
  <c r="E171" i="4"/>
  <c r="F171" i="4"/>
  <c r="G171" i="4"/>
  <c r="H171" i="4"/>
  <c r="I171" i="4"/>
  <c r="J171" i="4"/>
  <c r="K171" i="4"/>
  <c r="C172" i="4"/>
  <c r="D172" i="4"/>
  <c r="E172" i="4"/>
  <c r="F172" i="4"/>
  <c r="G172" i="4"/>
  <c r="H172" i="4"/>
  <c r="I172" i="4"/>
  <c r="J172" i="4"/>
  <c r="K172" i="4"/>
  <c r="C173" i="4"/>
  <c r="D173" i="4"/>
  <c r="E173" i="4"/>
  <c r="F173" i="4"/>
  <c r="G173" i="4"/>
  <c r="H173" i="4"/>
  <c r="I173" i="4"/>
  <c r="J173" i="4"/>
  <c r="K173" i="4"/>
  <c r="C174" i="4"/>
  <c r="D174" i="4"/>
  <c r="E174" i="4"/>
  <c r="F174" i="4"/>
  <c r="G174" i="4"/>
  <c r="H174" i="4"/>
  <c r="I174" i="4"/>
  <c r="J174" i="4"/>
  <c r="K174" i="4"/>
  <c r="C175" i="4"/>
  <c r="M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176" i="4"/>
  <c r="D176" i="4"/>
  <c r="E176" i="4"/>
  <c r="F176" i="4"/>
  <c r="G176" i="4"/>
  <c r="H176" i="4"/>
  <c r="I176" i="4"/>
  <c r="J176" i="4"/>
  <c r="K176" i="4"/>
  <c r="C177" i="4"/>
  <c r="C178" i="4"/>
  <c r="I178" i="4"/>
  <c r="J178" i="4"/>
  <c r="C179" i="4"/>
  <c r="C180" i="4"/>
  <c r="E180" i="4"/>
  <c r="F180" i="4"/>
  <c r="G180" i="4"/>
  <c r="H180" i="4"/>
  <c r="C181" i="4"/>
  <c r="K181" i="4"/>
  <c r="C182" i="4"/>
  <c r="D182" i="4"/>
  <c r="E182" i="4"/>
  <c r="F182" i="4"/>
  <c r="C183" i="4"/>
  <c r="D183" i="4"/>
  <c r="E183" i="4"/>
  <c r="F183" i="4"/>
  <c r="G183" i="4"/>
  <c r="H183" i="4"/>
  <c r="I183" i="4"/>
  <c r="J183" i="4"/>
  <c r="K183" i="4"/>
  <c r="C184" i="4"/>
  <c r="M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185" i="4"/>
  <c r="D185" i="4"/>
  <c r="E185" i="4"/>
  <c r="F185" i="4"/>
  <c r="G185" i="4"/>
  <c r="H185" i="4"/>
  <c r="I185" i="4"/>
  <c r="J185" i="4"/>
  <c r="K185" i="4"/>
  <c r="C186" i="4"/>
  <c r="D186" i="4"/>
  <c r="E186" i="4"/>
  <c r="F186" i="4"/>
  <c r="G186" i="4"/>
  <c r="H186" i="4"/>
  <c r="I186" i="4"/>
  <c r="J186" i="4"/>
  <c r="K186" i="4"/>
  <c r="C187" i="4"/>
  <c r="D187" i="4"/>
  <c r="E187" i="4"/>
  <c r="F187" i="4"/>
  <c r="G187" i="4"/>
  <c r="H187" i="4"/>
  <c r="I187" i="4"/>
  <c r="J187" i="4"/>
  <c r="K187" i="4"/>
  <c r="C188" i="4"/>
  <c r="D188" i="4"/>
  <c r="E188" i="4"/>
  <c r="F188" i="4"/>
  <c r="G188" i="4"/>
  <c r="H188" i="4"/>
  <c r="I188" i="4"/>
  <c r="J188" i="4"/>
  <c r="K188" i="4"/>
  <c r="C189" i="4"/>
  <c r="D189" i="4"/>
  <c r="E189" i="4"/>
  <c r="F189" i="4"/>
  <c r="G189" i="4"/>
  <c r="H189" i="4"/>
  <c r="I189" i="4"/>
  <c r="J189" i="4"/>
  <c r="K189" i="4"/>
  <c r="C190" i="4"/>
  <c r="D190" i="4"/>
  <c r="E190" i="4"/>
  <c r="F190" i="4"/>
  <c r="G190" i="4"/>
  <c r="H190" i="4"/>
  <c r="I190" i="4"/>
  <c r="J190" i="4"/>
  <c r="K190" i="4"/>
  <c r="C191" i="4"/>
  <c r="D191" i="4"/>
  <c r="E191" i="4"/>
  <c r="F191" i="4"/>
  <c r="G191" i="4"/>
  <c r="H191" i="4"/>
  <c r="I191" i="4"/>
  <c r="J191" i="4"/>
  <c r="K191" i="4"/>
  <c r="C192" i="4"/>
  <c r="D192" i="4"/>
  <c r="E192" i="4"/>
  <c r="F192" i="4"/>
  <c r="G192" i="4"/>
  <c r="H192" i="4"/>
  <c r="I192" i="4"/>
  <c r="J192" i="4"/>
  <c r="K192" i="4"/>
  <c r="C193" i="4"/>
  <c r="M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194" i="4"/>
  <c r="D194" i="4"/>
  <c r="E194" i="4"/>
  <c r="F194" i="4"/>
  <c r="G194" i="4"/>
  <c r="H194" i="4"/>
  <c r="I194" i="4"/>
  <c r="J194" i="4"/>
  <c r="K194" i="4"/>
  <c r="C195" i="4"/>
  <c r="D195" i="4"/>
  <c r="E195" i="4"/>
  <c r="F195" i="4"/>
  <c r="G195" i="4"/>
  <c r="H195" i="4"/>
  <c r="I195" i="4"/>
  <c r="J195" i="4"/>
  <c r="K195" i="4"/>
  <c r="C196" i="4"/>
  <c r="D196" i="4"/>
  <c r="E196" i="4"/>
  <c r="F196" i="4"/>
  <c r="G196" i="4"/>
  <c r="H196" i="4"/>
  <c r="I196" i="4"/>
  <c r="J196" i="4"/>
  <c r="K196" i="4"/>
  <c r="C197" i="4"/>
  <c r="M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198" i="4"/>
  <c r="D198" i="4"/>
  <c r="E198" i="4"/>
  <c r="F198" i="4"/>
  <c r="G198" i="4"/>
  <c r="H198" i="4"/>
  <c r="I198" i="4"/>
  <c r="J198" i="4"/>
  <c r="K198" i="4"/>
  <c r="C199" i="4"/>
  <c r="C200" i="4"/>
  <c r="C201" i="4"/>
  <c r="H201" i="4"/>
  <c r="I201" i="4"/>
  <c r="J201" i="4"/>
  <c r="C202" i="4"/>
  <c r="C203" i="4"/>
  <c r="D203" i="4"/>
  <c r="E203" i="4"/>
  <c r="F203" i="4"/>
  <c r="G203" i="4"/>
  <c r="H203" i="4"/>
  <c r="C204" i="4"/>
  <c r="J204" i="4"/>
  <c r="K204" i="4"/>
  <c r="C205" i="4"/>
  <c r="D205" i="4"/>
  <c r="E205" i="4"/>
  <c r="F205" i="4"/>
  <c r="G205" i="4"/>
  <c r="H205" i="4"/>
  <c r="I205" i="4"/>
  <c r="J205" i="4"/>
  <c r="K205" i="4"/>
  <c r="C206" i="4"/>
  <c r="M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207" i="4"/>
  <c r="D207" i="4"/>
  <c r="E207" i="4"/>
  <c r="F207" i="4"/>
  <c r="G207" i="4"/>
  <c r="H207" i="4"/>
  <c r="I207" i="4"/>
  <c r="J207" i="4"/>
  <c r="K207" i="4"/>
  <c r="C208" i="4"/>
  <c r="D208" i="4"/>
  <c r="E208" i="4"/>
  <c r="F208" i="4"/>
  <c r="G208" i="4"/>
  <c r="H208" i="4"/>
  <c r="I208" i="4"/>
  <c r="J208" i="4"/>
  <c r="K208" i="4"/>
  <c r="C209" i="4"/>
  <c r="D209" i="4"/>
  <c r="E209" i="4"/>
  <c r="F209" i="4"/>
  <c r="G209" i="4"/>
  <c r="H209" i="4"/>
  <c r="I209" i="4"/>
  <c r="J209" i="4"/>
  <c r="K209" i="4"/>
  <c r="C210" i="4"/>
  <c r="D210" i="4"/>
  <c r="E210" i="4"/>
  <c r="F210" i="4"/>
  <c r="G210" i="4"/>
  <c r="H210" i="4"/>
  <c r="I210" i="4"/>
  <c r="J210" i="4"/>
  <c r="K210" i="4"/>
  <c r="C211" i="4"/>
  <c r="D211" i="4"/>
  <c r="E211" i="4"/>
  <c r="F211" i="4"/>
  <c r="G211" i="4"/>
  <c r="H211" i="4"/>
  <c r="I211" i="4"/>
  <c r="J211" i="4"/>
  <c r="K211" i="4"/>
  <c r="C212" i="4"/>
  <c r="D212" i="4"/>
  <c r="E212" i="4"/>
  <c r="F212" i="4"/>
  <c r="G212" i="4"/>
  <c r="H212" i="4"/>
  <c r="I212" i="4"/>
  <c r="J212" i="4"/>
  <c r="K212" i="4"/>
  <c r="C213" i="4"/>
  <c r="D213" i="4"/>
  <c r="E213" i="4"/>
  <c r="F213" i="4"/>
  <c r="G213" i="4"/>
  <c r="H213" i="4"/>
  <c r="I213" i="4"/>
  <c r="J213" i="4"/>
  <c r="K213" i="4"/>
  <c r="C214" i="4"/>
  <c r="D214" i="4"/>
  <c r="E214" i="4"/>
  <c r="F214" i="4"/>
  <c r="G214" i="4"/>
  <c r="H214" i="4"/>
  <c r="I214" i="4"/>
  <c r="J214" i="4"/>
  <c r="K214" i="4"/>
  <c r="C215" i="4"/>
  <c r="C216" i="4"/>
  <c r="C217" i="4"/>
  <c r="F217" i="4"/>
  <c r="G217" i="4"/>
  <c r="C218" i="4"/>
  <c r="C219" i="4"/>
  <c r="D219" i="4"/>
  <c r="E219" i="4"/>
  <c r="C220" i="4"/>
  <c r="H220" i="4"/>
  <c r="I220" i="4"/>
  <c r="J220" i="4"/>
  <c r="K220" i="4"/>
  <c r="C221" i="4"/>
  <c r="C222" i="4"/>
  <c r="D222" i="4"/>
  <c r="E222" i="4"/>
  <c r="F222" i="4"/>
  <c r="G222" i="4"/>
  <c r="H222" i="4"/>
  <c r="I222" i="4"/>
  <c r="J222" i="4"/>
  <c r="K222" i="4"/>
  <c r="C223" i="4"/>
  <c r="D223" i="4"/>
  <c r="E223" i="4"/>
  <c r="F223" i="4"/>
  <c r="G223" i="4"/>
  <c r="H223" i="4"/>
  <c r="I223" i="4"/>
  <c r="J223" i="4"/>
  <c r="K223" i="4"/>
  <c r="C224" i="4"/>
  <c r="D224" i="4"/>
  <c r="E224" i="4"/>
  <c r="F224" i="4"/>
  <c r="G224" i="4"/>
  <c r="H224" i="4"/>
  <c r="I224" i="4"/>
  <c r="J224" i="4"/>
  <c r="K224" i="4"/>
  <c r="C225" i="4"/>
  <c r="D225" i="4"/>
  <c r="E225" i="4"/>
  <c r="F225" i="4"/>
  <c r="G225" i="4"/>
  <c r="H225" i="4"/>
  <c r="I225" i="4"/>
  <c r="J225" i="4"/>
  <c r="K225" i="4"/>
  <c r="C226" i="4"/>
  <c r="D226" i="4"/>
  <c r="E226" i="4"/>
  <c r="F226" i="4"/>
  <c r="G226" i="4"/>
  <c r="H226" i="4"/>
  <c r="I226" i="4"/>
  <c r="J226" i="4"/>
  <c r="K226" i="4"/>
  <c r="C227" i="4"/>
  <c r="C228" i="4"/>
  <c r="D228" i="4"/>
  <c r="E228" i="4"/>
  <c r="F228" i="4"/>
  <c r="G228" i="4"/>
  <c r="H228" i="4"/>
  <c r="I228" i="4"/>
  <c r="J228" i="4"/>
  <c r="K228" i="4"/>
  <c r="C229" i="4"/>
  <c r="D229" i="4"/>
  <c r="E229" i="4"/>
  <c r="F229" i="4"/>
  <c r="G229" i="4"/>
  <c r="H229" i="4"/>
  <c r="I229" i="4"/>
  <c r="J229" i="4"/>
  <c r="K229" i="4"/>
  <c r="C230" i="4"/>
  <c r="D230" i="4"/>
  <c r="E230" i="4"/>
  <c r="F230" i="4"/>
  <c r="G230" i="4"/>
  <c r="H230" i="4"/>
  <c r="I230" i="4"/>
  <c r="J230" i="4"/>
  <c r="K230" i="4"/>
  <c r="C231" i="4"/>
  <c r="D231" i="4"/>
  <c r="E231" i="4"/>
  <c r="F231" i="4"/>
  <c r="G231" i="4"/>
  <c r="H231" i="4"/>
  <c r="I231" i="4"/>
  <c r="J231" i="4"/>
  <c r="K231" i="4"/>
  <c r="C232" i="4"/>
  <c r="D232" i="4"/>
  <c r="E232" i="4"/>
  <c r="F232" i="4"/>
  <c r="G232" i="4"/>
  <c r="H232" i="4"/>
  <c r="I232" i="4"/>
  <c r="J232" i="4"/>
  <c r="K232" i="4"/>
  <c r="C40" i="22" l="1"/>
  <c r="C42" i="22" s="1"/>
  <c r="C44" i="22"/>
  <c r="C48" i="22" s="1"/>
  <c r="D140" i="4"/>
  <c r="J26" i="4"/>
  <c r="H112" i="4"/>
  <c r="J95" i="4"/>
  <c r="H145" i="4"/>
  <c r="E201" i="4"/>
  <c r="K90" i="4"/>
  <c r="F220" i="4"/>
  <c r="H218" i="4"/>
  <c r="J216" i="4"/>
  <c r="I204" i="4"/>
  <c r="K202" i="4"/>
  <c r="D201" i="4"/>
  <c r="F199" i="4"/>
  <c r="I181" i="4"/>
  <c r="K179" i="4"/>
  <c r="D178" i="4"/>
  <c r="K156" i="4"/>
  <c r="D155" i="4"/>
  <c r="F153" i="4"/>
  <c r="E145" i="4"/>
  <c r="G126" i="4"/>
  <c r="D124" i="4"/>
  <c r="H92" i="4"/>
  <c r="J90" i="4"/>
  <c r="E87" i="4"/>
  <c r="H55" i="4"/>
  <c r="I32" i="4"/>
  <c r="K30" i="4"/>
  <c r="D29" i="4"/>
  <c r="F27" i="4"/>
  <c r="J145" i="4"/>
  <c r="E118" i="4"/>
  <c r="E220" i="4"/>
  <c r="G218" i="4"/>
  <c r="I216" i="4"/>
  <c r="H204" i="4"/>
  <c r="J202" i="4"/>
  <c r="E199" i="4"/>
  <c r="H181" i="4"/>
  <c r="J179" i="4"/>
  <c r="J156" i="4"/>
  <c r="E153" i="4"/>
  <c r="K146" i="4"/>
  <c r="D145" i="4"/>
  <c r="F126" i="4"/>
  <c r="G92" i="4"/>
  <c r="I90" i="4"/>
  <c r="D87" i="4"/>
  <c r="G55" i="4"/>
  <c r="H32" i="4"/>
  <c r="J30" i="4"/>
  <c r="E27" i="4"/>
  <c r="G178" i="4"/>
  <c r="E79" i="4"/>
  <c r="F29" i="4"/>
  <c r="I55" i="4"/>
  <c r="K221" i="4"/>
  <c r="D220" i="4"/>
  <c r="F218" i="4"/>
  <c r="H216" i="4"/>
  <c r="G204" i="4"/>
  <c r="I202" i="4"/>
  <c r="K200" i="4"/>
  <c r="D199" i="4"/>
  <c r="G181" i="4"/>
  <c r="I179" i="4"/>
  <c r="K177" i="4"/>
  <c r="I156" i="4"/>
  <c r="K154" i="4"/>
  <c r="D153" i="4"/>
  <c r="J146" i="4"/>
  <c r="E126" i="4"/>
  <c r="K123" i="4"/>
  <c r="F92" i="4"/>
  <c r="H90" i="4"/>
  <c r="F55" i="4"/>
  <c r="G32" i="4"/>
  <c r="I30" i="4"/>
  <c r="K28" i="4"/>
  <c r="D27" i="4"/>
  <c r="D118" i="4"/>
  <c r="I199" i="4"/>
  <c r="I153" i="4"/>
  <c r="H153" i="4"/>
  <c r="G199" i="4"/>
  <c r="J181" i="4"/>
  <c r="E218" i="4"/>
  <c r="H179" i="4"/>
  <c r="J177" i="4"/>
  <c r="H156" i="4"/>
  <c r="J154" i="4"/>
  <c r="I146" i="4"/>
  <c r="K127" i="4"/>
  <c r="D126" i="4"/>
  <c r="J123" i="4"/>
  <c r="E92" i="4"/>
  <c r="G90" i="4"/>
  <c r="K59" i="4"/>
  <c r="E55" i="4"/>
  <c r="K52" i="4"/>
  <c r="F32" i="4"/>
  <c r="H30" i="4"/>
  <c r="J28" i="4"/>
  <c r="D217" i="4"/>
  <c r="F89" i="4"/>
  <c r="G87" i="4"/>
  <c r="E124" i="4"/>
  <c r="J32" i="4"/>
  <c r="E29" i="4"/>
  <c r="F181" i="4"/>
  <c r="E204" i="4"/>
  <c r="G202" i="4"/>
  <c r="I200" i="4"/>
  <c r="E181" i="4"/>
  <c r="G179" i="4"/>
  <c r="I177" i="4"/>
  <c r="G156" i="4"/>
  <c r="I154" i="4"/>
  <c r="H146" i="4"/>
  <c r="J127" i="4"/>
  <c r="I123" i="4"/>
  <c r="K121" i="4"/>
  <c r="F90" i="4"/>
  <c r="J59" i="4"/>
  <c r="K56" i="4"/>
  <c r="D55" i="4"/>
  <c r="J52" i="4"/>
  <c r="E32" i="4"/>
  <c r="G30" i="4"/>
  <c r="I28" i="4"/>
  <c r="K199" i="4"/>
  <c r="I218" i="4"/>
  <c r="F156" i="4"/>
  <c r="H154" i="4"/>
  <c r="G146" i="4"/>
  <c r="I127" i="4"/>
  <c r="H123" i="4"/>
  <c r="J121" i="4"/>
  <c r="K118" i="4"/>
  <c r="E90" i="4"/>
  <c r="I59" i="4"/>
  <c r="J56" i="4"/>
  <c r="I52" i="4"/>
  <c r="K33" i="4"/>
  <c r="F30" i="4"/>
  <c r="H28" i="4"/>
  <c r="K218" i="4"/>
  <c r="F79" i="4"/>
  <c r="D54" i="4"/>
  <c r="J218" i="4"/>
  <c r="F178" i="4"/>
  <c r="F124" i="4"/>
  <c r="E155" i="4"/>
  <c r="F145" i="4"/>
  <c r="G27" i="4"/>
  <c r="G216" i="4"/>
  <c r="G221" i="4"/>
  <c r="I219" i="4"/>
  <c r="K217" i="4"/>
  <c r="D216" i="4"/>
  <c r="E202" i="4"/>
  <c r="G200" i="4"/>
  <c r="J182" i="4"/>
  <c r="E179" i="4"/>
  <c r="G177" i="4"/>
  <c r="E156" i="4"/>
  <c r="G154" i="4"/>
  <c r="F146" i="4"/>
  <c r="H127" i="4"/>
  <c r="G123" i="4"/>
  <c r="I121" i="4"/>
  <c r="J118" i="4"/>
  <c r="K91" i="4"/>
  <c r="K61" i="4"/>
  <c r="H59" i="4"/>
  <c r="I56" i="4"/>
  <c r="K54" i="4"/>
  <c r="H52" i="4"/>
  <c r="J33" i="4"/>
  <c r="E30" i="4"/>
  <c r="G28" i="4"/>
  <c r="E217" i="4"/>
  <c r="J199" i="4"/>
  <c r="H178" i="4"/>
  <c r="I87" i="4"/>
  <c r="G201" i="4"/>
  <c r="G29" i="4"/>
  <c r="F201" i="4"/>
  <c r="G145" i="4"/>
  <c r="K216" i="4"/>
  <c r="H202" i="4"/>
  <c r="H221" i="4"/>
  <c r="J219" i="4"/>
  <c r="E216" i="4"/>
  <c r="H200" i="4"/>
  <c r="K182" i="4"/>
  <c r="H177" i="4"/>
  <c r="F221" i="4"/>
  <c r="H219" i="4"/>
  <c r="J217" i="4"/>
  <c r="K203" i="4"/>
  <c r="D202" i="4"/>
  <c r="F200" i="4"/>
  <c r="I182" i="4"/>
  <c r="K180" i="4"/>
  <c r="D179" i="4"/>
  <c r="F177" i="4"/>
  <c r="F154" i="4"/>
  <c r="E146" i="4"/>
  <c r="G127" i="4"/>
  <c r="F123" i="4"/>
  <c r="H121" i="4"/>
  <c r="I118" i="4"/>
  <c r="J91" i="4"/>
  <c r="J61" i="4"/>
  <c r="G59" i="4"/>
  <c r="H56" i="4"/>
  <c r="J54" i="4"/>
  <c r="G52" i="4"/>
  <c r="I33" i="4"/>
  <c r="F28" i="4"/>
  <c r="K27" i="4"/>
  <c r="I145" i="4"/>
  <c r="E54" i="4"/>
  <c r="J27" i="4"/>
  <c r="H87" i="4"/>
  <c r="K55" i="4"/>
  <c r="I27" i="4"/>
  <c r="D180" i="4"/>
  <c r="E89" i="4"/>
  <c r="J221" i="4"/>
  <c r="I221" i="4"/>
  <c r="K219" i="4"/>
  <c r="E221" i="4"/>
  <c r="G219" i="4"/>
  <c r="I217" i="4"/>
  <c r="J203" i="4"/>
  <c r="E200" i="4"/>
  <c r="H182" i="4"/>
  <c r="J180" i="4"/>
  <c r="E177" i="4"/>
  <c r="E154" i="4"/>
  <c r="F127" i="4"/>
  <c r="E123" i="4"/>
  <c r="G121" i="4"/>
  <c r="H118" i="4"/>
  <c r="I91" i="4"/>
  <c r="K89" i="4"/>
  <c r="K79" i="4"/>
  <c r="I61" i="4"/>
  <c r="F59" i="4"/>
  <c r="G56" i="4"/>
  <c r="I54" i="4"/>
  <c r="F52" i="4"/>
  <c r="H33" i="4"/>
  <c r="E28" i="4"/>
  <c r="H79" i="4"/>
  <c r="G79" i="4"/>
  <c r="E178" i="4"/>
  <c r="D89" i="4"/>
  <c r="D79" i="4"/>
  <c r="F204" i="4"/>
  <c r="J200" i="4"/>
  <c r="H106" i="4"/>
  <c r="I106" i="4"/>
  <c r="J96" i="4"/>
  <c r="K67" i="4"/>
  <c r="I41" i="4"/>
  <c r="H40" i="4"/>
  <c r="G41" i="4"/>
  <c r="E112" i="4"/>
  <c r="G106" i="4"/>
  <c r="K26" i="4"/>
  <c r="D133" i="4"/>
  <c r="E106" i="4"/>
  <c r="E96" i="4"/>
  <c r="E94" i="4"/>
  <c r="E84" i="4"/>
  <c r="J193" i="4"/>
  <c r="G148" i="4"/>
  <c r="J133" i="4"/>
  <c r="J112" i="4"/>
  <c r="J75" i="4"/>
  <c r="F46" i="4"/>
  <c r="F40" i="4"/>
  <c r="F12" i="4"/>
  <c r="E148" i="4"/>
  <c r="I120" i="4"/>
  <c r="H20" i="4"/>
  <c r="F41" i="4"/>
  <c r="D193" i="4"/>
  <c r="J169" i="4"/>
  <c r="J149" i="4"/>
  <c r="H148" i="4"/>
  <c r="F140" i="4"/>
  <c r="K133" i="4"/>
  <c r="E132" i="4"/>
  <c r="J125" i="4"/>
  <c r="K120" i="4"/>
  <c r="F119" i="4"/>
  <c r="I112" i="4"/>
  <c r="D111" i="4"/>
  <c r="K106" i="4"/>
  <c r="D99" i="4"/>
  <c r="F95" i="4"/>
  <c r="K75" i="4"/>
  <c r="J67" i="4"/>
  <c r="D53" i="4"/>
  <c r="G46" i="4"/>
  <c r="E40" i="4"/>
  <c r="I26" i="4"/>
  <c r="F25" i="4"/>
  <c r="E20" i="4"/>
  <c r="J13" i="4"/>
  <c r="J12" i="4"/>
  <c r="H193" i="4"/>
  <c r="F148" i="4"/>
  <c r="J106" i="4"/>
  <c r="K206" i="4"/>
  <c r="G193" i="4"/>
  <c r="D14" i="4"/>
  <c r="D12" i="4"/>
  <c r="G120" i="4"/>
  <c r="G96" i="4"/>
  <c r="D75" i="4"/>
  <c r="E108" i="4"/>
  <c r="K13" i="4"/>
  <c r="K184" i="4"/>
  <c r="I149" i="4"/>
  <c r="D134" i="4"/>
  <c r="D132" i="4"/>
  <c r="I125" i="4"/>
  <c r="E119" i="4"/>
  <c r="E95" i="4"/>
  <c r="I67" i="4"/>
  <c r="D42" i="4"/>
  <c r="D40" i="4"/>
  <c r="H26" i="4"/>
  <c r="H25" i="4"/>
  <c r="D20" i="4"/>
  <c r="I13" i="4"/>
  <c r="I133" i="4"/>
  <c r="D60" i="4"/>
  <c r="G112" i="4"/>
  <c r="D25" i="4"/>
  <c r="D150" i="4"/>
  <c r="E120" i="4"/>
  <c r="D94" i="4"/>
  <c r="K169" i="4"/>
  <c r="H169" i="4"/>
  <c r="H149" i="4"/>
  <c r="I148" i="4"/>
  <c r="H125" i="4"/>
  <c r="D119" i="4"/>
  <c r="D107" i="4"/>
  <c r="D95" i="4"/>
  <c r="D93" i="4"/>
  <c r="H67" i="4"/>
  <c r="I46" i="4"/>
  <c r="G26" i="4"/>
  <c r="H13" i="4"/>
  <c r="G12" i="4"/>
  <c r="G132" i="4"/>
  <c r="K125" i="4"/>
  <c r="G119" i="4"/>
  <c r="D41" i="4"/>
  <c r="G149" i="4"/>
  <c r="G125" i="4"/>
  <c r="I81" i="4"/>
  <c r="G67" i="4"/>
  <c r="F26" i="4"/>
  <c r="G13" i="4"/>
  <c r="J120" i="4"/>
  <c r="E111" i="4"/>
  <c r="F20" i="4"/>
  <c r="H133" i="4"/>
  <c r="I96" i="4"/>
  <c r="D57" i="4"/>
  <c r="I95" i="4"/>
  <c r="D46" i="4"/>
  <c r="D108" i="4"/>
  <c r="D39" i="4"/>
  <c r="K112" i="4"/>
  <c r="D81" i="4"/>
  <c r="J41" i="4"/>
  <c r="F13" i="4"/>
  <c r="I75" i="4"/>
  <c r="E53" i="4"/>
  <c r="E25" i="4"/>
  <c r="E12" i="4"/>
  <c r="D131" i="4"/>
  <c r="D84" i="4"/>
  <c r="E164" i="4"/>
  <c r="D197" i="4"/>
  <c r="E169" i="4"/>
  <c r="K151" i="4"/>
  <c r="E149" i="4"/>
  <c r="K147" i="4"/>
  <c r="E125" i="4"/>
  <c r="J69" i="4"/>
  <c r="E67" i="4"/>
  <c r="D58" i="4"/>
  <c r="D26" i="4"/>
  <c r="E13" i="4"/>
  <c r="H41" i="4"/>
  <c r="G133" i="4"/>
  <c r="F193" i="4"/>
  <c r="D175" i="4"/>
  <c r="G169" i="4"/>
  <c r="E197" i="4"/>
  <c r="D151" i="4"/>
  <c r="D147" i="4"/>
  <c r="D120" i="4"/>
  <c r="D106" i="4"/>
  <c r="K96" i="4"/>
  <c r="D69" i="4"/>
  <c r="D11" i="4"/>
  <c r="H75" i="4"/>
  <c r="E46" i="4"/>
  <c r="D148" i="4"/>
  <c r="H120" i="4"/>
  <c r="I119" i="4"/>
  <c r="F112" i="4"/>
  <c r="H96" i="4"/>
  <c r="G75" i="4"/>
  <c r="D68" i="4"/>
  <c r="F133" i="4"/>
  <c r="F75" i="4"/>
  <c r="D164" i="4"/>
  <c r="E140" i="4"/>
  <c r="D125" i="4"/>
  <c r="K149" i="4"/>
  <c r="F132" i="4"/>
  <c r="F111" i="4"/>
  <c r="G95" i="4"/>
  <c r="F67" i="4"/>
  <c r="D13" i="4"/>
  <c r="I169" i="4"/>
  <c r="K99" i="4"/>
  <c r="K60" i="4"/>
  <c r="K134" i="4"/>
  <c r="J99" i="4"/>
  <c r="J60" i="4"/>
  <c r="K57" i="4"/>
  <c r="K42" i="4"/>
  <c r="J184" i="4"/>
  <c r="K150" i="4"/>
  <c r="J134" i="4"/>
  <c r="K107" i="4"/>
  <c r="I99" i="4"/>
  <c r="K93" i="4"/>
  <c r="K68" i="4"/>
  <c r="I60" i="4"/>
  <c r="J57" i="4"/>
  <c r="J42" i="4"/>
  <c r="K14" i="4"/>
  <c r="I193" i="4"/>
  <c r="J206" i="4"/>
  <c r="E193" i="4"/>
  <c r="I184" i="4"/>
  <c r="F169" i="4"/>
  <c r="J150" i="4"/>
  <c r="F149" i="4"/>
  <c r="I134" i="4"/>
  <c r="E133" i="4"/>
  <c r="F125" i="4"/>
  <c r="F120" i="4"/>
  <c r="D112" i="4"/>
  <c r="J107" i="4"/>
  <c r="F106" i="4"/>
  <c r="H99" i="4"/>
  <c r="F96" i="4"/>
  <c r="J93" i="4"/>
  <c r="E75" i="4"/>
  <c r="J68" i="4"/>
  <c r="H60" i="4"/>
  <c r="I57" i="4"/>
  <c r="I42" i="4"/>
  <c r="E41" i="4"/>
  <c r="E26" i="4"/>
  <c r="J14" i="4"/>
  <c r="I206" i="4"/>
  <c r="H184" i="4"/>
  <c r="I150" i="4"/>
  <c r="H134" i="4"/>
  <c r="I107" i="4"/>
  <c r="G99" i="4"/>
  <c r="I93" i="4"/>
  <c r="K81" i="4"/>
  <c r="I68" i="4"/>
  <c r="G60" i="4"/>
  <c r="H57" i="4"/>
  <c r="H42" i="4"/>
  <c r="I14" i="4"/>
  <c r="H206" i="4"/>
  <c r="G184" i="4"/>
  <c r="K175" i="4"/>
  <c r="D169" i="4"/>
  <c r="H150" i="4"/>
  <c r="D149" i="4"/>
  <c r="G134" i="4"/>
  <c r="K131" i="4"/>
  <c r="H107" i="4"/>
  <c r="F99" i="4"/>
  <c r="D96" i="4"/>
  <c r="H93" i="4"/>
  <c r="J81" i="4"/>
  <c r="H68" i="4"/>
  <c r="D67" i="4"/>
  <c r="F60" i="4"/>
  <c r="K58" i="4"/>
  <c r="G57" i="4"/>
  <c r="G42" i="4"/>
  <c r="K39" i="4"/>
  <c r="H14" i="4"/>
  <c r="G206" i="4"/>
  <c r="K197" i="4"/>
  <c r="F184" i="4"/>
  <c r="J175" i="4"/>
  <c r="K164" i="4"/>
  <c r="G150" i="4"/>
  <c r="F134" i="4"/>
  <c r="J131" i="4"/>
  <c r="K108" i="4"/>
  <c r="G107" i="4"/>
  <c r="E99" i="4"/>
  <c r="K94" i="4"/>
  <c r="G93" i="4"/>
  <c r="K84" i="4"/>
  <c r="K69" i="4"/>
  <c r="G68" i="4"/>
  <c r="E60" i="4"/>
  <c r="J58" i="4"/>
  <c r="F57" i="4"/>
  <c r="F42" i="4"/>
  <c r="J39" i="4"/>
  <c r="G14" i="4"/>
  <c r="K11" i="4"/>
  <c r="F206" i="4"/>
  <c r="J197" i="4"/>
  <c r="E184" i="4"/>
  <c r="I175" i="4"/>
  <c r="J164" i="4"/>
  <c r="J151" i="4"/>
  <c r="F150" i="4"/>
  <c r="J147" i="4"/>
  <c r="E134" i="4"/>
  <c r="I131" i="4"/>
  <c r="J108" i="4"/>
  <c r="F107" i="4"/>
  <c r="J94" i="4"/>
  <c r="F93" i="4"/>
  <c r="J84" i="4"/>
  <c r="H81" i="4"/>
  <c r="F68" i="4"/>
  <c r="I58" i="4"/>
  <c r="E57" i="4"/>
  <c r="E42" i="4"/>
  <c r="I39" i="4"/>
  <c r="F14" i="4"/>
  <c r="J11" i="4"/>
  <c r="E206" i="4"/>
  <c r="I197" i="4"/>
  <c r="D184" i="4"/>
  <c r="H175" i="4"/>
  <c r="I164" i="4"/>
  <c r="I151" i="4"/>
  <c r="E150" i="4"/>
  <c r="I147" i="4"/>
  <c r="K140" i="4"/>
  <c r="H131" i="4"/>
  <c r="K111" i="4"/>
  <c r="I108" i="4"/>
  <c r="E107" i="4"/>
  <c r="I94" i="4"/>
  <c r="E93" i="4"/>
  <c r="I84" i="4"/>
  <c r="G81" i="4"/>
  <c r="I69" i="4"/>
  <c r="E68" i="4"/>
  <c r="H58" i="4"/>
  <c r="K53" i="4"/>
  <c r="H39" i="4"/>
  <c r="E14" i="4"/>
  <c r="I11" i="4"/>
  <c r="D206" i="4"/>
  <c r="H197" i="4"/>
  <c r="G175" i="4"/>
  <c r="H164" i="4"/>
  <c r="H151" i="4"/>
  <c r="H147" i="4"/>
  <c r="J140" i="4"/>
  <c r="K132" i="4"/>
  <c r="G131" i="4"/>
  <c r="J111" i="4"/>
  <c r="H108" i="4"/>
  <c r="H94" i="4"/>
  <c r="H84" i="4"/>
  <c r="F81" i="4"/>
  <c r="H69" i="4"/>
  <c r="G58" i="4"/>
  <c r="J53" i="4"/>
  <c r="K40" i="4"/>
  <c r="G39" i="4"/>
  <c r="K25" i="4"/>
  <c r="K20" i="4"/>
  <c r="H11" i="4"/>
  <c r="G197" i="4"/>
  <c r="F175" i="4"/>
  <c r="G164" i="4"/>
  <c r="G151" i="4"/>
  <c r="K148" i="4"/>
  <c r="G147" i="4"/>
  <c r="I140" i="4"/>
  <c r="J132" i="4"/>
  <c r="F131" i="4"/>
  <c r="K119" i="4"/>
  <c r="I111" i="4"/>
  <c r="G108" i="4"/>
  <c r="K95" i="4"/>
  <c r="G94" i="4"/>
  <c r="G84" i="4"/>
  <c r="E81" i="4"/>
  <c r="G69" i="4"/>
  <c r="F58" i="4"/>
  <c r="I53" i="4"/>
  <c r="K46" i="4"/>
  <c r="J40" i="4"/>
  <c r="F39" i="4"/>
  <c r="J25" i="4"/>
  <c r="J20" i="4"/>
  <c r="K12" i="4"/>
  <c r="G11" i="4"/>
  <c r="F197" i="4"/>
  <c r="E175" i="4"/>
  <c r="F164" i="4"/>
  <c r="F151" i="4"/>
  <c r="J148" i="4"/>
  <c r="F147" i="4"/>
  <c r="H140" i="4"/>
  <c r="I132" i="4"/>
  <c r="E131" i="4"/>
  <c r="J119" i="4"/>
  <c r="H111" i="4"/>
  <c r="F108" i="4"/>
  <c r="F94" i="4"/>
  <c r="F84" i="4"/>
  <c r="F69" i="4"/>
  <c r="E58" i="4"/>
  <c r="H53" i="4"/>
  <c r="J46" i="4"/>
  <c r="I40" i="4"/>
  <c r="E39" i="4"/>
  <c r="I25" i="4"/>
  <c r="I20" i="4"/>
  <c r="F11" i="4"/>
  <c r="E151" i="4"/>
  <c r="E147" i="4"/>
  <c r="G140" i="4"/>
  <c r="H132" i="4"/>
  <c r="G111" i="4"/>
  <c r="E69" i="4"/>
  <c r="G53" i="4"/>
  <c r="I12" i="4"/>
  <c r="E11" i="4"/>
  <c r="K193" i="4"/>
  <c r="H119" i="4"/>
  <c r="H95" i="4"/>
  <c r="F53" i="4"/>
  <c r="H46" i="4"/>
  <c r="K41" i="4"/>
  <c r="G40" i="4"/>
  <c r="G25" i="4"/>
  <c r="G20" i="4"/>
  <c r="H12" i="4"/>
  <c r="H114" i="3"/>
  <c r="I113" i="3"/>
  <c r="J112" i="3"/>
  <c r="I111" i="3"/>
  <c r="D109" i="3"/>
  <c r="F108" i="3"/>
  <c r="G107" i="3"/>
  <c r="I104" i="3"/>
  <c r="J103" i="3"/>
  <c r="K102" i="3"/>
  <c r="D101" i="3"/>
  <c r="K100" i="3"/>
  <c r="K95" i="3"/>
  <c r="F94" i="3"/>
  <c r="F84" i="3"/>
  <c r="E83" i="3"/>
  <c r="H82" i="3"/>
  <c r="H81" i="3"/>
  <c r="J80" i="3"/>
  <c r="K74" i="3"/>
  <c r="D73" i="3"/>
  <c r="G69" i="3"/>
  <c r="H68" i="3"/>
  <c r="H67" i="3"/>
  <c r="J66" i="3"/>
  <c r="H65" i="3"/>
  <c r="K62" i="3"/>
  <c r="E61" i="3"/>
  <c r="D59" i="3"/>
  <c r="K58" i="3"/>
  <c r="G56" i="3"/>
  <c r="K55" i="3"/>
  <c r="J54" i="3"/>
  <c r="H52" i="3"/>
  <c r="D48" i="3"/>
  <c r="F46" i="3"/>
  <c r="E45" i="3"/>
  <c r="H44" i="3"/>
  <c r="F43" i="3"/>
  <c r="I42" i="3"/>
  <c r="F41" i="3"/>
  <c r="K27" i="3"/>
  <c r="G26" i="3"/>
  <c r="H24" i="3"/>
  <c r="I23" i="3"/>
  <c r="D22" i="3"/>
  <c r="K21" i="3"/>
  <c r="J16" i="3"/>
  <c r="K14" i="3"/>
  <c r="H13" i="3"/>
  <c r="F78" i="3"/>
  <c r="G77" i="3"/>
  <c r="I75" i="3"/>
  <c r="G73" i="3"/>
  <c r="K114" i="3"/>
  <c r="J114" i="3"/>
  <c r="I114" i="3"/>
  <c r="C114" i="3"/>
  <c r="G113" i="3"/>
  <c r="F113" i="3"/>
  <c r="E113" i="3"/>
  <c r="D113" i="3"/>
  <c r="C113" i="3"/>
  <c r="K112" i="3"/>
  <c r="C112" i="3"/>
  <c r="G111" i="3"/>
  <c r="F111" i="3"/>
  <c r="E111" i="3"/>
  <c r="D111" i="3"/>
  <c r="C111" i="3"/>
  <c r="C110" i="3"/>
  <c r="C109" i="3"/>
  <c r="H108" i="3"/>
  <c r="G108" i="3"/>
  <c r="C108" i="3"/>
  <c r="C107" i="3"/>
  <c r="K106" i="3"/>
  <c r="J106" i="3"/>
  <c r="I106" i="3"/>
  <c r="H106" i="3"/>
  <c r="G106" i="3"/>
  <c r="F106" i="3"/>
  <c r="E106" i="3"/>
  <c r="D106" i="3"/>
  <c r="C106" i="3"/>
  <c r="C105" i="3"/>
  <c r="K104" i="3"/>
  <c r="J104" i="3"/>
  <c r="C104" i="3"/>
  <c r="I103" i="3"/>
  <c r="H103" i="3"/>
  <c r="G103" i="3"/>
  <c r="F103" i="3"/>
  <c r="E103" i="3"/>
  <c r="D103" i="3"/>
  <c r="C103" i="3"/>
  <c r="C102" i="3"/>
  <c r="C101" i="3"/>
  <c r="I100" i="3"/>
  <c r="C100" i="3"/>
  <c r="D99" i="3"/>
  <c r="C99" i="3"/>
  <c r="K98" i="3"/>
  <c r="J98" i="3"/>
  <c r="I98" i="3"/>
  <c r="H98" i="3"/>
  <c r="G98" i="3"/>
  <c r="F98" i="3"/>
  <c r="E98" i="3"/>
  <c r="D98" i="3"/>
  <c r="C98" i="3"/>
  <c r="C97" i="3"/>
  <c r="C96" i="3"/>
  <c r="D95" i="3"/>
  <c r="C95" i="3"/>
  <c r="K94" i="3"/>
  <c r="J94" i="3"/>
  <c r="I94" i="3"/>
  <c r="H94" i="3"/>
  <c r="G94" i="3"/>
  <c r="C94" i="3"/>
  <c r="C93" i="3"/>
  <c r="C92" i="3"/>
  <c r="K91" i="3"/>
  <c r="J91" i="3"/>
  <c r="I91" i="3"/>
  <c r="H91" i="3"/>
  <c r="G91" i="3"/>
  <c r="F91" i="3"/>
  <c r="E91" i="3"/>
  <c r="D91" i="3"/>
  <c r="C91" i="3"/>
  <c r="K90" i="3"/>
  <c r="J90" i="3"/>
  <c r="I90" i="3"/>
  <c r="H90" i="3"/>
  <c r="G90" i="3"/>
  <c r="F90" i="3"/>
  <c r="E90" i="3"/>
  <c r="D90" i="3"/>
  <c r="C90" i="3"/>
  <c r="K89" i="3"/>
  <c r="J89" i="3"/>
  <c r="I89" i="3"/>
  <c r="H89" i="3"/>
  <c r="G89" i="3"/>
  <c r="F89" i="3"/>
  <c r="E89" i="3"/>
  <c r="D89" i="3"/>
  <c r="C89" i="3"/>
  <c r="K88" i="3"/>
  <c r="J88" i="3"/>
  <c r="I88" i="3"/>
  <c r="H88" i="3"/>
  <c r="G88" i="3"/>
  <c r="F88" i="3"/>
  <c r="E88" i="3"/>
  <c r="D88" i="3"/>
  <c r="C88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M87" i="3"/>
  <c r="C87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M86" i="3"/>
  <c r="C86" i="3"/>
  <c r="C85" i="3"/>
  <c r="K84" i="3"/>
  <c r="J84" i="3"/>
  <c r="I84" i="3"/>
  <c r="H84" i="3"/>
  <c r="G84" i="3"/>
  <c r="C84" i="3"/>
  <c r="C83" i="3"/>
  <c r="K82" i="3"/>
  <c r="J82" i="3"/>
  <c r="I82" i="3"/>
  <c r="C82" i="3"/>
  <c r="C81" i="3"/>
  <c r="K80" i="3"/>
  <c r="C80" i="3"/>
  <c r="K79" i="3"/>
  <c r="J79" i="3"/>
  <c r="I79" i="3"/>
  <c r="H79" i="3"/>
  <c r="G79" i="3"/>
  <c r="F79" i="3"/>
  <c r="E79" i="3"/>
  <c r="D79" i="3"/>
  <c r="C79" i="3"/>
  <c r="K78" i="3"/>
  <c r="J78" i="3"/>
  <c r="I78" i="3"/>
  <c r="H78" i="3"/>
  <c r="G78" i="3"/>
  <c r="C78" i="3"/>
  <c r="F77" i="3"/>
  <c r="E77" i="3"/>
  <c r="D77" i="3"/>
  <c r="C77" i="3"/>
  <c r="C76" i="3"/>
  <c r="K75" i="3"/>
  <c r="J75" i="3"/>
  <c r="C75" i="3"/>
  <c r="C74" i="3"/>
  <c r="C73" i="3"/>
  <c r="C72" i="3"/>
  <c r="C71" i="3"/>
  <c r="C70" i="3"/>
  <c r="F69" i="3"/>
  <c r="E69" i="3"/>
  <c r="D69" i="3"/>
  <c r="C69" i="3"/>
  <c r="K68" i="3"/>
  <c r="J68" i="3"/>
  <c r="I68" i="3"/>
  <c r="C68" i="3"/>
  <c r="F67" i="3"/>
  <c r="E67" i="3"/>
  <c r="D67" i="3"/>
  <c r="C67" i="3"/>
  <c r="K66" i="3"/>
  <c r="C66" i="3"/>
  <c r="E65" i="3"/>
  <c r="C65" i="3"/>
  <c r="C64" i="3"/>
  <c r="C63" i="3"/>
  <c r="C62" i="3"/>
  <c r="F61" i="3"/>
  <c r="C61" i="3"/>
  <c r="K60" i="3"/>
  <c r="J60" i="3"/>
  <c r="I60" i="3"/>
  <c r="H60" i="3"/>
  <c r="G60" i="3"/>
  <c r="F60" i="3"/>
  <c r="E60" i="3"/>
  <c r="D60" i="3"/>
  <c r="C60" i="3"/>
  <c r="K59" i="3"/>
  <c r="J59" i="3"/>
  <c r="I59" i="3"/>
  <c r="H59" i="3"/>
  <c r="G59" i="3"/>
  <c r="F59" i="3"/>
  <c r="E59" i="3"/>
  <c r="C59" i="3"/>
  <c r="D58" i="3"/>
  <c r="C58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M57" i="3"/>
  <c r="C57" i="3"/>
  <c r="K56" i="3"/>
  <c r="J56" i="3"/>
  <c r="I56" i="3"/>
  <c r="H56" i="3"/>
  <c r="C56" i="3"/>
  <c r="C55" i="3"/>
  <c r="C54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M53" i="3"/>
  <c r="C53" i="3"/>
  <c r="C52" i="3"/>
  <c r="K51" i="3"/>
  <c r="J51" i="3"/>
  <c r="I51" i="3"/>
  <c r="H51" i="3"/>
  <c r="G51" i="3"/>
  <c r="F51" i="3"/>
  <c r="E51" i="3"/>
  <c r="D51" i="3"/>
  <c r="C51" i="3"/>
  <c r="C50" i="3"/>
  <c r="C49" i="3"/>
  <c r="K48" i="3"/>
  <c r="J48" i="3"/>
  <c r="I48" i="3"/>
  <c r="H48" i="3"/>
  <c r="G48" i="3"/>
  <c r="F48" i="3"/>
  <c r="E48" i="3"/>
  <c r="C48" i="3"/>
  <c r="K47" i="3"/>
  <c r="J47" i="3"/>
  <c r="I47" i="3"/>
  <c r="H47" i="3"/>
  <c r="G47" i="3"/>
  <c r="F47" i="3"/>
  <c r="E47" i="3"/>
  <c r="D47" i="3"/>
  <c r="C47" i="3"/>
  <c r="K46" i="3"/>
  <c r="J46" i="3"/>
  <c r="I46" i="3"/>
  <c r="H46" i="3"/>
  <c r="G46" i="3"/>
  <c r="C46" i="3"/>
  <c r="D45" i="3"/>
  <c r="C45" i="3"/>
  <c r="K44" i="3"/>
  <c r="J44" i="3"/>
  <c r="I44" i="3"/>
  <c r="C44" i="3"/>
  <c r="C43" i="3"/>
  <c r="K42" i="3"/>
  <c r="J42" i="3"/>
  <c r="C42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M35" i="3"/>
  <c r="C35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M30" i="3"/>
  <c r="C30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M29" i="3"/>
  <c r="C29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M28" i="3"/>
  <c r="C28" i="3"/>
  <c r="C27" i="3"/>
  <c r="F26" i="3"/>
  <c r="C26" i="3"/>
  <c r="K25" i="3"/>
  <c r="J25" i="3"/>
  <c r="I25" i="3"/>
  <c r="H25" i="3"/>
  <c r="G25" i="3"/>
  <c r="F25" i="3"/>
  <c r="E25" i="3"/>
  <c r="D25" i="3"/>
  <c r="C25" i="3"/>
  <c r="C24" i="3"/>
  <c r="C23" i="3"/>
  <c r="C22" i="3"/>
  <c r="C21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M20" i="3"/>
  <c r="C20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M19" i="3"/>
  <c r="C19" i="3"/>
  <c r="C18" i="3"/>
  <c r="C17" i="3"/>
  <c r="I16" i="3"/>
  <c r="H16" i="3"/>
  <c r="G16" i="3"/>
  <c r="F16" i="3"/>
  <c r="E16" i="3"/>
  <c r="D16" i="3"/>
  <c r="C16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M15" i="3"/>
  <c r="C15" i="3"/>
  <c r="I14" i="3"/>
  <c r="H14" i="3"/>
  <c r="G14" i="3"/>
  <c r="F14" i="3"/>
  <c r="E14" i="3"/>
  <c r="D14" i="3"/>
  <c r="C14" i="3"/>
  <c r="C13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M12" i="3"/>
  <c r="C12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M11" i="3"/>
  <c r="C11" i="3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E13" i="3" l="1"/>
  <c r="K16" i="3"/>
  <c r="G41" i="3"/>
  <c r="I43" i="3"/>
  <c r="H45" i="3"/>
  <c r="E62" i="3"/>
  <c r="J67" i="3"/>
  <c r="H69" i="3"/>
  <c r="J81" i="3"/>
  <c r="H83" i="3"/>
  <c r="F95" i="3"/>
  <c r="H107" i="3"/>
  <c r="F109" i="3"/>
  <c r="J113" i="3"/>
  <c r="J108" i="3"/>
  <c r="E43" i="3"/>
  <c r="D107" i="3"/>
  <c r="G81" i="3"/>
  <c r="F83" i="3"/>
  <c r="J111" i="3"/>
  <c r="D13" i="3"/>
  <c r="I67" i="3"/>
  <c r="K111" i="3"/>
  <c r="F13" i="3"/>
  <c r="J43" i="3"/>
  <c r="I45" i="3"/>
  <c r="F62" i="3"/>
  <c r="D66" i="3"/>
  <c r="K67" i="3"/>
  <c r="I69" i="3"/>
  <c r="D80" i="3"/>
  <c r="K81" i="3"/>
  <c r="I83" i="3"/>
  <c r="G95" i="3"/>
  <c r="I107" i="3"/>
  <c r="G109" i="3"/>
  <c r="D112" i="3"/>
  <c r="K113" i="3"/>
  <c r="I108" i="3"/>
  <c r="G65" i="3"/>
  <c r="D83" i="3"/>
  <c r="J14" i="3"/>
  <c r="E41" i="3"/>
  <c r="I65" i="3"/>
  <c r="F107" i="3"/>
  <c r="H113" i="3"/>
  <c r="D44" i="3"/>
  <c r="G45" i="3"/>
  <c r="D62" i="3"/>
  <c r="G83" i="3"/>
  <c r="G13" i="3"/>
  <c r="D42" i="3"/>
  <c r="K43" i="3"/>
  <c r="J45" i="3"/>
  <c r="G62" i="3"/>
  <c r="E66" i="3"/>
  <c r="J69" i="3"/>
  <c r="E80" i="3"/>
  <c r="J83" i="3"/>
  <c r="H95" i="3"/>
  <c r="J107" i="3"/>
  <c r="H109" i="3"/>
  <c r="E112" i="3"/>
  <c r="E42" i="3"/>
  <c r="K45" i="3"/>
  <c r="H62" i="3"/>
  <c r="F66" i="3"/>
  <c r="D68" i="3"/>
  <c r="K69" i="3"/>
  <c r="F80" i="3"/>
  <c r="D82" i="3"/>
  <c r="K83" i="3"/>
  <c r="I95" i="3"/>
  <c r="K107" i="3"/>
  <c r="I109" i="3"/>
  <c r="F112" i="3"/>
  <c r="D114" i="3"/>
  <c r="D65" i="3"/>
  <c r="D81" i="3"/>
  <c r="D43" i="3"/>
  <c r="I61" i="3"/>
  <c r="E81" i="3"/>
  <c r="H111" i="3"/>
  <c r="G67" i="3"/>
  <c r="I13" i="3"/>
  <c r="F42" i="3"/>
  <c r="E44" i="3"/>
  <c r="I62" i="3"/>
  <c r="G66" i="3"/>
  <c r="E68" i="3"/>
  <c r="G80" i="3"/>
  <c r="E82" i="3"/>
  <c r="J95" i="3"/>
  <c r="J109" i="3"/>
  <c r="G112" i="3"/>
  <c r="E114" i="3"/>
  <c r="K41" i="3"/>
  <c r="K108" i="3"/>
  <c r="F45" i="3"/>
  <c r="E95" i="3"/>
  <c r="J13" i="3"/>
  <c r="G42" i="3"/>
  <c r="F44" i="3"/>
  <c r="D46" i="3"/>
  <c r="J62" i="3"/>
  <c r="H66" i="3"/>
  <c r="F68" i="3"/>
  <c r="H80" i="3"/>
  <c r="F82" i="3"/>
  <c r="D84" i="3"/>
  <c r="D94" i="3"/>
  <c r="D108" i="3"/>
  <c r="K109" i="3"/>
  <c r="H112" i="3"/>
  <c r="F114" i="3"/>
  <c r="G61" i="3"/>
  <c r="H61" i="3"/>
  <c r="F81" i="3"/>
  <c r="E107" i="3"/>
  <c r="G43" i="3"/>
  <c r="H43" i="3"/>
  <c r="J65" i="3"/>
  <c r="I81" i="3"/>
  <c r="E109" i="3"/>
  <c r="K13" i="3"/>
  <c r="H42" i="3"/>
  <c r="G44" i="3"/>
  <c r="E46" i="3"/>
  <c r="D61" i="3"/>
  <c r="I66" i="3"/>
  <c r="G68" i="3"/>
  <c r="I80" i="3"/>
  <c r="G82" i="3"/>
  <c r="E84" i="3"/>
  <c r="E94" i="3"/>
  <c r="E108" i="3"/>
  <c r="I112" i="3"/>
  <c r="G114" i="3"/>
  <c r="F65" i="3"/>
  <c r="J61" i="3"/>
  <c r="D41" i="3"/>
  <c r="K61" i="3"/>
  <c r="J100" i="3"/>
  <c r="G52" i="3"/>
  <c r="J21" i="3"/>
  <c r="K34" i="3"/>
  <c r="I52" i="3"/>
  <c r="G24" i="3"/>
  <c r="I54" i="3"/>
  <c r="E22" i="3"/>
  <c r="G23" i="3"/>
  <c r="H73" i="3"/>
  <c r="J74" i="3"/>
  <c r="H100" i="3"/>
  <c r="K101" i="3"/>
  <c r="D55" i="3"/>
  <c r="F58" i="3"/>
  <c r="H77" i="3"/>
  <c r="D102" i="3"/>
  <c r="K103" i="3"/>
  <c r="E26" i="3"/>
  <c r="J23" i="3"/>
  <c r="K23" i="3"/>
  <c r="E55" i="3"/>
  <c r="G58" i="3"/>
  <c r="I77" i="3"/>
  <c r="E102" i="3"/>
  <c r="E73" i="3"/>
  <c r="F73" i="3"/>
  <c r="K54" i="3"/>
  <c r="E58" i="3"/>
  <c r="F55" i="3"/>
  <c r="H58" i="3"/>
  <c r="D75" i="3"/>
  <c r="J77" i="3"/>
  <c r="F102" i="3"/>
  <c r="D104" i="3"/>
  <c r="G55" i="3"/>
  <c r="I58" i="3"/>
  <c r="E75" i="3"/>
  <c r="K77" i="3"/>
  <c r="G102" i="3"/>
  <c r="E104" i="3"/>
  <c r="H55" i="3"/>
  <c r="J58" i="3"/>
  <c r="F75" i="3"/>
  <c r="H102" i="3"/>
  <c r="F104" i="3"/>
  <c r="I55" i="3"/>
  <c r="G75" i="3"/>
  <c r="D78" i="3"/>
  <c r="I102" i="3"/>
  <c r="G104" i="3"/>
  <c r="J55" i="3"/>
  <c r="H75" i="3"/>
  <c r="E78" i="3"/>
  <c r="J102" i="3"/>
  <c r="H104" i="3"/>
  <c r="F18" i="3"/>
  <c r="E50" i="3"/>
  <c r="H23" i="3"/>
  <c r="K17" i="3"/>
  <c r="K49" i="3"/>
  <c r="K70" i="3"/>
  <c r="K96" i="3"/>
  <c r="D18" i="3"/>
  <c r="D50" i="3"/>
  <c r="K71" i="3"/>
  <c r="K97" i="3"/>
  <c r="I21" i="3"/>
  <c r="F52" i="3"/>
  <c r="K72" i="3"/>
  <c r="F99" i="3"/>
  <c r="K52" i="3"/>
  <c r="E71" i="3"/>
  <c r="I73" i="3"/>
  <c r="G99" i="3"/>
  <c r="E101" i="3"/>
  <c r="G22" i="3"/>
  <c r="J73" i="3"/>
  <c r="D97" i="3"/>
  <c r="H99" i="3"/>
  <c r="F101" i="3"/>
  <c r="F22" i="3"/>
  <c r="H22" i="3"/>
  <c r="D72" i="3"/>
  <c r="K73" i="3"/>
  <c r="E97" i="3"/>
  <c r="I99" i="3"/>
  <c r="G101" i="3"/>
  <c r="I22" i="3"/>
  <c r="E72" i="3"/>
  <c r="J99" i="3"/>
  <c r="H101" i="3"/>
  <c r="D71" i="3"/>
  <c r="J22" i="3"/>
  <c r="F72" i="3"/>
  <c r="D74" i="3"/>
  <c r="K99" i="3"/>
  <c r="I101" i="3"/>
  <c r="F50" i="3"/>
  <c r="E99" i="3"/>
  <c r="D21" i="3"/>
  <c r="K22" i="3"/>
  <c r="D54" i="3"/>
  <c r="G72" i="3"/>
  <c r="E74" i="3"/>
  <c r="J101" i="3"/>
  <c r="J52" i="3"/>
  <c r="E21" i="3"/>
  <c r="E54" i="3"/>
  <c r="H72" i="3"/>
  <c r="F74" i="3"/>
  <c r="D100" i="3"/>
  <c r="F54" i="3"/>
  <c r="D56" i="3"/>
  <c r="I72" i="3"/>
  <c r="G74" i="3"/>
  <c r="E100" i="3"/>
  <c r="F21" i="3"/>
  <c r="G21" i="3"/>
  <c r="E23" i="3"/>
  <c r="D52" i="3"/>
  <c r="G54" i="3"/>
  <c r="E56" i="3"/>
  <c r="J72" i="3"/>
  <c r="H74" i="3"/>
  <c r="F100" i="3"/>
  <c r="D23" i="3"/>
  <c r="H21" i="3"/>
  <c r="F23" i="3"/>
  <c r="E52" i="3"/>
  <c r="H54" i="3"/>
  <c r="F56" i="3"/>
  <c r="I74" i="3"/>
  <c r="G100" i="3"/>
  <c r="E18" i="3"/>
  <c r="G18" i="3"/>
  <c r="G50" i="3"/>
  <c r="F71" i="3"/>
  <c r="F97" i="3"/>
  <c r="H18" i="3"/>
  <c r="H50" i="3"/>
  <c r="G71" i="3"/>
  <c r="G97" i="3"/>
  <c r="I18" i="3"/>
  <c r="I50" i="3"/>
  <c r="H71" i="3"/>
  <c r="H97" i="3"/>
  <c r="J18" i="3"/>
  <c r="J50" i="3"/>
  <c r="I71" i="3"/>
  <c r="I97" i="3"/>
  <c r="D17" i="3"/>
  <c r="D49" i="3"/>
  <c r="K50" i="3"/>
  <c r="J71" i="3"/>
  <c r="J97" i="3"/>
  <c r="E17" i="3"/>
  <c r="E49" i="3"/>
  <c r="D70" i="3"/>
  <c r="D96" i="3"/>
  <c r="F17" i="3"/>
  <c r="F49" i="3"/>
  <c r="E70" i="3"/>
  <c r="E96" i="3"/>
  <c r="G17" i="3"/>
  <c r="G49" i="3"/>
  <c r="F70" i="3"/>
  <c r="F96" i="3"/>
  <c r="H17" i="3"/>
  <c r="H49" i="3"/>
  <c r="G70" i="3"/>
  <c r="G96" i="3"/>
  <c r="I49" i="3"/>
  <c r="H70" i="3"/>
  <c r="H96" i="3"/>
  <c r="K18" i="3"/>
  <c r="J17" i="3"/>
  <c r="J49" i="3"/>
  <c r="I70" i="3"/>
  <c r="I96" i="3"/>
  <c r="I17" i="3"/>
  <c r="J70" i="3"/>
  <c r="J96" i="3"/>
  <c r="K65" i="3"/>
  <c r="J24" i="3"/>
  <c r="I26" i="3"/>
  <c r="K26" i="3"/>
  <c r="H41" i="3"/>
  <c r="I41" i="3"/>
  <c r="D27" i="3"/>
  <c r="D34" i="3"/>
  <c r="J41" i="3"/>
  <c r="E34" i="3"/>
  <c r="I24" i="3"/>
  <c r="F27" i="3"/>
  <c r="F34" i="3"/>
  <c r="J26" i="3"/>
  <c r="G27" i="3"/>
  <c r="G34" i="3"/>
  <c r="E11" i="3"/>
  <c r="H27" i="3"/>
  <c r="H34" i="3"/>
  <c r="H26" i="3"/>
  <c r="D24" i="3"/>
  <c r="I27" i="3"/>
  <c r="I34" i="3"/>
  <c r="E27" i="3"/>
  <c r="J27" i="3"/>
  <c r="E24" i="3"/>
  <c r="J34" i="3"/>
  <c r="F24" i="3"/>
  <c r="D26" i="3"/>
  <c r="K24" i="3"/>
  <c r="F87" i="3"/>
  <c r="J15" i="3"/>
  <c r="G20" i="3"/>
  <c r="J11" i="3"/>
  <c r="K53" i="3"/>
  <c r="K86" i="3"/>
  <c r="K19" i="3"/>
  <c r="E35" i="3"/>
  <c r="D30" i="3"/>
  <c r="I53" i="3"/>
  <c r="D87" i="3"/>
  <c r="J35" i="3"/>
  <c r="J57" i="3"/>
  <c r="K28" i="3"/>
  <c r="J19" i="3"/>
  <c r="I19" i="3"/>
  <c r="J28" i="3"/>
  <c r="I30" i="3"/>
  <c r="E53" i="3"/>
  <c r="D86" i="3"/>
  <c r="D35" i="3"/>
  <c r="E87" i="3"/>
  <c r="K15" i="3"/>
  <c r="K20" i="3"/>
  <c r="J87" i="3"/>
  <c r="K12" i="3"/>
  <c r="F29" i="3"/>
  <c r="K57" i="3"/>
  <c r="D11" i="3"/>
  <c r="I29" i="3"/>
  <c r="I57" i="3"/>
  <c r="J86" i="3"/>
  <c r="H12" i="3"/>
  <c r="K29" i="3"/>
  <c r="H87" i="3"/>
  <c r="E86" i="3"/>
  <c r="H19" i="3"/>
  <c r="J12" i="3"/>
  <c r="F35" i="3"/>
  <c r="F19" i="3"/>
  <c r="G86" i="3"/>
  <c r="K87" i="3"/>
  <c r="K11" i="3"/>
  <c r="G29" i="3"/>
  <c r="K30" i="3"/>
  <c r="K35" i="3"/>
  <c r="G53" i="3"/>
  <c r="H86" i="3"/>
  <c r="I20" i="3"/>
  <c r="D28" i="3"/>
  <c r="H29" i="3"/>
  <c r="H53" i="3"/>
  <c r="I86" i="3"/>
  <c r="D19" i="3"/>
  <c r="G11" i="3"/>
  <c r="J20" i="3"/>
  <c r="G35" i="3"/>
  <c r="I11" i="3"/>
  <c r="E28" i="3"/>
  <c r="G87" i="3"/>
  <c r="H11" i="3"/>
  <c r="E29" i="3"/>
  <c r="I35" i="3"/>
  <c r="F86" i="3"/>
  <c r="D15" i="3"/>
  <c r="F28" i="3"/>
  <c r="J29" i="3"/>
  <c r="J53" i="3"/>
  <c r="I12" i="3"/>
  <c r="E19" i="3"/>
  <c r="G19" i="3"/>
  <c r="D53" i="3"/>
  <c r="D57" i="3"/>
  <c r="H20" i="3"/>
  <c r="E30" i="3"/>
  <c r="H30" i="3"/>
  <c r="H35" i="3"/>
  <c r="F53" i="3"/>
  <c r="E15" i="3"/>
  <c r="G28" i="3"/>
  <c r="D12" i="3"/>
  <c r="F15" i="3"/>
  <c r="H28" i="3"/>
  <c r="E57" i="3"/>
  <c r="F30" i="3"/>
  <c r="G30" i="3"/>
  <c r="I87" i="3"/>
  <c r="J30" i="3"/>
  <c r="E12" i="3"/>
  <c r="G15" i="3"/>
  <c r="D20" i="3"/>
  <c r="I28" i="3"/>
  <c r="F57" i="3"/>
  <c r="F12" i="3"/>
  <c r="H15" i="3"/>
  <c r="G57" i="3"/>
  <c r="F11" i="3"/>
  <c r="D29" i="3"/>
  <c r="E20" i="3"/>
  <c r="I15" i="3"/>
  <c r="F20" i="3"/>
  <c r="H57" i="3"/>
  <c r="G12" i="3"/>
</calcChain>
</file>

<file path=xl/sharedStrings.xml><?xml version="1.0" encoding="utf-8"?>
<sst xmlns="http://schemas.openxmlformats.org/spreadsheetml/2006/main" count="9120" uniqueCount="255">
  <si>
    <t xml:space="preserve">Downloaded on: 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</si>
  <si>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</si>
  <si>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</si>
  <si>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</si>
  <si>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</si>
  <si>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</si>
  <si>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</si>
  <si>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</si>
  <si>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</si>
  <si>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</si>
  <si>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Public Fundamental Data provided by Morningstar, Inc.</t>
  </si>
  <si>
    <t>H4sIAAAAAAAEAM2QvU7DMBSF0wZEEDyEdyIrDS2lQxYCAokORYlYqqo41hWx6tjBP0jpY/DCYEcpDCyM3MH32tL57vEJRkEQfLry3df52B1PK2ZofSPlDpVdCxotWaWI6mL0DEozKbI0SROc4gQnMcotN1ZBJsAaRXiMVrbijD5CV8odiExYzo89v/jGbnvsdsDiAhQjnO1JxSEntIbfLxelbJfwDry/3TJqnA2nDR33ZHAV5bJpiQIVPRBdF2wPQRhEH6Oi0wYanEvOoddpfA/CbaCHfvdm3TbTHQAvk/V6UBVGMfEao0ZTqTirfjKY+u//JYBqPiczOruaLC6nkFwvNptoPMR9Gg7DkR/+o1Vv7uwL+T20zScCAAA=</t>
  </si>
  <si>
    <t>02-Aug-2022</t>
  </si>
  <si>
    <t>Created for:</t>
  </si>
  <si>
    <t>Tura Ventola Franch, HULT International Business School</t>
  </si>
  <si>
    <t>Data pulled from:</t>
  </si>
  <si>
    <t>Smith &amp; Wesson Brands</t>
  </si>
  <si>
    <t>Data as of: 02-Aug-2022</t>
  </si>
  <si>
    <t>Companies</t>
  </si>
  <si>
    <t>EV/EBITDA (FY)</t>
  </si>
  <si>
    <t>EBITDA (Earnings Before Interest, Tax, Depreciation, &amp; Amortization) (FY)</t>
  </si>
  <si>
    <t>EBITDA (Earnings Before Interest, Tax, Depreciation, &amp; Amortization) (TTM)</t>
  </si>
  <si>
    <t>EBITDA % Growth (FY)</t>
  </si>
  <si>
    <t>Revenue % Growth (FY)</t>
  </si>
  <si>
    <t>EBT Margin (FQ)</t>
  </si>
  <si>
    <t>Net Income % Growth (TTM)</t>
  </si>
  <si>
    <t>EBIT % Growth (FY)</t>
  </si>
  <si>
    <t>EBITDA % Growth, 5 Year CAGR (FY)</t>
  </si>
  <si>
    <t>Net Income % Growth (FY)</t>
  </si>
  <si>
    <t>EV (FY)</t>
  </si>
  <si>
    <t>EBIT % Growth (TTM)</t>
  </si>
  <si>
    <t>Revenue % Growth (TTM)</t>
  </si>
  <si>
    <t>EBITDA % Growth (TTM)</t>
  </si>
  <si>
    <t>Net Income % Growth, 3 Year CAGR (FY)</t>
  </si>
  <si>
    <t>Price % Change 52 Week</t>
  </si>
  <si>
    <t>Price/Book (FY)</t>
  </si>
  <si>
    <t>EV (FQ)</t>
  </si>
  <si>
    <t>Stock Price</t>
  </si>
  <si>
    <t>Revenue % Growth, 3 Year CAGR (FY)</t>
  </si>
  <si>
    <t>EV/EBIT (FY)</t>
  </si>
  <si>
    <t>Market Cap</t>
  </si>
  <si>
    <t>EBITDA % Growth, 3 Year CAGR (FY)</t>
  </si>
  <si>
    <t>% of 52 Week High</t>
  </si>
  <si>
    <t>Total Revenue (TTM)</t>
  </si>
  <si>
    <t>Net Income after Non-Controlling/Minority Interests (TTM)</t>
  </si>
  <si>
    <t>EBIT (Earnings Before Interest and Tax) (TTM)</t>
  </si>
  <si>
    <t>Basic EPS (TTM)</t>
  </si>
  <si>
    <t>EV/Revenue (TTM)</t>
  </si>
  <si>
    <t>EV/EBIT (TTM)</t>
  </si>
  <si>
    <t>Fiscal Year End</t>
  </si>
  <si>
    <t>Total Assets (FY)</t>
  </si>
  <si>
    <t>Total Debt (FY)</t>
  </si>
  <si>
    <t>Net Debt (FY)</t>
  </si>
  <si>
    <t>Debt to Capital (FY)</t>
  </si>
  <si>
    <t>Total Debt to Equity (FY)</t>
  </si>
  <si>
    <t>Employees</t>
  </si>
  <si>
    <t>Ticker</t>
  </si>
  <si>
    <t>Exchange</t>
  </si>
  <si>
    <t>HQ City</t>
  </si>
  <si>
    <t>HQ State/Province</t>
  </si>
  <si>
    <t>Primary Industry Sector</t>
  </si>
  <si>
    <t>Primary Industry Group</t>
  </si>
  <si>
    <t>Primary Industry Code</t>
  </si>
  <si>
    <t>Latest Stock Analyst Note</t>
  </si>
  <si>
    <t>Latest Cash Flow Model</t>
  </si>
  <si>
    <t>Morningstar Rating</t>
  </si>
  <si>
    <t>Active Coverage</t>
  </si>
  <si>
    <t>SIC Codes</t>
  </si>
  <si>
    <t>SIC Code Descriptions</t>
  </si>
  <si>
    <t>SIC Group Descriptions</t>
  </si>
  <si>
    <t>SIC Sector Descriptions</t>
  </si>
  <si>
    <t>Website</t>
  </si>
  <si>
    <t>As of Date</t>
  </si>
  <si>
    <t>Smith &amp; Wesson Brands (NAS: SWBI)</t>
  </si>
  <si>
    <t>SWBI</t>
  </si>
  <si>
    <t>NAS</t>
  </si>
  <si>
    <t>Springfield</t>
  </si>
  <si>
    <t>Massachusetts</t>
  </si>
  <si>
    <t>Consumer Products and Services (B2C)</t>
  </si>
  <si>
    <t>Consumer Durables</t>
  </si>
  <si>
    <t>Other Consumer Durables</t>
  </si>
  <si>
    <t>3480, 3484</t>
  </si>
  <si>
    <t>Ordnance &amp; accessories, (no vehicles/guided missiles), Small Arms</t>
  </si>
  <si>
    <t>Fabricated Metal Products, Fabricated Metal Products</t>
  </si>
  <si>
    <t>Manufacturing, Manufacturing</t>
  </si>
  <si>
    <t>smith-wesson.com</t>
  </si>
  <si>
    <t>© PitchBook Data, Inc. 2022</t>
  </si>
  <si>
    <t>Financial amounts in Thousands, USD</t>
  </si>
  <si>
    <t>Stock price is in USD</t>
  </si>
  <si>
    <t>* Exchange Rate Disclaimer: Rates provided are from the Morningstar OTC contributed forex data feed. The rate used is a composite of all OTC
contributors and not a rate from a specific contributor. In general, exchange rates fluctuate daily and intraday, thus the rate used herein could
result in the value being higher or lower than what is shown.</t>
  </si>
  <si>
    <t>Key Metrics (TTM)</t>
  </si>
  <si>
    <t>Downloaded On: 02-Aug-2022</t>
  </si>
  <si>
    <t>Company: Smith &amp; Wesson Brands (NAS: SWBI)</t>
  </si>
  <si>
    <t>Amounts in Thousands, USD (except Ratios, Multiples &amp; per share items)</t>
  </si>
  <si>
    <t>Apr-2022</t>
  </si>
  <si>
    <t>Oct-2018</t>
  </si>
  <si>
    <t>Jul-2018</t>
  </si>
  <si>
    <t>Apr-2018</t>
  </si>
  <si>
    <t>Jan-2018</t>
  </si>
  <si>
    <t>Oct-2017</t>
  </si>
  <si>
    <t>Jul-2017</t>
  </si>
  <si>
    <t>Apr-2017</t>
  </si>
  <si>
    <t>Jan-2017</t>
  </si>
  <si>
    <t>Oct-2016</t>
  </si>
  <si>
    <t>Jul-2016</t>
  </si>
  <si>
    <t>Apr-2016</t>
  </si>
  <si>
    <t>Jan-2016</t>
  </si>
  <si>
    <t>Oct-2015</t>
  </si>
  <si>
    <t>Jul-2015</t>
  </si>
  <si>
    <t>Apr-2015</t>
  </si>
  <si>
    <t>Jan-2015</t>
  </si>
  <si>
    <t>Oct-2014</t>
  </si>
  <si>
    <t>Jul-2014</t>
  </si>
  <si>
    <t>Apr-2014</t>
  </si>
  <si>
    <t>Jan-2014</t>
  </si>
  <si>
    <t>Oct-2013</t>
  </si>
  <si>
    <t>Jul-2013</t>
  </si>
  <si>
    <t>Apr-2013</t>
  </si>
  <si>
    <t>Jan-2013</t>
  </si>
  <si>
    <t>Oct-2012</t>
  </si>
  <si>
    <t>Jul-2012</t>
  </si>
  <si>
    <t>Apr-2012</t>
  </si>
  <si>
    <t>Jan-2012</t>
  </si>
  <si>
    <t>Oct-2011</t>
  </si>
  <si>
    <t>Jul-2011</t>
  </si>
  <si>
    <t>Apr-2011</t>
  </si>
  <si>
    <t>Jan-2011</t>
  </si>
  <si>
    <t>Oct-2010</t>
  </si>
  <si>
    <t>Jul-2010</t>
  </si>
  <si>
    <t>Apr-2010</t>
  </si>
  <si>
    <t>Jan-2010</t>
  </si>
  <si>
    <t>Oct-2009</t>
  </si>
  <si>
    <t>Jul-2009</t>
  </si>
  <si>
    <t>Apr-2009</t>
  </si>
  <si>
    <t>Jan-2009</t>
  </si>
  <si>
    <t>Oct-2008</t>
  </si>
  <si>
    <t>Jul-2008</t>
  </si>
  <si>
    <t>Apr-2008</t>
  </si>
  <si>
    <t>Jan-2008</t>
  </si>
  <si>
    <t>Oct-2007</t>
  </si>
  <si>
    <t>Jul-2007</t>
  </si>
  <si>
    <t>Apr-2007</t>
  </si>
  <si>
    <t>Jan-2007</t>
  </si>
  <si>
    <t>Oct-2006</t>
  </si>
  <si>
    <t>Jul-2006</t>
  </si>
  <si>
    <t>Apr-2006</t>
  </si>
  <si>
    <t>Jan-2006</t>
  </si>
  <si>
    <t>Oct-2005</t>
  </si>
  <si>
    <t>Jul-2005</t>
  </si>
  <si>
    <t>Apr-2005</t>
  </si>
  <si>
    <t>Jan-2005</t>
  </si>
  <si>
    <t>Oct-2004</t>
  </si>
  <si>
    <t>Jul-2004</t>
  </si>
  <si>
    <t>Apr-2004</t>
  </si>
  <si>
    <t>Jan-2004</t>
  </si>
  <si>
    <t>Oct-2003</t>
  </si>
  <si>
    <t>Jul-2003</t>
  </si>
  <si>
    <t>Apr-2003</t>
  </si>
  <si>
    <t>Jan-2003</t>
  </si>
  <si>
    <t>Oct-2002</t>
  </si>
  <si>
    <t>Jul-2002</t>
  </si>
  <si>
    <t>Apr-2002</t>
  </si>
  <si>
    <t>Mar-2001</t>
  </si>
  <si>
    <t>Dec-2000</t>
  </si>
  <si>
    <t>Dec-1999</t>
  </si>
  <si>
    <t/>
  </si>
  <si>
    <t>Income Statement (TTM)</t>
  </si>
  <si>
    <t>Balance Sheet (TTM)</t>
  </si>
  <si>
    <t>FY 2021</t>
  </si>
  <si>
    <t>FY 2020</t>
  </si>
  <si>
    <t>FY 2019</t>
  </si>
  <si>
    <t>FY 2018</t>
  </si>
  <si>
    <t>FY 2017</t>
  </si>
  <si>
    <t>Projected</t>
  </si>
  <si>
    <t>tax rate:</t>
  </si>
  <si>
    <t>Free Cash Flow</t>
  </si>
  <si>
    <t>Value of Operations</t>
  </si>
  <si>
    <t>Value of equity</t>
  </si>
  <si>
    <t>Price per share</t>
  </si>
  <si>
    <t>Total value of the firm</t>
  </si>
  <si>
    <t>Minus: Book value of debt</t>
  </si>
  <si>
    <t>Minus: Book value of preferred stock</t>
  </si>
  <si>
    <t>Minus: Book value of equity</t>
  </si>
  <si>
    <t>Market value added (MVA)</t>
  </si>
  <si>
    <t>Bottom up approach to Beta</t>
  </si>
  <si>
    <t>BETA</t>
  </si>
  <si>
    <t>D/E</t>
  </si>
  <si>
    <t>Tax</t>
  </si>
  <si>
    <t>General Dynamics Corp</t>
  </si>
  <si>
    <t xml:space="preserve">Northrop Grumman Corp </t>
  </si>
  <si>
    <t>Sturm, Ruger &amp; Co., Inc.</t>
  </si>
  <si>
    <t>Avg</t>
  </si>
  <si>
    <t>Beta levered:</t>
  </si>
  <si>
    <t>WACC</t>
  </si>
  <si>
    <t>g</t>
  </si>
  <si>
    <t>Return</t>
  </si>
  <si>
    <t>re</t>
  </si>
  <si>
    <t>we</t>
  </si>
  <si>
    <t>rd</t>
  </si>
  <si>
    <t>wd</t>
  </si>
  <si>
    <t>EBIT</t>
  </si>
  <si>
    <t>NOPAT</t>
  </si>
  <si>
    <t xml:space="preserve">    Less: CAPEX</t>
  </si>
  <si>
    <t>Total Free Cash Flow</t>
  </si>
  <si>
    <t>Net Present Value</t>
  </si>
  <si>
    <t>Non-Operational Assets</t>
  </si>
  <si>
    <t>Total Value of the firm</t>
  </si>
  <si>
    <t>Debt</t>
  </si>
  <si>
    <t>Preferred stock</t>
  </si>
  <si>
    <t>Number of shares</t>
  </si>
  <si>
    <t>Horizon Value (Value at 2026)</t>
  </si>
  <si>
    <t>Beta unlevered:</t>
  </si>
  <si>
    <t>Financial Ratios</t>
  </si>
  <si>
    <t>2022</t>
  </si>
  <si>
    <t>Return on Equity (%)</t>
  </si>
  <si>
    <t>Return on Assets (%)</t>
  </si>
  <si>
    <t>Current Ratio</t>
  </si>
  <si>
    <t>Payout Ratio (%)</t>
  </si>
  <si>
    <t>Annualized Dividends ($)</t>
  </si>
  <si>
    <t>Own a gun</t>
  </si>
  <si>
    <t>Do not own a gun</t>
  </si>
  <si>
    <t>Could get a gun in the future</t>
  </si>
  <si>
    <t>Would never get a gun</t>
  </si>
  <si>
    <t>Sex</t>
  </si>
  <si>
    <t>Men</t>
  </si>
  <si>
    <t>Women</t>
  </si>
  <si>
    <t xml:space="preserve">Age </t>
  </si>
  <si>
    <t>18-29</t>
  </si>
  <si>
    <t>30-49</t>
  </si>
  <si>
    <t>50-64</t>
  </si>
  <si>
    <t>65+</t>
  </si>
  <si>
    <t>Race</t>
  </si>
  <si>
    <t>White</t>
  </si>
  <si>
    <t>Black</t>
  </si>
  <si>
    <t>Hispanic</t>
  </si>
  <si>
    <t>Education</t>
  </si>
  <si>
    <t>High school or less</t>
  </si>
  <si>
    <t>Some College</t>
  </si>
  <si>
    <t>Bachelor's or +</t>
  </si>
  <si>
    <t>Location</t>
  </si>
  <si>
    <t>Urban</t>
  </si>
  <si>
    <t>Suburban</t>
  </si>
  <si>
    <t>Rural</t>
  </si>
  <si>
    <t>risk-free rate (10 year US gov bond yield)</t>
  </si>
  <si>
    <t>market risk premium (average market)</t>
  </si>
  <si>
    <t>beta (reported by the company)</t>
  </si>
  <si>
    <t>*Beta reported :</t>
  </si>
  <si>
    <t xml:space="preserve">    Less: Working Capital</t>
  </si>
  <si>
    <t>Side Calculations</t>
  </si>
  <si>
    <t>Assets</t>
  </si>
  <si>
    <t>Liabilities</t>
  </si>
  <si>
    <t>Working Capital</t>
  </si>
  <si>
    <t>Common Equity</t>
  </si>
  <si>
    <t>Valuation Assumptions</t>
  </si>
  <si>
    <t xml:space="preserve">
- All figures used are just based on full fiscal years, progressing FY ('22), was disregarded in this valuation. 
- Growth-Rate: Average anticipated market growth for the small arms industry untill 2027 (3%) and anticipated market growth for the defense industry untill 2027 (7%)
-Cost of debt calculated as reported standard by Smith &amp; Wesson
-Long Term Debt - Rate extracted from the notes of 2021 10-k
-Retrieved Beta from Yahoo Finance (coincides with the one reported by the company on the reports)
- Risk Free % based on US 10Y Treasury 2021/12/31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</si>
</sst>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[$-409]m/d/yyyy"/>
    <numFmt numFmtId="165" formatCode="#,##0;[Red]\(#,##0\)"/>
    <numFmt numFmtId="166" formatCode="#,##0.00;[Red]\(#,##0.00\)"/>
    <numFmt numFmtId="167" formatCode="[$-409]#,##0.00_);[Red]\(#,##0.00\)"/>
    <numFmt numFmtId="168" formatCode="#,##0.00%;[Red]\-#,##0.00%"/>
    <numFmt numFmtId="169" formatCode="d\-mmm\-yyyy"/>
    <numFmt numFmtId="170" formatCode="#,##0.00;[Red]\-#,##0.00"/>
    <numFmt numFmtId="171" formatCode="dd\-mmm\-yyyy"/>
    <numFmt numFmtId="172" formatCode="0.0%"/>
    <numFmt numFmtId="173" formatCode="&quot;$&quot;#,##0.00"/>
    <numFmt numFmtId="174" formatCode="&quot;$&quot;#,##0.0_);\(&quot;$&quot;#,##0.0\)"/>
    <numFmt numFmtId="175" formatCode="_([$$-409]* #,##0.00_);_([$$-409]* \(#,##0.00\);_([$$-409]* &quot;-&quot;??_);_(@_)"/>
    <numFmt numFmtId="176" formatCode="0.000000000000000%"/>
  </numFmts>
  <fonts count="36" x14ac:knownFonts="1">
    <font>
      <sz val="11"/>
      <color rgb="FF010000"/>
      <name val="Calibri"/>
      <family val="2"/>
      <charset val="1"/>
    </font>
    <font>
      <sz val="8"/>
      <color rgb="FF010000"/>
      <name val="Arial"/>
      <family val="2"/>
      <charset val="1"/>
    </font>
    <font>
      <sz val="8"/>
      <color rgb="FF010000"/>
      <name val="Arial"/>
      <family val="2"/>
      <charset val="204"/>
    </font>
    <font>
      <b/>
      <sz val="8"/>
      <color rgb="FF800000"/>
      <name val="Arial"/>
      <family val="2"/>
      <charset val="204"/>
    </font>
    <font>
      <b/>
      <i/>
      <sz val="14"/>
      <color rgb="FF010000"/>
      <name val="Calibri"/>
      <family val="2"/>
      <charset val="204"/>
    </font>
    <font>
      <b/>
      <sz val="16"/>
      <color rgb="FF010000"/>
      <name val="Calibri"/>
      <family val="2"/>
      <charset val="204"/>
    </font>
    <font>
      <b/>
      <sz val="10"/>
      <color rgb="FF010000"/>
      <name val="Calibri"/>
      <family val="2"/>
      <charset val="204"/>
    </font>
    <font>
      <i/>
      <sz val="9"/>
      <color rgb="FF010000"/>
      <name val="Calibri"/>
      <family val="2"/>
      <charset val="204"/>
    </font>
    <font>
      <sz val="10"/>
      <color rgb="FF010000"/>
      <name val="Calibri"/>
      <family val="2"/>
      <charset val="1"/>
    </font>
    <font>
      <b/>
      <sz val="10"/>
      <color rgb="FF010000"/>
      <name val="Calibri"/>
      <family val="2"/>
      <charset val="1"/>
    </font>
    <font>
      <b/>
      <u/>
      <sz val="10"/>
      <color rgb="FF558ED5"/>
      <name val="Calibri"/>
      <family val="2"/>
      <charset val="1"/>
    </font>
    <font>
      <sz val="8"/>
      <color rgb="FF010000"/>
      <name val="Calibri"/>
      <family val="2"/>
      <charset val="1"/>
    </font>
    <font>
      <b/>
      <sz val="8"/>
      <color rgb="FFFFFFFF"/>
      <name val="Arial"/>
      <family val="2"/>
      <charset val="204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color rgb="FF010000"/>
      <name val="Calibri"/>
      <family val="2"/>
      <charset val="1"/>
    </font>
    <font>
      <b/>
      <sz val="12"/>
      <color theme="1"/>
      <name val="Times New Roman"/>
      <family val="1"/>
    </font>
    <font>
      <b/>
      <u val="doubleAccounting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1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10000"/>
      <name val="Times New Roman"/>
      <family val="1"/>
    </font>
    <font>
      <sz val="10"/>
      <color rgb="FF01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10000"/>
      <name val="Times New Roman"/>
      <family val="1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8D8D8"/>
        <bgColor rgb="FFBFBFBF"/>
      </patternFill>
    </fill>
    <fill>
      <patternFill patternType="solid">
        <fgColor rgb="FF376092"/>
        <bgColor rgb="FF1F497D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medium">
        <color rgb="FF808080"/>
      </left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medium">
        <color rgb="FF002060"/>
      </right>
      <top style="medium">
        <color rgb="FF002060"/>
      </top>
      <bottom style="medium">
        <color indexed="64"/>
      </bottom>
      <diagonal/>
    </border>
    <border>
      <left style="medium">
        <color rgb="FF002060"/>
      </left>
      <right/>
      <top style="medium">
        <color auto="1"/>
      </top>
      <bottom/>
      <diagonal/>
    </border>
    <border>
      <left/>
      <right style="medium">
        <color rgb="FF002060"/>
      </right>
      <top style="medium">
        <color auto="1"/>
      </top>
      <bottom/>
      <diagonal/>
    </border>
    <border>
      <left style="medium">
        <color rgb="FF002060"/>
      </left>
      <right/>
      <top/>
      <bottom style="thin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2060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/>
      <top style="medium">
        <color indexed="64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rgb="FF002060"/>
      </bottom>
      <diagonal/>
    </border>
    <border>
      <left/>
      <right style="medium">
        <color rgb="FF002060"/>
      </right>
      <top style="medium">
        <color indexed="64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24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2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65" fontId="8" fillId="2" borderId="0" xfId="0" applyNumberFormat="1" applyFont="1" applyFill="1" applyBorder="1" applyAlignment="1">
      <alignment horizontal="right" vertical="top"/>
    </xf>
    <xf numFmtId="166" fontId="8" fillId="2" borderId="0" xfId="0" applyNumberFormat="1" applyFont="1" applyFill="1" applyBorder="1" applyAlignment="1">
      <alignment horizontal="right" vertical="top"/>
    </xf>
    <xf numFmtId="168" fontId="8" fillId="2" borderId="0" xfId="0" applyNumberFormat="1" applyFont="1" applyFill="1" applyBorder="1" applyAlignment="1">
      <alignment horizontal="right" vertical="top"/>
    </xf>
    <xf numFmtId="49" fontId="8" fillId="2" borderId="0" xfId="0" applyNumberFormat="1" applyFont="1" applyFill="1" applyBorder="1" applyAlignment="1">
      <alignment horizontal="right" vertical="top"/>
    </xf>
    <xf numFmtId="165" fontId="8" fillId="3" borderId="0" xfId="0" applyNumberFormat="1" applyFont="1" applyFill="1" applyBorder="1" applyAlignment="1">
      <alignment horizontal="right" vertical="top"/>
    </xf>
    <xf numFmtId="166" fontId="8" fillId="3" borderId="0" xfId="0" applyNumberFormat="1" applyFont="1" applyFill="1" applyBorder="1" applyAlignment="1">
      <alignment horizontal="right" vertical="top"/>
    </xf>
    <xf numFmtId="167" fontId="8" fillId="3" borderId="0" xfId="0" applyNumberFormat="1" applyFont="1" applyFill="1" applyBorder="1" applyAlignment="1">
      <alignment horizontal="right" vertical="top"/>
    </xf>
    <xf numFmtId="168" fontId="8" fillId="3" borderId="0" xfId="0" applyNumberFormat="1" applyFont="1" applyFill="1" applyBorder="1" applyAlignment="1">
      <alignment horizontal="right" vertical="top"/>
    </xf>
    <xf numFmtId="49" fontId="8" fillId="3" borderId="0" xfId="0" applyNumberFormat="1" applyFont="1" applyFill="1" applyBorder="1" applyAlignment="1">
      <alignment horizontal="right" vertical="top"/>
    </xf>
    <xf numFmtId="0" fontId="5" fillId="2" borderId="2" xfId="0" applyFont="1" applyFill="1" applyBorder="1" applyAlignment="1"/>
    <xf numFmtId="165" fontId="6" fillId="2" borderId="0" xfId="0" applyNumberFormat="1" applyFont="1" applyFill="1" applyBorder="1" applyAlignment="1">
      <alignment horizontal="right" vertical="top"/>
    </xf>
    <xf numFmtId="166" fontId="6" fillId="2" borderId="0" xfId="0" applyNumberFormat="1" applyFont="1" applyFill="1" applyBorder="1" applyAlignment="1">
      <alignment horizontal="right" vertical="top"/>
    </xf>
    <xf numFmtId="165" fontId="6" fillId="2" borderId="7" xfId="0" applyNumberFormat="1" applyFont="1" applyFill="1" applyBorder="1" applyAlignment="1">
      <alignment horizontal="right" vertical="top"/>
    </xf>
    <xf numFmtId="166" fontId="6" fillId="2" borderId="7" xfId="0" applyNumberFormat="1" applyFont="1" applyFill="1" applyBorder="1" applyAlignment="1">
      <alignment horizontal="right" vertical="top"/>
    </xf>
    <xf numFmtId="165" fontId="6" fillId="3" borderId="7" xfId="0" applyNumberFormat="1" applyFont="1" applyFill="1" applyBorder="1" applyAlignment="1">
      <alignment horizontal="right" vertical="top"/>
    </xf>
    <xf numFmtId="0" fontId="10" fillId="3" borderId="2" xfId="0" applyFont="1" applyFill="1" applyBorder="1" applyAlignment="1">
      <alignment horizontal="left" vertical="top" wrapText="1"/>
    </xf>
    <xf numFmtId="169" fontId="11" fillId="3" borderId="2" xfId="0" applyNumberFormat="1" applyFont="1" applyFill="1" applyBorder="1" applyAlignment="1">
      <alignment horizontal="left"/>
    </xf>
    <xf numFmtId="0" fontId="12" fillId="5" borderId="2" xfId="0" applyFont="1" applyFill="1" applyBorder="1" applyAlignment="1">
      <alignment horizontal="right" vertical="top" wrapText="1"/>
    </xf>
    <xf numFmtId="0" fontId="13" fillId="0" borderId="0" xfId="0" applyFont="1" applyAlignment="1">
      <alignment wrapText="1"/>
    </xf>
    <xf numFmtId="0" fontId="2" fillId="6" borderId="2" xfId="0" applyFont="1" applyFill="1" applyBorder="1" applyAlignment="1">
      <alignment horizontal="left"/>
    </xf>
    <xf numFmtId="170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70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70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70" fontId="2" fillId="6" borderId="2" xfId="0" applyNumberFormat="1" applyFont="1" applyFill="1" applyBorder="1" applyAlignment="1">
      <alignment horizontal="right"/>
    </xf>
    <xf numFmtId="170" fontId="2" fillId="6" borderId="2" xfId="0" applyNumberFormat="1" applyFont="1" applyFill="1" applyBorder="1" applyAlignment="1">
      <alignment horizontal="right"/>
    </xf>
    <xf numFmtId="166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70" fontId="2" fillId="6" borderId="2" xfId="0" applyNumberFormat="1" applyFont="1" applyFill="1" applyBorder="1" applyAlignment="1">
      <alignment horizontal="right"/>
    </xf>
    <xf numFmtId="170" fontId="2" fillId="6" borderId="2" xfId="0" applyNumberFormat="1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171" fontId="2" fillId="6" borderId="2" xfId="0" applyNumberFormat="1" applyFont="1" applyFill="1" applyBorder="1" applyAlignment="1">
      <alignment horizontal="right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10" fontId="8" fillId="3" borderId="0" xfId="2" applyNumberFormat="1" applyFont="1" applyFill="1" applyBorder="1" applyAlignment="1">
      <alignment horizontal="right" vertical="top"/>
    </xf>
    <xf numFmtId="0" fontId="0" fillId="4" borderId="0" xfId="0" applyFill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0" fillId="3" borderId="13" xfId="0" applyFont="1" applyFill="1" applyBorder="1" applyAlignment="1">
      <alignment horizontal="left" vertical="top" wrapText="1"/>
    </xf>
    <xf numFmtId="169" fontId="11" fillId="3" borderId="13" xfId="0" applyNumberFormat="1" applyFont="1" applyFill="1" applyBorder="1" applyAlignment="1">
      <alignment horizontal="left"/>
    </xf>
    <xf numFmtId="166" fontId="6" fillId="2" borderId="12" xfId="0" applyNumberFormat="1" applyFont="1" applyFill="1" applyBorder="1" applyAlignment="1">
      <alignment horizontal="right" vertical="top"/>
    </xf>
    <xf numFmtId="165" fontId="8" fillId="3" borderId="12" xfId="0" applyNumberFormat="1" applyFont="1" applyFill="1" applyBorder="1" applyAlignment="1">
      <alignment horizontal="right" vertical="top"/>
    </xf>
    <xf numFmtId="166" fontId="8" fillId="3" borderId="12" xfId="0" applyNumberFormat="1" applyFont="1" applyFill="1" applyBorder="1" applyAlignment="1">
      <alignment horizontal="right" vertical="top"/>
    </xf>
    <xf numFmtId="10" fontId="8" fillId="3" borderId="12" xfId="2" applyNumberFormat="1" applyFont="1" applyFill="1" applyBorder="1" applyAlignment="1">
      <alignment horizontal="right" vertical="top"/>
    </xf>
    <xf numFmtId="0" fontId="16" fillId="0" borderId="0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72" fontId="20" fillId="8" borderId="18" xfId="2" applyNumberFormat="1" applyFont="1" applyFill="1" applyBorder="1" applyAlignment="1">
      <alignment horizontal="center"/>
    </xf>
    <xf numFmtId="4" fontId="20" fillId="8" borderId="18" xfId="1" applyNumberFormat="1" applyFont="1" applyFill="1" applyBorder="1"/>
    <xf numFmtId="9" fontId="0" fillId="0" borderId="0" xfId="2" applyFont="1" applyBorder="1"/>
    <xf numFmtId="166" fontId="2" fillId="9" borderId="2" xfId="0" applyNumberFormat="1" applyFont="1" applyFill="1" applyBorder="1" applyAlignment="1">
      <alignment horizontal="right"/>
    </xf>
    <xf numFmtId="165" fontId="2" fillId="9" borderId="2" xfId="0" applyNumberFormat="1" applyFont="1" applyFill="1" applyBorder="1" applyAlignment="1">
      <alignment horizontal="right"/>
    </xf>
    <xf numFmtId="0" fontId="0" fillId="10" borderId="0" xfId="0" applyFill="1" applyBorder="1"/>
    <xf numFmtId="0" fontId="0" fillId="7" borderId="11" xfId="0" applyFill="1" applyBorder="1"/>
    <xf numFmtId="0" fontId="8" fillId="9" borderId="0" xfId="0" applyFont="1" applyFill="1" applyBorder="1" applyAlignment="1">
      <alignment horizontal="left" vertical="top"/>
    </xf>
    <xf numFmtId="165" fontId="8" fillId="9" borderId="0" xfId="0" applyNumberFormat="1" applyFont="1" applyFill="1" applyBorder="1" applyAlignment="1">
      <alignment horizontal="right" vertical="top"/>
    </xf>
    <xf numFmtId="165" fontId="8" fillId="9" borderId="12" xfId="0" applyNumberFormat="1" applyFont="1" applyFill="1" applyBorder="1" applyAlignment="1">
      <alignment horizontal="right" vertical="top"/>
    </xf>
    <xf numFmtId="0" fontId="0" fillId="10" borderId="0" xfId="0" applyFill="1"/>
    <xf numFmtId="0" fontId="0" fillId="7" borderId="0" xfId="0" applyFill="1" applyBorder="1"/>
    <xf numFmtId="0" fontId="0" fillId="7" borderId="0" xfId="0" applyFill="1"/>
    <xf numFmtId="0" fontId="20" fillId="8" borderId="30" xfId="0" applyFont="1" applyFill="1" applyBorder="1" applyAlignment="1">
      <alignment horizontal="left"/>
    </xf>
    <xf numFmtId="0" fontId="20" fillId="8" borderId="32" xfId="0" applyFont="1" applyFill="1" applyBorder="1" applyAlignment="1">
      <alignment horizontal="left"/>
    </xf>
    <xf numFmtId="172" fontId="20" fillId="8" borderId="33" xfId="2" applyNumberFormat="1" applyFont="1" applyFill="1" applyBorder="1" applyAlignment="1">
      <alignment horizontal="center"/>
    </xf>
    <xf numFmtId="173" fontId="20" fillId="8" borderId="34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11" xfId="0" applyFill="1" applyBorder="1"/>
    <xf numFmtId="0" fontId="8" fillId="0" borderId="0" xfId="0" applyFont="1" applyFill="1" applyBorder="1" applyAlignment="1">
      <alignment horizontal="left" vertical="top"/>
    </xf>
    <xf numFmtId="165" fontId="8" fillId="0" borderId="0" xfId="0" applyNumberFormat="1" applyFont="1" applyFill="1" applyBorder="1" applyAlignment="1">
      <alignment horizontal="right" vertical="top"/>
    </xf>
    <xf numFmtId="165" fontId="8" fillId="0" borderId="12" xfId="0" applyNumberFormat="1" applyFont="1" applyFill="1" applyBorder="1" applyAlignment="1">
      <alignment horizontal="right" vertical="top"/>
    </xf>
    <xf numFmtId="0" fontId="0" fillId="0" borderId="0" xfId="0" applyFill="1"/>
    <xf numFmtId="165" fontId="8" fillId="3" borderId="35" xfId="0" applyNumberFormat="1" applyFont="1" applyFill="1" applyBorder="1" applyAlignment="1">
      <alignment horizontal="right" vertical="top"/>
    </xf>
    <xf numFmtId="165" fontId="6" fillId="3" borderId="0" xfId="0" applyNumberFormat="1" applyFont="1" applyFill="1" applyBorder="1" applyAlignment="1">
      <alignment horizontal="right" vertical="top"/>
    </xf>
    <xf numFmtId="165" fontId="6" fillId="3" borderId="20" xfId="0" applyNumberFormat="1" applyFont="1" applyFill="1" applyBorder="1" applyAlignment="1">
      <alignment horizontal="right" vertical="top"/>
    </xf>
    <xf numFmtId="165" fontId="29" fillId="3" borderId="20" xfId="0" applyNumberFormat="1" applyFont="1" applyFill="1" applyBorder="1" applyAlignment="1">
      <alignment horizontal="right" vertical="top"/>
    </xf>
    <xf numFmtId="165" fontId="29" fillId="3" borderId="0" xfId="0" applyNumberFormat="1" applyFont="1" applyFill="1" applyBorder="1" applyAlignment="1">
      <alignment horizontal="right" vertical="top"/>
    </xf>
    <xf numFmtId="165" fontId="6" fillId="12" borderId="7" xfId="0" applyNumberFormat="1" applyFont="1" applyFill="1" applyBorder="1" applyAlignment="1">
      <alignment horizontal="right" vertical="top"/>
    </xf>
    <xf numFmtId="165" fontId="29" fillId="12" borderId="0" xfId="0" applyNumberFormat="1" applyFont="1" applyFill="1" applyBorder="1" applyAlignment="1">
      <alignment horizontal="right" vertical="top"/>
    </xf>
    <xf numFmtId="166" fontId="29" fillId="3" borderId="0" xfId="0" applyNumberFormat="1" applyFont="1" applyFill="1" applyBorder="1" applyAlignment="1">
      <alignment horizontal="right" vertical="top"/>
    </xf>
    <xf numFmtId="5" fontId="20" fillId="8" borderId="19" xfId="1" applyNumberFormat="1" applyFont="1" applyFill="1" applyBorder="1"/>
    <xf numFmtId="0" fontId="30" fillId="0" borderId="0" xfId="0" applyFont="1"/>
    <xf numFmtId="0" fontId="31" fillId="0" borderId="0" xfId="0" applyFont="1" applyAlignment="1">
      <alignment horizontal="center" vertical="top" wrapText="1"/>
    </xf>
    <xf numFmtId="0" fontId="31" fillId="0" borderId="0" xfId="0" applyFont="1"/>
    <xf numFmtId="10" fontId="30" fillId="0" borderId="0" xfId="2" applyNumberFormat="1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175" fontId="30" fillId="0" borderId="0" xfId="0" applyNumberFormat="1" applyFont="1" applyAlignment="1">
      <alignment vertical="center"/>
    </xf>
    <xf numFmtId="0" fontId="32" fillId="0" borderId="0" xfId="0" applyFont="1"/>
    <xf numFmtId="9" fontId="0" fillId="0" borderId="0" xfId="0" applyNumberFormat="1"/>
    <xf numFmtId="9" fontId="33" fillId="0" borderId="0" xfId="0" applyNumberFormat="1" applyFont="1"/>
    <xf numFmtId="175" fontId="20" fillId="8" borderId="31" xfId="0" applyNumberFormat="1" applyFont="1" applyFill="1" applyBorder="1" applyAlignment="1">
      <alignment horizontal="right"/>
    </xf>
    <xf numFmtId="0" fontId="20" fillId="8" borderId="17" xfId="0" applyFont="1" applyFill="1" applyBorder="1" applyAlignment="1">
      <alignment horizontal="left"/>
    </xf>
    <xf numFmtId="0" fontId="20" fillId="8" borderId="18" xfId="0" applyFont="1" applyFill="1" applyBorder="1" applyAlignment="1">
      <alignment horizontal="left"/>
    </xf>
    <xf numFmtId="0" fontId="20" fillId="11" borderId="21" xfId="0" applyFont="1" applyFill="1" applyBorder="1" applyAlignment="1">
      <alignment horizontal="center"/>
    </xf>
    <xf numFmtId="0" fontId="20" fillId="11" borderId="22" xfId="0" applyFont="1" applyFill="1" applyBorder="1" applyAlignment="1">
      <alignment horizontal="center"/>
    </xf>
    <xf numFmtId="0" fontId="20" fillId="11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39" xfId="0" applyFont="1" applyFill="1" applyBorder="1" applyAlignment="1">
      <alignment horizontal="left" vertical="top" wrapText="1"/>
    </xf>
    <xf numFmtId="0" fontId="6" fillId="2" borderId="4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2" fontId="22" fillId="13" borderId="0" xfId="0" applyNumberFormat="1" applyFont="1" applyFill="1"/>
    <xf numFmtId="0" fontId="23" fillId="13" borderId="0" xfId="0" applyFont="1" applyFill="1"/>
    <xf numFmtId="0" fontId="22" fillId="13" borderId="0" xfId="0" applyFont="1" applyFill="1" applyAlignment="1">
      <alignment horizontal="left" vertical="top"/>
    </xf>
    <xf numFmtId="0" fontId="23" fillId="13" borderId="41" xfId="0" applyFont="1" applyFill="1" applyBorder="1"/>
    <xf numFmtId="0" fontId="23" fillId="13" borderId="42" xfId="0" applyFont="1" applyFill="1" applyBorder="1"/>
    <xf numFmtId="0" fontId="23" fillId="13" borderId="43" xfId="0" applyFont="1" applyFill="1" applyBorder="1"/>
    <xf numFmtId="0" fontId="24" fillId="13" borderId="0" xfId="0" applyFont="1" applyFill="1" applyAlignment="1">
      <alignment horizontal="left"/>
    </xf>
    <xf numFmtId="2" fontId="23" fillId="13" borderId="0" xfId="0" applyNumberFormat="1" applyFont="1" applyFill="1"/>
    <xf numFmtId="10" fontId="23" fillId="13" borderId="0" xfId="0" applyNumberFormat="1" applyFont="1" applyFill="1"/>
    <xf numFmtId="0" fontId="23" fillId="13" borderId="44" xfId="0" applyFont="1" applyFill="1" applyBorder="1"/>
    <xf numFmtId="0" fontId="23" fillId="13" borderId="0" xfId="0" applyFont="1" applyFill="1" applyBorder="1"/>
    <xf numFmtId="0" fontId="23" fillId="13" borderId="45" xfId="0" applyFont="1" applyFill="1" applyBorder="1"/>
    <xf numFmtId="173" fontId="25" fillId="13" borderId="0" xfId="0" applyNumberFormat="1" applyFont="1" applyFill="1" applyBorder="1"/>
    <xf numFmtId="173" fontId="25" fillId="13" borderId="45" xfId="0" applyNumberFormat="1" applyFont="1" applyFill="1" applyBorder="1"/>
    <xf numFmtId="0" fontId="23" fillId="13" borderId="15" xfId="0" applyFont="1" applyFill="1" applyBorder="1" applyAlignment="1">
      <alignment horizontal="left"/>
    </xf>
    <xf numFmtId="2" fontId="23" fillId="13" borderId="15" xfId="0" applyNumberFormat="1" applyFont="1" applyFill="1" applyBorder="1"/>
    <xf numFmtId="0" fontId="23" fillId="13" borderId="15" xfId="0" applyFont="1" applyFill="1" applyBorder="1"/>
    <xf numFmtId="10" fontId="23" fillId="13" borderId="15" xfId="0" applyNumberFormat="1" applyFont="1" applyFill="1" applyBorder="1"/>
    <xf numFmtId="2" fontId="24" fillId="13" borderId="0" xfId="0" applyNumberFormat="1" applyFont="1" applyFill="1"/>
    <xf numFmtId="173" fontId="25" fillId="13" borderId="0" xfId="0" applyNumberFormat="1" applyFont="1" applyFill="1"/>
    <xf numFmtId="0" fontId="24" fillId="13" borderId="0" xfId="0" applyFont="1" applyFill="1"/>
    <xf numFmtId="0" fontId="23" fillId="13" borderId="46" xfId="0" applyFont="1" applyFill="1" applyBorder="1"/>
    <xf numFmtId="173" fontId="25" fillId="13" borderId="47" xfId="0" applyNumberFormat="1" applyFont="1" applyFill="1" applyBorder="1"/>
    <xf numFmtId="0" fontId="23" fillId="13" borderId="48" xfId="0" applyFont="1" applyFill="1" applyBorder="1"/>
    <xf numFmtId="9" fontId="23" fillId="13" borderId="0" xfId="2" applyFont="1" applyFill="1"/>
    <xf numFmtId="0" fontId="26" fillId="13" borderId="0" xfId="0" applyFont="1" applyFill="1"/>
    <xf numFmtId="9" fontId="23" fillId="13" borderId="0" xfId="0" applyNumberFormat="1" applyFont="1" applyFill="1"/>
    <xf numFmtId="0" fontId="23" fillId="13" borderId="0" xfId="0" applyFont="1" applyFill="1" applyAlignment="1">
      <alignment horizontal="left"/>
    </xf>
    <xf numFmtId="0" fontId="34" fillId="13" borderId="49" xfId="0" applyFont="1" applyFill="1" applyBorder="1"/>
    <xf numFmtId="0" fontId="0" fillId="13" borderId="49" xfId="0" applyFill="1" applyBorder="1"/>
    <xf numFmtId="0" fontId="0" fillId="13" borderId="0" xfId="0" applyFill="1"/>
    <xf numFmtId="10" fontId="23" fillId="13" borderId="0" xfId="2" applyNumberFormat="1" applyFont="1" applyFill="1"/>
    <xf numFmtId="9" fontId="35" fillId="13" borderId="0" xfId="0" applyNumberFormat="1" applyFont="1" applyFill="1" applyAlignment="1">
      <alignment horizontal="left" vertical="center" wrapText="1"/>
    </xf>
    <xf numFmtId="172" fontId="23" fillId="13" borderId="0" xfId="0" applyNumberFormat="1" applyFont="1" applyFill="1"/>
    <xf numFmtId="176" fontId="23" fillId="13" borderId="0" xfId="0" applyNumberFormat="1" applyFont="1" applyFill="1"/>
    <xf numFmtId="0" fontId="20" fillId="13" borderId="0" xfId="0" applyFont="1" applyFill="1"/>
    <xf numFmtId="10" fontId="20" fillId="13" borderId="0" xfId="0" applyNumberFormat="1" applyFont="1" applyFill="1"/>
    <xf numFmtId="0" fontId="27" fillId="13" borderId="0" xfId="0" applyFont="1" applyFill="1"/>
    <xf numFmtId="9" fontId="20" fillId="13" borderId="0" xfId="2" applyFont="1" applyFill="1"/>
    <xf numFmtId="9" fontId="28" fillId="13" borderId="0" xfId="2" applyFont="1" applyFill="1"/>
    <xf numFmtId="0" fontId="20" fillId="13" borderId="0" xfId="0" applyFont="1" applyFill="1" applyBorder="1" applyAlignment="1">
      <alignment horizontal="center"/>
    </xf>
    <xf numFmtId="0" fontId="20" fillId="13" borderId="15" xfId="0" applyFont="1" applyFill="1" applyBorder="1" applyAlignment="1">
      <alignment horizontal="right"/>
    </xf>
    <xf numFmtId="0" fontId="20" fillId="13" borderId="36" xfId="0" applyFont="1" applyFill="1" applyBorder="1" applyAlignment="1">
      <alignment horizontal="right"/>
    </xf>
    <xf numFmtId="0" fontId="20" fillId="13" borderId="37" xfId="0" applyFont="1" applyFill="1" applyBorder="1" applyAlignment="1">
      <alignment horizontal="right"/>
    </xf>
    <xf numFmtId="0" fontId="20" fillId="13" borderId="38" xfId="0" applyFont="1" applyFill="1" applyBorder="1" applyAlignment="1">
      <alignment horizontal="right"/>
    </xf>
    <xf numFmtId="0" fontId="20" fillId="13" borderId="0" xfId="0" applyFont="1" applyFill="1" applyAlignment="1"/>
    <xf numFmtId="173" fontId="20" fillId="13" borderId="12" xfId="1" applyNumberFormat="1" applyFont="1" applyFill="1" applyBorder="1"/>
    <xf numFmtId="173" fontId="20" fillId="13" borderId="0" xfId="1" applyNumberFormat="1" applyFont="1" applyFill="1"/>
    <xf numFmtId="173" fontId="20" fillId="13" borderId="0" xfId="0" applyNumberFormat="1" applyFont="1" applyFill="1" applyBorder="1"/>
    <xf numFmtId="173" fontId="21" fillId="13" borderId="0" xfId="1" applyNumberFormat="1" applyFont="1" applyFill="1"/>
    <xf numFmtId="0" fontId="20" fillId="13" borderId="0" xfId="0" applyFont="1" applyFill="1" applyAlignment="1">
      <alignment horizontal="left"/>
    </xf>
    <xf numFmtId="4" fontId="20" fillId="13" borderId="0" xfId="0" applyNumberFormat="1" applyFont="1" applyFill="1"/>
    <xf numFmtId="174" fontId="21" fillId="13" borderId="0" xfId="1" applyNumberFormat="1" applyFont="1" applyFill="1"/>
    <xf numFmtId="173" fontId="20" fillId="13" borderId="0" xfId="0" applyNumberFormat="1" applyFont="1" applyFill="1"/>
    <xf numFmtId="0" fontId="28" fillId="13" borderId="0" xfId="0" applyFont="1" applyFill="1"/>
    <xf numFmtId="0" fontId="20" fillId="13" borderId="24" xfId="0" applyFont="1" applyFill="1" applyBorder="1"/>
    <xf numFmtId="0" fontId="20" fillId="13" borderId="8" xfId="0" applyFont="1" applyFill="1" applyBorder="1"/>
    <xf numFmtId="7" fontId="20" fillId="13" borderId="25" xfId="0" applyNumberFormat="1" applyFont="1" applyFill="1" applyBorder="1"/>
    <xf numFmtId="0" fontId="20" fillId="13" borderId="26" xfId="0" applyFont="1" applyFill="1" applyBorder="1"/>
    <xf numFmtId="0" fontId="20" fillId="13" borderId="20" xfId="0" applyFont="1" applyFill="1" applyBorder="1"/>
    <xf numFmtId="175" fontId="20" fillId="13" borderId="27" xfId="0" applyNumberFormat="1" applyFont="1" applyFill="1" applyBorder="1"/>
    <xf numFmtId="0" fontId="20" fillId="13" borderId="28" xfId="0" applyFont="1" applyFill="1" applyBorder="1"/>
    <xf numFmtId="0" fontId="20" fillId="13" borderId="0" xfId="0" applyFont="1" applyFill="1" applyBorder="1"/>
    <xf numFmtId="7" fontId="20" fillId="13" borderId="29" xfId="0" applyNumberFormat="1" applyFont="1" applyFill="1" applyBorder="1"/>
    <xf numFmtId="175" fontId="20" fillId="13" borderId="29" xfId="0" applyNumberFormat="1" applyFont="1" applyFill="1" applyBorder="1"/>
    <xf numFmtId="3" fontId="20" fillId="13" borderId="27" xfId="0" applyNumberFormat="1" applyFont="1" applyFill="1" applyBorder="1"/>
    <xf numFmtId="0" fontId="20" fillId="13" borderId="29" xfId="0" applyFont="1" applyFill="1" applyBorder="1"/>
    <xf numFmtId="7" fontId="20" fillId="13" borderId="29" xfId="1" applyNumberFormat="1" applyFont="1" applyFill="1" applyBorder="1"/>
    <xf numFmtId="175" fontId="20" fillId="13" borderId="29" xfId="1" applyNumberFormat="1" applyFont="1" applyFill="1" applyBorder="1"/>
    <xf numFmtId="7" fontId="20" fillId="13" borderId="0" xfId="1" applyNumberFormat="1" applyFont="1" applyFill="1"/>
    <xf numFmtId="4" fontId="20" fillId="13" borderId="0" xfId="1" applyNumberFormat="1" applyFont="1" applyFill="1" applyBorder="1"/>
    <xf numFmtId="0" fontId="30" fillId="13" borderId="0" xfId="0" applyFont="1" applyFill="1"/>
    <xf numFmtId="0" fontId="25" fillId="13" borderId="0" xfId="0" applyFont="1" applyFill="1"/>
    <xf numFmtId="2" fontId="25" fillId="14" borderId="0" xfId="0" applyNumberFormat="1" applyFont="1" applyFill="1"/>
    <xf numFmtId="2" fontId="23" fillId="14" borderId="0" xfId="0" applyNumberFormat="1" applyFont="1" applyFill="1"/>
    <xf numFmtId="9" fontId="35" fillId="13" borderId="0" xfId="0" applyNumberFormat="1" applyFont="1" applyFill="1" applyAlignment="1">
      <alignment vertical="center"/>
    </xf>
    <xf numFmtId="9" fontId="35" fillId="13" borderId="0" xfId="0" applyNumberFormat="1" applyFont="1" applyFill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theme="0"/>
        </patternFill>
      </fill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376092"/>
      <rgbColor rgb="FF7F7F7F"/>
      <rgbColor rgb="FF1F497D"/>
      <rgbColor rgb="FF339966"/>
      <rgbColor rgb="FF01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'Graphs for the Tear Sheet'!$B$11:$B$12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'Graphs for the Tear Sheet'!$C$11:$C$12</c:f>
              <c:numCache>
                <c:formatCode>General</c:formatCode>
                <c:ptCount val="2"/>
                <c:pt idx="0">
                  <c:v>30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9-C146-BDA6-82E70FAFC873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39-C146-BDA6-82E70FAFC873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39-C146-BDA6-82E70FAFC8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for the Tear Sheet'!$B$11:$B$12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'Graphs for the Tear Sheet'!$C$11:$C$12</c:f>
              <c:numCache>
                <c:formatCode>General</c:formatCode>
                <c:ptCount val="2"/>
                <c:pt idx="0">
                  <c:v>30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9-C146-BDA6-82E70FAFC8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Age</a:t>
            </a:r>
          </a:p>
        </c:rich>
      </c:tx>
      <c:layout>
        <c:manualLayout>
          <c:xMode val="edge"/>
          <c:yMode val="edge"/>
          <c:x val="0.78613256548859289"/>
          <c:y val="0.6678631771084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for the Tear Sheet'!$B$16:$B$19</c:f>
              <c:strCache>
                <c:ptCount val="4"/>
                <c:pt idx="0">
                  <c:v>18-29</c:v>
                </c:pt>
                <c:pt idx="1">
                  <c:v>30-49</c:v>
                </c:pt>
                <c:pt idx="2">
                  <c:v>50-64</c:v>
                </c:pt>
                <c:pt idx="3">
                  <c:v>65+</c:v>
                </c:pt>
              </c:strCache>
            </c:strRef>
          </c:cat>
          <c:val>
            <c:numRef>
              <c:f>'Graphs for the Tear Sheet'!$C$16:$C$19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874E-8EAE-64202D84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200800"/>
        <c:axId val="2129071744"/>
      </c:barChart>
      <c:catAx>
        <c:axId val="212920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1744"/>
        <c:crosses val="autoZero"/>
        <c:auto val="1"/>
        <c:lblAlgn val="ctr"/>
        <c:lblOffset val="100"/>
        <c:noMultiLvlLbl val="0"/>
      </c:catAx>
      <c:valAx>
        <c:axId val="21290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14-6E4A-80B0-49E73DCB3D0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4-6E4A-80B0-49E73DCB3D0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14-6E4A-80B0-49E73DCB3D0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614-6E4A-80B0-49E73DCB3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for the Tear Sheet'!$B$23:$B$25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'Graphs for the Tear Sheet'!$C$23:$C$25</c:f>
              <c:numCache>
                <c:formatCode>General</c:formatCode>
                <c:ptCount val="3"/>
                <c:pt idx="0">
                  <c:v>36</c:v>
                </c:pt>
                <c:pt idx="1">
                  <c:v>24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4-6E4A-80B0-49E73DCB3D0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CDD1FFA5-2EEC-7144-8144-1B558E4E1457}"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590466</xdr:colOff>
      <xdr:row>29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CA71F6-162A-3040-AFD5-AA574AC97D69}"/>
                </a:ext>
              </a:extLst>
            </xdr14:cNvPr>
            <xdr14:cNvContentPartPr/>
          </xdr14:nvContentPartPr>
          <xdr14:nvPr macro=""/>
          <xdr14:xfrm>
            <a:off x="15480121" y="564931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7D4353-3166-7940-8837-02FB50E80A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23720" y="1305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83880</xdr:rowOff>
    </xdr:from>
    <xdr:to>
      <xdr:col>2</xdr:col>
      <xdr:colOff>1978920</xdr:colOff>
      <xdr:row>1</xdr:row>
      <xdr:rowOff>389880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0360" y="27432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1</xdr:row>
      <xdr:rowOff>74520</xdr:rowOff>
    </xdr:from>
    <xdr:to>
      <xdr:col>2</xdr:col>
      <xdr:colOff>1998000</xdr:colOff>
      <xdr:row>1</xdr:row>
      <xdr:rowOff>380520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09440" y="264960"/>
          <a:ext cx="197892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123840</xdr:colOff>
      <xdr:row>1</xdr:row>
      <xdr:rowOff>74520</xdr:rowOff>
    </xdr:from>
    <xdr:to>
      <xdr:col>2</xdr:col>
      <xdr:colOff>1969200</xdr:colOff>
      <xdr:row>1</xdr:row>
      <xdr:rowOff>380520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6360" y="264960"/>
          <a:ext cx="2023200" cy="30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152280</xdr:colOff>
      <xdr:row>1</xdr:row>
      <xdr:rowOff>85680</xdr:rowOff>
    </xdr:from>
    <xdr:to>
      <xdr:col>2</xdr:col>
      <xdr:colOff>1931400</xdr:colOff>
      <xdr:row>2</xdr:row>
      <xdr:rowOff>245520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4800" y="276120"/>
          <a:ext cx="2134800" cy="30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112058</xdr:colOff>
      <xdr:row>4</xdr:row>
      <xdr:rowOff>80498</xdr:rowOff>
    </xdr:from>
    <xdr:to>
      <xdr:col>8</xdr:col>
      <xdr:colOff>644339</xdr:colOff>
      <xdr:row>13</xdr:row>
      <xdr:rowOff>112060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0B660-36C8-574A-B2C8-F4A7EA434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14</xdr:row>
      <xdr:rowOff>61819</xdr:rowOff>
    </xdr:from>
    <xdr:to>
      <xdr:col>8</xdr:col>
      <xdr:colOff>58832</xdr:colOff>
      <xdr:row>23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0F49E-1257-AC4D-AC6D-7F4633601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24</xdr:row>
      <xdr:rowOff>24466</xdr:rowOff>
    </xdr:from>
    <xdr:to>
      <xdr:col>8</xdr:col>
      <xdr:colOff>74706</xdr:colOff>
      <xdr:row>34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2E56B-FFAE-3B43-ACE8-92DABF7C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326838</xdr:colOff>
      <xdr:row>35</xdr:row>
      <xdr:rowOff>112060</xdr:rowOff>
    </xdr:from>
    <xdr:to>
      <xdr:col>8</xdr:col>
      <xdr:colOff>112060</xdr:colOff>
      <xdr:row>44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5A73237-D778-1047-AB45-ECF90285C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8838" y="6779560"/>
              <a:ext cx="3087222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veloping%20Stor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Stor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1T17:11:27.1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2B2B96-E1C0-9B4E-AC8B-9CE8703DA7E2}" name="Table134" displayName="Table134" ref="A52:B57" totalsRowShown="0">
  <autoFilter ref="A52:B57" xr:uid="{4121CC24-80B6-B64A-8DF6-B9BE718369D1}"/>
  <tableColumns count="2">
    <tableColumn id="1" xr3:uid="{4AFF5EC5-5D63-8B48-A4B9-9404620F26D0}" name="Financial Ratios" dataDxfId="1"/>
    <tableColumn id="2" xr3:uid="{C109F0BB-4AF4-0E4F-A931-15E35DC0D94C}" name="2022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y.pitchbook.com/?c=11040-3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y.pitchbook.com/?c=11040-31" TargetMode="External"/><Relationship Id="rId21" Type="http://schemas.openxmlformats.org/officeDocument/2006/relationships/hyperlink" Target="https://my.pitchbook.com/?c=11040-31" TargetMode="External"/><Relationship Id="rId42" Type="http://schemas.openxmlformats.org/officeDocument/2006/relationships/hyperlink" Target="https://my.pitchbook.com/?c=11040-31" TargetMode="External"/><Relationship Id="rId47" Type="http://schemas.openxmlformats.org/officeDocument/2006/relationships/hyperlink" Target="https://my.pitchbook.com/?c=11040-31" TargetMode="External"/><Relationship Id="rId63" Type="http://schemas.openxmlformats.org/officeDocument/2006/relationships/hyperlink" Target="https://my.pitchbook.com/?c=11040-31" TargetMode="External"/><Relationship Id="rId68" Type="http://schemas.openxmlformats.org/officeDocument/2006/relationships/hyperlink" Target="https://my.pitchbook.com/?c=11040-31" TargetMode="External"/><Relationship Id="rId7" Type="http://schemas.openxmlformats.org/officeDocument/2006/relationships/hyperlink" Target="https://my.pitchbook.com/?c=11040-31" TargetMode="External"/><Relationship Id="rId71" Type="http://schemas.openxmlformats.org/officeDocument/2006/relationships/hyperlink" Target="https://my.pitchbook.com/?c=11040-31" TargetMode="External"/><Relationship Id="rId2" Type="http://schemas.openxmlformats.org/officeDocument/2006/relationships/hyperlink" Target="https://my.pitchbook.com/?c=11040-31" TargetMode="External"/><Relationship Id="rId16" Type="http://schemas.openxmlformats.org/officeDocument/2006/relationships/hyperlink" Target="https://my.pitchbook.com/?c=11040-31" TargetMode="External"/><Relationship Id="rId29" Type="http://schemas.openxmlformats.org/officeDocument/2006/relationships/hyperlink" Target="https://my.pitchbook.com/?c=11040-31" TargetMode="External"/><Relationship Id="rId11" Type="http://schemas.openxmlformats.org/officeDocument/2006/relationships/hyperlink" Target="https://my.pitchbook.com/?c=11040-31" TargetMode="External"/><Relationship Id="rId24" Type="http://schemas.openxmlformats.org/officeDocument/2006/relationships/hyperlink" Target="https://my.pitchbook.com/?c=11040-31" TargetMode="External"/><Relationship Id="rId32" Type="http://schemas.openxmlformats.org/officeDocument/2006/relationships/hyperlink" Target="https://my.pitchbook.com/?c=11040-31" TargetMode="External"/><Relationship Id="rId37" Type="http://schemas.openxmlformats.org/officeDocument/2006/relationships/hyperlink" Target="https://my.pitchbook.com/?c=11040-31" TargetMode="External"/><Relationship Id="rId40" Type="http://schemas.openxmlformats.org/officeDocument/2006/relationships/hyperlink" Target="https://my.pitchbook.com/?c=11040-31" TargetMode="External"/><Relationship Id="rId45" Type="http://schemas.openxmlformats.org/officeDocument/2006/relationships/hyperlink" Target="https://my.pitchbook.com/?c=11040-31" TargetMode="External"/><Relationship Id="rId53" Type="http://schemas.openxmlformats.org/officeDocument/2006/relationships/hyperlink" Target="https://my.pitchbook.com/?c=11040-31" TargetMode="External"/><Relationship Id="rId58" Type="http://schemas.openxmlformats.org/officeDocument/2006/relationships/hyperlink" Target="https://my.pitchbook.com/?c=11040-31" TargetMode="External"/><Relationship Id="rId66" Type="http://schemas.openxmlformats.org/officeDocument/2006/relationships/hyperlink" Target="https://my.pitchbook.com/?c=11040-31" TargetMode="External"/><Relationship Id="rId5" Type="http://schemas.openxmlformats.org/officeDocument/2006/relationships/hyperlink" Target="https://my.pitchbook.com/?c=11040-31" TargetMode="External"/><Relationship Id="rId61" Type="http://schemas.openxmlformats.org/officeDocument/2006/relationships/hyperlink" Target="https://my.pitchbook.com/?c=11040-31" TargetMode="External"/><Relationship Id="rId19" Type="http://schemas.openxmlformats.org/officeDocument/2006/relationships/hyperlink" Target="https://my.pitchbook.com/?c=11040-31" TargetMode="External"/><Relationship Id="rId14" Type="http://schemas.openxmlformats.org/officeDocument/2006/relationships/hyperlink" Target="https://my.pitchbook.com/?c=11040-31" TargetMode="External"/><Relationship Id="rId22" Type="http://schemas.openxmlformats.org/officeDocument/2006/relationships/hyperlink" Target="https://my.pitchbook.com/?c=11040-31" TargetMode="External"/><Relationship Id="rId27" Type="http://schemas.openxmlformats.org/officeDocument/2006/relationships/hyperlink" Target="https://my.pitchbook.com/?c=11040-31" TargetMode="External"/><Relationship Id="rId30" Type="http://schemas.openxmlformats.org/officeDocument/2006/relationships/hyperlink" Target="https://my.pitchbook.com/?c=11040-31" TargetMode="External"/><Relationship Id="rId35" Type="http://schemas.openxmlformats.org/officeDocument/2006/relationships/hyperlink" Target="https://my.pitchbook.com/?c=11040-31" TargetMode="External"/><Relationship Id="rId43" Type="http://schemas.openxmlformats.org/officeDocument/2006/relationships/hyperlink" Target="https://my.pitchbook.com/?c=11040-31" TargetMode="External"/><Relationship Id="rId48" Type="http://schemas.openxmlformats.org/officeDocument/2006/relationships/hyperlink" Target="https://my.pitchbook.com/?c=11040-31" TargetMode="External"/><Relationship Id="rId56" Type="http://schemas.openxmlformats.org/officeDocument/2006/relationships/hyperlink" Target="https://my.pitchbook.com/?c=11040-31" TargetMode="External"/><Relationship Id="rId64" Type="http://schemas.openxmlformats.org/officeDocument/2006/relationships/hyperlink" Target="https://my.pitchbook.com/?c=11040-31" TargetMode="External"/><Relationship Id="rId69" Type="http://schemas.openxmlformats.org/officeDocument/2006/relationships/hyperlink" Target="https://my.pitchbook.com/?c=11040-31" TargetMode="External"/><Relationship Id="rId8" Type="http://schemas.openxmlformats.org/officeDocument/2006/relationships/hyperlink" Target="https://my.pitchbook.com/?c=11040-31" TargetMode="External"/><Relationship Id="rId51" Type="http://schemas.openxmlformats.org/officeDocument/2006/relationships/hyperlink" Target="https://my.pitchbook.com/?c=11040-31" TargetMode="External"/><Relationship Id="rId72" Type="http://schemas.openxmlformats.org/officeDocument/2006/relationships/drawing" Target="../drawings/drawing3.xml"/><Relationship Id="rId3" Type="http://schemas.openxmlformats.org/officeDocument/2006/relationships/hyperlink" Target="https://my.pitchbook.com/?c=11040-31" TargetMode="External"/><Relationship Id="rId12" Type="http://schemas.openxmlformats.org/officeDocument/2006/relationships/hyperlink" Target="https://my.pitchbook.com/?c=11040-31" TargetMode="External"/><Relationship Id="rId17" Type="http://schemas.openxmlformats.org/officeDocument/2006/relationships/hyperlink" Target="https://my.pitchbook.com/?c=11040-31" TargetMode="External"/><Relationship Id="rId25" Type="http://schemas.openxmlformats.org/officeDocument/2006/relationships/hyperlink" Target="https://my.pitchbook.com/?c=11040-31" TargetMode="External"/><Relationship Id="rId33" Type="http://schemas.openxmlformats.org/officeDocument/2006/relationships/hyperlink" Target="https://my.pitchbook.com/?c=11040-31" TargetMode="External"/><Relationship Id="rId38" Type="http://schemas.openxmlformats.org/officeDocument/2006/relationships/hyperlink" Target="https://my.pitchbook.com/?c=11040-31" TargetMode="External"/><Relationship Id="rId46" Type="http://schemas.openxmlformats.org/officeDocument/2006/relationships/hyperlink" Target="https://my.pitchbook.com/?c=11040-31" TargetMode="External"/><Relationship Id="rId59" Type="http://schemas.openxmlformats.org/officeDocument/2006/relationships/hyperlink" Target="https://my.pitchbook.com/?c=11040-31" TargetMode="External"/><Relationship Id="rId67" Type="http://schemas.openxmlformats.org/officeDocument/2006/relationships/hyperlink" Target="https://my.pitchbook.com/?c=11040-31" TargetMode="External"/><Relationship Id="rId20" Type="http://schemas.openxmlformats.org/officeDocument/2006/relationships/hyperlink" Target="https://my.pitchbook.com/?c=11040-31" TargetMode="External"/><Relationship Id="rId41" Type="http://schemas.openxmlformats.org/officeDocument/2006/relationships/hyperlink" Target="https://my.pitchbook.com/?c=11040-31" TargetMode="External"/><Relationship Id="rId54" Type="http://schemas.openxmlformats.org/officeDocument/2006/relationships/hyperlink" Target="https://my.pitchbook.com/?c=11040-31" TargetMode="External"/><Relationship Id="rId62" Type="http://schemas.openxmlformats.org/officeDocument/2006/relationships/hyperlink" Target="https://my.pitchbook.com/?c=11040-31" TargetMode="External"/><Relationship Id="rId70" Type="http://schemas.openxmlformats.org/officeDocument/2006/relationships/hyperlink" Target="https://my.pitchbook.com/?c=11040-31" TargetMode="External"/><Relationship Id="rId1" Type="http://schemas.openxmlformats.org/officeDocument/2006/relationships/hyperlink" Target="https://my.pitchbook.com/?c=11040-31" TargetMode="External"/><Relationship Id="rId6" Type="http://schemas.openxmlformats.org/officeDocument/2006/relationships/hyperlink" Target="https://my.pitchbook.com/?c=11040-31" TargetMode="External"/><Relationship Id="rId15" Type="http://schemas.openxmlformats.org/officeDocument/2006/relationships/hyperlink" Target="https://my.pitchbook.com/?c=11040-31" TargetMode="External"/><Relationship Id="rId23" Type="http://schemas.openxmlformats.org/officeDocument/2006/relationships/hyperlink" Target="https://my.pitchbook.com/?c=11040-31" TargetMode="External"/><Relationship Id="rId28" Type="http://schemas.openxmlformats.org/officeDocument/2006/relationships/hyperlink" Target="https://my.pitchbook.com/?c=11040-31" TargetMode="External"/><Relationship Id="rId36" Type="http://schemas.openxmlformats.org/officeDocument/2006/relationships/hyperlink" Target="https://my.pitchbook.com/?c=11040-31" TargetMode="External"/><Relationship Id="rId49" Type="http://schemas.openxmlformats.org/officeDocument/2006/relationships/hyperlink" Target="https://my.pitchbook.com/?c=11040-31" TargetMode="External"/><Relationship Id="rId57" Type="http://schemas.openxmlformats.org/officeDocument/2006/relationships/hyperlink" Target="https://my.pitchbook.com/?c=11040-31" TargetMode="External"/><Relationship Id="rId10" Type="http://schemas.openxmlformats.org/officeDocument/2006/relationships/hyperlink" Target="https://my.pitchbook.com/?c=11040-31" TargetMode="External"/><Relationship Id="rId31" Type="http://schemas.openxmlformats.org/officeDocument/2006/relationships/hyperlink" Target="https://my.pitchbook.com/?c=11040-31" TargetMode="External"/><Relationship Id="rId44" Type="http://schemas.openxmlformats.org/officeDocument/2006/relationships/hyperlink" Target="https://my.pitchbook.com/?c=11040-31" TargetMode="External"/><Relationship Id="rId52" Type="http://schemas.openxmlformats.org/officeDocument/2006/relationships/hyperlink" Target="https://my.pitchbook.com/?c=11040-31" TargetMode="External"/><Relationship Id="rId60" Type="http://schemas.openxmlformats.org/officeDocument/2006/relationships/hyperlink" Target="https://my.pitchbook.com/?c=11040-31" TargetMode="External"/><Relationship Id="rId65" Type="http://schemas.openxmlformats.org/officeDocument/2006/relationships/hyperlink" Target="https://my.pitchbook.com/?c=11040-31" TargetMode="External"/><Relationship Id="rId4" Type="http://schemas.openxmlformats.org/officeDocument/2006/relationships/hyperlink" Target="https://my.pitchbook.com/?c=11040-31" TargetMode="External"/><Relationship Id="rId9" Type="http://schemas.openxmlformats.org/officeDocument/2006/relationships/hyperlink" Target="https://my.pitchbook.com/?c=11040-31" TargetMode="External"/><Relationship Id="rId13" Type="http://schemas.openxmlformats.org/officeDocument/2006/relationships/hyperlink" Target="https://my.pitchbook.com/?c=11040-31" TargetMode="External"/><Relationship Id="rId18" Type="http://schemas.openxmlformats.org/officeDocument/2006/relationships/hyperlink" Target="https://my.pitchbook.com/?c=11040-31" TargetMode="External"/><Relationship Id="rId39" Type="http://schemas.openxmlformats.org/officeDocument/2006/relationships/hyperlink" Target="https://my.pitchbook.com/?c=11040-31" TargetMode="External"/><Relationship Id="rId34" Type="http://schemas.openxmlformats.org/officeDocument/2006/relationships/hyperlink" Target="https://my.pitchbook.com/?c=11040-31" TargetMode="External"/><Relationship Id="rId50" Type="http://schemas.openxmlformats.org/officeDocument/2006/relationships/hyperlink" Target="https://my.pitchbook.com/?c=11040-31" TargetMode="External"/><Relationship Id="rId55" Type="http://schemas.openxmlformats.org/officeDocument/2006/relationships/hyperlink" Target="https://my.pitchbook.com/?c=11040-3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y.pitchbook.com/?c=11040-31" TargetMode="External"/><Relationship Id="rId21" Type="http://schemas.openxmlformats.org/officeDocument/2006/relationships/hyperlink" Target="https://my.pitchbook.com/?c=11040-31" TargetMode="External"/><Relationship Id="rId34" Type="http://schemas.openxmlformats.org/officeDocument/2006/relationships/hyperlink" Target="https://my.pitchbook.com/?c=11040-31" TargetMode="External"/><Relationship Id="rId42" Type="http://schemas.openxmlformats.org/officeDocument/2006/relationships/hyperlink" Target="https://my.pitchbook.com/?c=11040-31" TargetMode="External"/><Relationship Id="rId47" Type="http://schemas.openxmlformats.org/officeDocument/2006/relationships/hyperlink" Target="https://my.pitchbook.com/?c=11040-31" TargetMode="External"/><Relationship Id="rId50" Type="http://schemas.openxmlformats.org/officeDocument/2006/relationships/hyperlink" Target="https://my.pitchbook.com/?c=11040-31" TargetMode="External"/><Relationship Id="rId55" Type="http://schemas.openxmlformats.org/officeDocument/2006/relationships/hyperlink" Target="https://my.pitchbook.com/?c=11040-31" TargetMode="External"/><Relationship Id="rId63" Type="http://schemas.openxmlformats.org/officeDocument/2006/relationships/hyperlink" Target="https://my.pitchbook.com/?c=11040-31" TargetMode="External"/><Relationship Id="rId68" Type="http://schemas.openxmlformats.org/officeDocument/2006/relationships/drawing" Target="../drawings/drawing4.xml"/><Relationship Id="rId7" Type="http://schemas.openxmlformats.org/officeDocument/2006/relationships/hyperlink" Target="https://my.pitchbook.com/?c=11040-31" TargetMode="External"/><Relationship Id="rId2" Type="http://schemas.openxmlformats.org/officeDocument/2006/relationships/hyperlink" Target="https://my.pitchbook.com/?c=11040-31" TargetMode="External"/><Relationship Id="rId16" Type="http://schemas.openxmlformats.org/officeDocument/2006/relationships/hyperlink" Target="https://my.pitchbook.com/?c=11040-31" TargetMode="External"/><Relationship Id="rId29" Type="http://schemas.openxmlformats.org/officeDocument/2006/relationships/hyperlink" Target="https://my.pitchbook.com/?c=11040-31" TargetMode="External"/><Relationship Id="rId11" Type="http://schemas.openxmlformats.org/officeDocument/2006/relationships/hyperlink" Target="https://my.pitchbook.com/?c=11040-31" TargetMode="External"/><Relationship Id="rId24" Type="http://schemas.openxmlformats.org/officeDocument/2006/relationships/hyperlink" Target="https://my.pitchbook.com/?c=11040-31" TargetMode="External"/><Relationship Id="rId32" Type="http://schemas.openxmlformats.org/officeDocument/2006/relationships/hyperlink" Target="https://my.pitchbook.com/?c=11040-31" TargetMode="External"/><Relationship Id="rId37" Type="http://schemas.openxmlformats.org/officeDocument/2006/relationships/hyperlink" Target="https://my.pitchbook.com/?c=11040-31" TargetMode="External"/><Relationship Id="rId40" Type="http://schemas.openxmlformats.org/officeDocument/2006/relationships/hyperlink" Target="https://my.pitchbook.com/?c=11040-31" TargetMode="External"/><Relationship Id="rId45" Type="http://schemas.openxmlformats.org/officeDocument/2006/relationships/hyperlink" Target="https://my.pitchbook.com/?c=11040-31" TargetMode="External"/><Relationship Id="rId53" Type="http://schemas.openxmlformats.org/officeDocument/2006/relationships/hyperlink" Target="https://my.pitchbook.com/?c=11040-31" TargetMode="External"/><Relationship Id="rId58" Type="http://schemas.openxmlformats.org/officeDocument/2006/relationships/hyperlink" Target="https://my.pitchbook.com/?c=11040-31" TargetMode="External"/><Relationship Id="rId66" Type="http://schemas.openxmlformats.org/officeDocument/2006/relationships/hyperlink" Target="https://my.pitchbook.com/?c=11040-31" TargetMode="External"/><Relationship Id="rId5" Type="http://schemas.openxmlformats.org/officeDocument/2006/relationships/hyperlink" Target="https://my.pitchbook.com/?c=11040-31" TargetMode="External"/><Relationship Id="rId61" Type="http://schemas.openxmlformats.org/officeDocument/2006/relationships/hyperlink" Target="https://my.pitchbook.com/?c=11040-31" TargetMode="External"/><Relationship Id="rId19" Type="http://schemas.openxmlformats.org/officeDocument/2006/relationships/hyperlink" Target="https://my.pitchbook.com/?c=11040-31" TargetMode="External"/><Relationship Id="rId14" Type="http://schemas.openxmlformats.org/officeDocument/2006/relationships/hyperlink" Target="https://my.pitchbook.com/?c=11040-31" TargetMode="External"/><Relationship Id="rId22" Type="http://schemas.openxmlformats.org/officeDocument/2006/relationships/hyperlink" Target="https://my.pitchbook.com/?c=11040-31" TargetMode="External"/><Relationship Id="rId27" Type="http://schemas.openxmlformats.org/officeDocument/2006/relationships/hyperlink" Target="https://my.pitchbook.com/?c=11040-31" TargetMode="External"/><Relationship Id="rId30" Type="http://schemas.openxmlformats.org/officeDocument/2006/relationships/hyperlink" Target="https://my.pitchbook.com/?c=11040-31" TargetMode="External"/><Relationship Id="rId35" Type="http://schemas.openxmlformats.org/officeDocument/2006/relationships/hyperlink" Target="https://my.pitchbook.com/?c=11040-31" TargetMode="External"/><Relationship Id="rId43" Type="http://schemas.openxmlformats.org/officeDocument/2006/relationships/hyperlink" Target="https://my.pitchbook.com/?c=11040-31" TargetMode="External"/><Relationship Id="rId48" Type="http://schemas.openxmlformats.org/officeDocument/2006/relationships/hyperlink" Target="https://my.pitchbook.com/?c=11040-31" TargetMode="External"/><Relationship Id="rId56" Type="http://schemas.openxmlformats.org/officeDocument/2006/relationships/hyperlink" Target="https://my.pitchbook.com/?c=11040-31" TargetMode="External"/><Relationship Id="rId64" Type="http://schemas.openxmlformats.org/officeDocument/2006/relationships/hyperlink" Target="https://my.pitchbook.com/?c=11040-31" TargetMode="External"/><Relationship Id="rId8" Type="http://schemas.openxmlformats.org/officeDocument/2006/relationships/hyperlink" Target="https://my.pitchbook.com/?c=11040-31" TargetMode="External"/><Relationship Id="rId51" Type="http://schemas.openxmlformats.org/officeDocument/2006/relationships/hyperlink" Target="https://my.pitchbook.com/?c=11040-31" TargetMode="External"/><Relationship Id="rId3" Type="http://schemas.openxmlformats.org/officeDocument/2006/relationships/hyperlink" Target="https://my.pitchbook.com/?c=11040-31" TargetMode="External"/><Relationship Id="rId12" Type="http://schemas.openxmlformats.org/officeDocument/2006/relationships/hyperlink" Target="https://my.pitchbook.com/?c=11040-31" TargetMode="External"/><Relationship Id="rId17" Type="http://schemas.openxmlformats.org/officeDocument/2006/relationships/hyperlink" Target="https://my.pitchbook.com/?c=11040-31" TargetMode="External"/><Relationship Id="rId25" Type="http://schemas.openxmlformats.org/officeDocument/2006/relationships/hyperlink" Target="https://my.pitchbook.com/?c=11040-31" TargetMode="External"/><Relationship Id="rId33" Type="http://schemas.openxmlformats.org/officeDocument/2006/relationships/hyperlink" Target="https://my.pitchbook.com/?c=11040-31" TargetMode="External"/><Relationship Id="rId38" Type="http://schemas.openxmlformats.org/officeDocument/2006/relationships/hyperlink" Target="https://my.pitchbook.com/?c=11040-31" TargetMode="External"/><Relationship Id="rId46" Type="http://schemas.openxmlformats.org/officeDocument/2006/relationships/hyperlink" Target="https://my.pitchbook.com/?c=11040-31" TargetMode="External"/><Relationship Id="rId59" Type="http://schemas.openxmlformats.org/officeDocument/2006/relationships/hyperlink" Target="https://my.pitchbook.com/?c=11040-31" TargetMode="External"/><Relationship Id="rId67" Type="http://schemas.openxmlformats.org/officeDocument/2006/relationships/hyperlink" Target="https://my.pitchbook.com/?c=11040-31" TargetMode="External"/><Relationship Id="rId20" Type="http://schemas.openxmlformats.org/officeDocument/2006/relationships/hyperlink" Target="https://my.pitchbook.com/?c=11040-31" TargetMode="External"/><Relationship Id="rId41" Type="http://schemas.openxmlformats.org/officeDocument/2006/relationships/hyperlink" Target="https://my.pitchbook.com/?c=11040-31" TargetMode="External"/><Relationship Id="rId54" Type="http://schemas.openxmlformats.org/officeDocument/2006/relationships/hyperlink" Target="https://my.pitchbook.com/?c=11040-31" TargetMode="External"/><Relationship Id="rId62" Type="http://schemas.openxmlformats.org/officeDocument/2006/relationships/hyperlink" Target="https://my.pitchbook.com/?c=11040-31" TargetMode="External"/><Relationship Id="rId1" Type="http://schemas.openxmlformats.org/officeDocument/2006/relationships/hyperlink" Target="https://my.pitchbook.com/?c=11040-31" TargetMode="External"/><Relationship Id="rId6" Type="http://schemas.openxmlformats.org/officeDocument/2006/relationships/hyperlink" Target="https://my.pitchbook.com/?c=11040-31" TargetMode="External"/><Relationship Id="rId15" Type="http://schemas.openxmlformats.org/officeDocument/2006/relationships/hyperlink" Target="https://my.pitchbook.com/?c=11040-31" TargetMode="External"/><Relationship Id="rId23" Type="http://schemas.openxmlformats.org/officeDocument/2006/relationships/hyperlink" Target="https://my.pitchbook.com/?c=11040-31" TargetMode="External"/><Relationship Id="rId28" Type="http://schemas.openxmlformats.org/officeDocument/2006/relationships/hyperlink" Target="https://my.pitchbook.com/?c=11040-31" TargetMode="External"/><Relationship Id="rId36" Type="http://schemas.openxmlformats.org/officeDocument/2006/relationships/hyperlink" Target="https://my.pitchbook.com/?c=11040-31" TargetMode="External"/><Relationship Id="rId49" Type="http://schemas.openxmlformats.org/officeDocument/2006/relationships/hyperlink" Target="https://my.pitchbook.com/?c=11040-31" TargetMode="External"/><Relationship Id="rId57" Type="http://schemas.openxmlformats.org/officeDocument/2006/relationships/hyperlink" Target="https://my.pitchbook.com/?c=11040-31" TargetMode="External"/><Relationship Id="rId10" Type="http://schemas.openxmlformats.org/officeDocument/2006/relationships/hyperlink" Target="https://my.pitchbook.com/?c=11040-31" TargetMode="External"/><Relationship Id="rId31" Type="http://schemas.openxmlformats.org/officeDocument/2006/relationships/hyperlink" Target="https://my.pitchbook.com/?c=11040-31" TargetMode="External"/><Relationship Id="rId44" Type="http://schemas.openxmlformats.org/officeDocument/2006/relationships/hyperlink" Target="https://my.pitchbook.com/?c=11040-31" TargetMode="External"/><Relationship Id="rId52" Type="http://schemas.openxmlformats.org/officeDocument/2006/relationships/hyperlink" Target="https://my.pitchbook.com/?c=11040-31" TargetMode="External"/><Relationship Id="rId60" Type="http://schemas.openxmlformats.org/officeDocument/2006/relationships/hyperlink" Target="https://my.pitchbook.com/?c=11040-31" TargetMode="External"/><Relationship Id="rId65" Type="http://schemas.openxmlformats.org/officeDocument/2006/relationships/hyperlink" Target="https://my.pitchbook.com/?c=11040-31" TargetMode="External"/><Relationship Id="rId4" Type="http://schemas.openxmlformats.org/officeDocument/2006/relationships/hyperlink" Target="https://my.pitchbook.com/?c=11040-31" TargetMode="External"/><Relationship Id="rId9" Type="http://schemas.openxmlformats.org/officeDocument/2006/relationships/hyperlink" Target="https://my.pitchbook.com/?c=11040-31" TargetMode="External"/><Relationship Id="rId13" Type="http://schemas.openxmlformats.org/officeDocument/2006/relationships/hyperlink" Target="https://my.pitchbook.com/?c=11040-31" TargetMode="External"/><Relationship Id="rId18" Type="http://schemas.openxmlformats.org/officeDocument/2006/relationships/hyperlink" Target="https://my.pitchbook.com/?c=11040-31" TargetMode="External"/><Relationship Id="rId39" Type="http://schemas.openxmlformats.org/officeDocument/2006/relationships/hyperlink" Target="https://my.pitchbook.com/?c=11040-3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73D9-366A-A447-B7AB-BA9CA4ED05B9}">
  <dimension ref="A1:M58"/>
  <sheetViews>
    <sheetView tabSelected="1" zoomScale="125" zoomScaleNormal="309" workbookViewId="0">
      <selection activeCell="C29" sqref="C29"/>
    </sheetView>
  </sheetViews>
  <sheetFormatPr baseColWidth="10" defaultColWidth="10.83203125" defaultRowHeight="16" x14ac:dyDescent="0.2"/>
  <cols>
    <col min="1" max="1" width="38.33203125" style="164" customWidth="1"/>
    <col min="2" max="2" width="14.33203125" style="164" bestFit="1" customWidth="1"/>
    <col min="3" max="3" width="17.1640625" style="164" bestFit="1" customWidth="1"/>
    <col min="4" max="5" width="12.5" style="164" bestFit="1" customWidth="1"/>
    <col min="6" max="6" width="11.6640625" style="164" bestFit="1" customWidth="1"/>
    <col min="7" max="7" width="16.83203125" style="164" bestFit="1" customWidth="1"/>
    <col min="8" max="8" width="11" style="164" bestFit="1" customWidth="1"/>
    <col min="9" max="9" width="15.5" style="164" bestFit="1" customWidth="1"/>
    <col min="10" max="11" width="11.6640625" style="164" bestFit="1" customWidth="1"/>
    <col min="12" max="16384" width="10.83203125" style="164"/>
  </cols>
  <sheetData>
    <row r="1" spans="1:13" x14ac:dyDescent="0.2">
      <c r="A1" s="163" t="s">
        <v>184</v>
      </c>
    </row>
    <row r="2" spans="1:13" x14ac:dyDescent="0.2">
      <c r="A2" s="165"/>
      <c r="B2" s="165" t="s">
        <v>185</v>
      </c>
      <c r="C2" s="165" t="s">
        <v>186</v>
      </c>
      <c r="D2" s="165" t="s">
        <v>187</v>
      </c>
      <c r="I2" s="166" t="s">
        <v>248</v>
      </c>
      <c r="J2" s="167"/>
      <c r="K2" s="168"/>
    </row>
    <row r="3" spans="1:13" x14ac:dyDescent="0.2">
      <c r="A3" s="169" t="s">
        <v>188</v>
      </c>
      <c r="B3" s="170">
        <v>0.65</v>
      </c>
      <c r="C3" s="164">
        <v>0.65</v>
      </c>
      <c r="D3" s="171">
        <v>0.159</v>
      </c>
      <c r="I3" s="172"/>
      <c r="J3" s="173">
        <v>2021</v>
      </c>
      <c r="K3" s="174">
        <v>2020</v>
      </c>
    </row>
    <row r="4" spans="1:13" x14ac:dyDescent="0.2">
      <c r="A4" s="169" t="s">
        <v>189</v>
      </c>
      <c r="B4" s="170">
        <v>0.5</v>
      </c>
      <c r="C4" s="164">
        <v>0.99</v>
      </c>
      <c r="D4" s="171">
        <v>0.21629999999999999</v>
      </c>
      <c r="I4" s="172" t="s">
        <v>249</v>
      </c>
      <c r="J4" s="175">
        <f>'Balance Sheet'!N18+'Balance Sheet'!M29+'Balance Sheet'!M23</f>
        <v>309216.25</v>
      </c>
      <c r="K4" s="176">
        <f>'Balance Sheet'!O18+'Balance Sheet'!N29+'Balance Sheet'!N23</f>
        <v>205512.25</v>
      </c>
    </row>
    <row r="5" spans="1:13" x14ac:dyDescent="0.2">
      <c r="A5" s="177" t="s">
        <v>190</v>
      </c>
      <c r="B5" s="178">
        <v>0.4</v>
      </c>
      <c r="C5" s="179">
        <v>0.23</v>
      </c>
      <c r="D5" s="180">
        <v>0.24540000000000001</v>
      </c>
      <c r="I5" s="172" t="s">
        <v>250</v>
      </c>
      <c r="J5" s="175">
        <f>'Balance Sheet'!M97+'Balance Sheet'!M104</f>
        <v>72907</v>
      </c>
      <c r="K5" s="176">
        <f>'Balance Sheet'!N97+'Balance Sheet'!N104</f>
        <v>93794.5</v>
      </c>
    </row>
    <row r="6" spans="1:13" x14ac:dyDescent="0.2">
      <c r="A6" s="181" t="s">
        <v>191</v>
      </c>
      <c r="B6" s="170">
        <f>AVERAGE(B3:B5)</f>
        <v>0.51666666666666661</v>
      </c>
      <c r="C6" s="170">
        <f>AVERAGE(C3:C5)</f>
        <v>0.62333333333333341</v>
      </c>
      <c r="D6" s="170">
        <f>AVERAGE(D3:D5)</f>
        <v>0.2069</v>
      </c>
      <c r="I6" s="172"/>
      <c r="J6" s="175">
        <f>J4-J5</f>
        <v>236309.25</v>
      </c>
      <c r="K6" s="176">
        <f>K4-K5</f>
        <v>111717.75</v>
      </c>
    </row>
    <row r="7" spans="1:13" x14ac:dyDescent="0.2">
      <c r="A7" s="181"/>
      <c r="B7" s="170"/>
      <c r="C7" s="170"/>
      <c r="D7" s="170"/>
      <c r="I7" s="172" t="s">
        <v>251</v>
      </c>
      <c r="J7" s="175">
        <f>J6-K6</f>
        <v>124591.5</v>
      </c>
      <c r="K7" s="176"/>
      <c r="L7" s="182"/>
    </row>
    <row r="8" spans="1:13" x14ac:dyDescent="0.2">
      <c r="A8" s="236" t="s">
        <v>211</v>
      </c>
      <c r="B8" s="237">
        <f>B6/(C6*(1-D6)+1)</f>
        <v>0.34574313248185345</v>
      </c>
      <c r="I8" s="172"/>
      <c r="J8" s="173"/>
      <c r="K8" s="176"/>
      <c r="L8" s="182"/>
    </row>
    <row r="9" spans="1:13" x14ac:dyDescent="0.2">
      <c r="A9" s="236" t="s">
        <v>192</v>
      </c>
      <c r="B9" s="237">
        <f>B8*(1+(1-B19)*B20)</f>
        <v>0.38132039901114351</v>
      </c>
      <c r="I9" s="172" t="s">
        <v>252</v>
      </c>
      <c r="J9" s="175">
        <f>'Balance Sheet'!N162</f>
        <v>288115</v>
      </c>
      <c r="K9" s="176"/>
      <c r="L9" s="182"/>
    </row>
    <row r="10" spans="1:13" x14ac:dyDescent="0.2">
      <c r="A10" s="183" t="s">
        <v>246</v>
      </c>
      <c r="B10" s="164">
        <v>0.8</v>
      </c>
      <c r="I10" s="172"/>
      <c r="J10" s="175"/>
      <c r="K10" s="174"/>
    </row>
    <row r="11" spans="1:13" x14ac:dyDescent="0.2">
      <c r="A11" s="183"/>
      <c r="I11" s="184" t="s">
        <v>207</v>
      </c>
      <c r="J11" s="185">
        <f>'Balance Sheet'!N216</f>
        <v>41074.25</v>
      </c>
      <c r="K11" s="186"/>
    </row>
    <row r="12" spans="1:13" x14ac:dyDescent="0.2">
      <c r="A12" s="163" t="s">
        <v>193</v>
      </c>
      <c r="J12" s="187"/>
    </row>
    <row r="13" spans="1:13" ht="17" thickBot="1" x14ac:dyDescent="0.25">
      <c r="A13" s="188" t="s">
        <v>194</v>
      </c>
      <c r="B13" s="189">
        <v>0.05</v>
      </c>
      <c r="C13" s="190"/>
      <c r="D13" s="188" t="s">
        <v>196</v>
      </c>
      <c r="E13" s="171">
        <f>B17</f>
        <v>4.7E-2</v>
      </c>
      <c r="I13" s="191" t="s">
        <v>253</v>
      </c>
      <c r="J13" s="192"/>
      <c r="K13" s="193"/>
      <c r="L13" s="193"/>
      <c r="M13" s="193"/>
    </row>
    <row r="14" spans="1:13" ht="17" customHeight="1" thickTop="1" x14ac:dyDescent="0.2">
      <c r="A14" s="188" t="s">
        <v>243</v>
      </c>
      <c r="B14" s="189">
        <v>1.4999999999999999E-2</v>
      </c>
      <c r="D14" s="188" t="s">
        <v>197</v>
      </c>
      <c r="E14" s="194">
        <f>J9/SUM(J11+J9)</f>
        <v>0.87522602879650535</v>
      </c>
      <c r="I14" s="195" t="s">
        <v>254</v>
      </c>
      <c r="J14" s="195"/>
      <c r="K14" s="195"/>
      <c r="L14" s="239"/>
      <c r="M14" s="238"/>
    </row>
    <row r="15" spans="1:13" x14ac:dyDescent="0.2">
      <c r="A15" s="188" t="s">
        <v>244</v>
      </c>
      <c r="B15" s="196">
        <v>5.5E-2</v>
      </c>
      <c r="D15" s="188" t="s">
        <v>198</v>
      </c>
      <c r="E15" s="194">
        <f>'Income Statement'!N31/J11</f>
        <v>9.4943912548616227E-2</v>
      </c>
      <c r="I15" s="195"/>
      <c r="J15" s="195"/>
      <c r="K15" s="195"/>
      <c r="L15" s="239"/>
      <c r="M15" s="238"/>
    </row>
    <row r="16" spans="1:13" x14ac:dyDescent="0.2">
      <c r="A16" s="188" t="s">
        <v>245</v>
      </c>
      <c r="B16" s="170">
        <f>B10</f>
        <v>0.8</v>
      </c>
      <c r="D16" s="188" t="s">
        <v>199</v>
      </c>
      <c r="E16" s="194">
        <f>J11/SUM(J9+J11)</f>
        <v>0.12477397120349465</v>
      </c>
      <c r="F16" s="197"/>
      <c r="I16" s="195"/>
      <c r="J16" s="195"/>
      <c r="K16" s="195"/>
      <c r="L16" s="239"/>
      <c r="M16" s="238"/>
    </row>
    <row r="17" spans="1:13" x14ac:dyDescent="0.2">
      <c r="A17" s="198" t="s">
        <v>195</v>
      </c>
      <c r="B17" s="199">
        <f>B14+B16*(B15-B14)</f>
        <v>4.7E-2</v>
      </c>
      <c r="D17" s="200" t="s">
        <v>193</v>
      </c>
      <c r="E17" s="199">
        <f>E13*E14+(E15*E16)*(1-B19)</f>
        <v>5.0223747822878376E-2</v>
      </c>
      <c r="I17" s="195"/>
      <c r="J17" s="195"/>
      <c r="K17" s="195"/>
      <c r="L17" s="239"/>
      <c r="M17" s="238"/>
    </row>
    <row r="18" spans="1:13" x14ac:dyDescent="0.2">
      <c r="I18" s="195"/>
      <c r="J18" s="195"/>
      <c r="K18" s="195"/>
      <c r="L18" s="239"/>
      <c r="M18" s="238"/>
    </row>
    <row r="19" spans="1:13" x14ac:dyDescent="0.2">
      <c r="A19" s="198" t="s">
        <v>174</v>
      </c>
      <c r="B19" s="201">
        <f>'Income Statement'!N44/'Income Statement'!N43</f>
        <v>0.23284495724021623</v>
      </c>
      <c r="I19" s="195"/>
      <c r="J19" s="195"/>
      <c r="K19" s="195"/>
      <c r="L19" s="239"/>
      <c r="M19" s="238"/>
    </row>
    <row r="20" spans="1:13" x14ac:dyDescent="0.2">
      <c r="A20" s="198" t="s">
        <v>186</v>
      </c>
      <c r="B20" s="202">
        <f>'Balance Sheet'!N139/'Balance Sheet'!N162</f>
        <v>0.13413307186366555</v>
      </c>
      <c r="I20" s="195"/>
      <c r="J20" s="195"/>
      <c r="K20" s="195"/>
      <c r="L20" s="239"/>
      <c r="M20" s="238"/>
    </row>
    <row r="21" spans="1:13" x14ac:dyDescent="0.2">
      <c r="A21" s="198"/>
      <c r="B21" s="202"/>
      <c r="I21" s="195"/>
      <c r="J21" s="195"/>
      <c r="K21" s="195"/>
      <c r="L21" s="239"/>
      <c r="M21" s="238"/>
    </row>
    <row r="22" spans="1:13" x14ac:dyDescent="0.2">
      <c r="A22" s="198"/>
      <c r="C22" s="203" t="s">
        <v>173</v>
      </c>
      <c r="E22" s="203"/>
      <c r="F22" s="203"/>
      <c r="G22" s="203"/>
      <c r="H22" s="198"/>
      <c r="I22" s="195"/>
      <c r="J22" s="195"/>
      <c r="K22" s="195"/>
      <c r="L22" s="239"/>
      <c r="M22" s="238"/>
    </row>
    <row r="23" spans="1:13" x14ac:dyDescent="0.2">
      <c r="A23" s="198"/>
      <c r="B23" s="204">
        <v>2021</v>
      </c>
      <c r="C23" s="205">
        <v>2022</v>
      </c>
      <c r="D23" s="206">
        <v>2023</v>
      </c>
      <c r="E23" s="206">
        <v>2024</v>
      </c>
      <c r="F23" s="206">
        <v>2025</v>
      </c>
      <c r="G23" s="207">
        <v>2026</v>
      </c>
      <c r="H23" s="198"/>
      <c r="I23" s="239"/>
      <c r="J23" s="239"/>
      <c r="K23" s="239"/>
      <c r="L23" s="239"/>
    </row>
    <row r="24" spans="1:13" x14ac:dyDescent="0.2">
      <c r="A24" s="208" t="s">
        <v>200</v>
      </c>
      <c r="B24" s="209">
        <f>'Key Metrics'!E16</f>
        <v>332082</v>
      </c>
      <c r="C24" s="198"/>
      <c r="D24" s="198"/>
      <c r="E24" s="198"/>
      <c r="F24" s="198"/>
      <c r="G24" s="198"/>
      <c r="H24" s="198"/>
      <c r="I24" s="239"/>
      <c r="J24" s="239"/>
      <c r="K24" s="239"/>
      <c r="L24" s="239"/>
    </row>
    <row r="25" spans="1:13" x14ac:dyDescent="0.2">
      <c r="A25" s="208" t="s">
        <v>201</v>
      </c>
      <c r="B25" s="209">
        <f>B24*(1-B19)</f>
        <v>254758.38090975452</v>
      </c>
      <c r="C25" s="210"/>
      <c r="I25" s="239"/>
      <c r="J25" s="239"/>
      <c r="K25" s="239"/>
      <c r="L25" s="239"/>
    </row>
    <row r="26" spans="1:13" x14ac:dyDescent="0.2">
      <c r="A26" s="208" t="s">
        <v>202</v>
      </c>
      <c r="B26" s="209">
        <f>'Key Metrics'!E41</f>
        <v>20784</v>
      </c>
      <c r="C26" s="211"/>
      <c r="D26" s="198"/>
      <c r="E26" s="198"/>
      <c r="F26" s="198"/>
      <c r="G26" s="198"/>
      <c r="H26" s="198"/>
      <c r="I26" s="239"/>
      <c r="J26" s="239"/>
      <c r="K26" s="239"/>
      <c r="L26" s="239"/>
    </row>
    <row r="27" spans="1:13" x14ac:dyDescent="0.2">
      <c r="A27" s="208" t="s">
        <v>247</v>
      </c>
      <c r="B27" s="209">
        <f>J7</f>
        <v>124591.5</v>
      </c>
      <c r="C27" s="211"/>
      <c r="D27" s="198"/>
      <c r="E27" s="198"/>
      <c r="F27" s="198"/>
      <c r="G27" s="198"/>
      <c r="H27" s="198"/>
      <c r="I27" s="239"/>
      <c r="J27" s="239"/>
      <c r="K27" s="239"/>
      <c r="L27" s="239"/>
    </row>
    <row r="28" spans="1:13" ht="19" x14ac:dyDescent="0.35">
      <c r="A28" s="208" t="s">
        <v>175</v>
      </c>
      <c r="B28" s="212">
        <f>B25-B26-B27</f>
        <v>109382.88090975452</v>
      </c>
      <c r="C28" s="212">
        <f>B28*(1+$B$13)</f>
        <v>114852.02495524225</v>
      </c>
      <c r="D28" s="212">
        <f>C28*(1+$B$13)</f>
        <v>120594.62620300436</v>
      </c>
      <c r="E28" s="212">
        <f t="shared" ref="E28:G28" si="0">D28*(1+$B$13)</f>
        <v>126624.35751315458</v>
      </c>
      <c r="F28" s="212">
        <f t="shared" si="0"/>
        <v>132955.57538881231</v>
      </c>
      <c r="G28" s="212">
        <f t="shared" si="0"/>
        <v>139603.35415825294</v>
      </c>
      <c r="H28" s="198"/>
      <c r="I28" s="239"/>
      <c r="J28" s="239"/>
      <c r="K28" s="239"/>
      <c r="L28" s="239"/>
    </row>
    <row r="29" spans="1:13" ht="20" thickBot="1" x14ac:dyDescent="0.4">
      <c r="A29" s="213"/>
      <c r="B29" s="213"/>
      <c r="D29" s="214"/>
      <c r="E29" s="215"/>
      <c r="F29" s="215"/>
      <c r="G29" s="215"/>
      <c r="H29" s="215"/>
      <c r="I29" s="239"/>
      <c r="J29" s="239"/>
      <c r="K29" s="239"/>
      <c r="L29" s="239"/>
    </row>
    <row r="30" spans="1:13" ht="17" thickBot="1" x14ac:dyDescent="0.25">
      <c r="A30" s="151" t="s">
        <v>210</v>
      </c>
      <c r="B30" s="152"/>
      <c r="C30" s="110"/>
      <c r="D30" s="110"/>
      <c r="E30" s="110"/>
      <c r="F30" s="110"/>
      <c r="G30" s="140">
        <f>(G28*(1+B13))/(E17-B13)</f>
        <v>655128259.93326843</v>
      </c>
      <c r="H30" s="198"/>
      <c r="I30" s="239"/>
      <c r="J30" s="239"/>
      <c r="K30" s="239"/>
      <c r="L30" s="239"/>
    </row>
    <row r="31" spans="1:13" x14ac:dyDescent="0.2">
      <c r="A31" s="198"/>
      <c r="C31" s="217">
        <v>2022</v>
      </c>
      <c r="D31" s="198">
        <v>2023</v>
      </c>
      <c r="E31" s="198">
        <v>2024</v>
      </c>
      <c r="F31" s="198">
        <v>2025</v>
      </c>
      <c r="G31" s="198">
        <v>2026</v>
      </c>
      <c r="H31" s="198"/>
      <c r="I31" s="198"/>
      <c r="J31" s="198"/>
      <c r="K31" s="198"/>
    </row>
    <row r="32" spans="1:13" x14ac:dyDescent="0.2">
      <c r="A32" s="208" t="s">
        <v>203</v>
      </c>
      <c r="C32" s="216">
        <f>C28</f>
        <v>114852.02495524225</v>
      </c>
      <c r="D32" s="216">
        <f>D28</f>
        <v>120594.62620300436</v>
      </c>
      <c r="E32" s="216">
        <f>E28</f>
        <v>126624.35751315458</v>
      </c>
      <c r="F32" s="216">
        <f>F28</f>
        <v>132955.57538881231</v>
      </c>
      <c r="G32" s="216">
        <f>G28+G30</f>
        <v>655267863.28742671</v>
      </c>
      <c r="H32" s="198"/>
      <c r="I32" s="198"/>
      <c r="J32" s="198"/>
      <c r="K32" s="198"/>
    </row>
    <row r="33" spans="1:11" ht="17" thickBot="1" x14ac:dyDescent="0.25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</row>
    <row r="34" spans="1:11" ht="17" thickBot="1" x14ac:dyDescent="0.25">
      <c r="A34" s="153" t="s">
        <v>176</v>
      </c>
      <c r="B34" s="154"/>
      <c r="C34" s="155"/>
      <c r="D34" s="198"/>
      <c r="E34" s="198"/>
      <c r="F34" s="198"/>
      <c r="G34" s="198"/>
      <c r="H34" s="198"/>
      <c r="I34" s="198"/>
      <c r="J34" s="198"/>
      <c r="K34" s="198"/>
    </row>
    <row r="35" spans="1:11" x14ac:dyDescent="0.2">
      <c r="A35" s="218" t="s">
        <v>204</v>
      </c>
      <c r="B35" s="219"/>
      <c r="C35" s="220">
        <f>NPV(E17,C32:G32)</f>
        <v>513310134.0506658</v>
      </c>
      <c r="D35" s="198"/>
      <c r="E35" s="198"/>
      <c r="F35" s="198"/>
      <c r="G35" s="198"/>
      <c r="H35" s="198"/>
      <c r="I35" s="198"/>
      <c r="J35" s="198"/>
      <c r="K35" s="198"/>
    </row>
    <row r="36" spans="1:11" x14ac:dyDescent="0.2">
      <c r="A36" s="221" t="s">
        <v>205</v>
      </c>
      <c r="B36" s="222"/>
      <c r="C36" s="223">
        <f>'Balance Sheet'!N91</f>
        <v>176527</v>
      </c>
      <c r="D36" s="198"/>
      <c r="E36" s="216"/>
      <c r="F36" s="198"/>
      <c r="G36" s="198"/>
      <c r="H36" s="198"/>
      <c r="I36" s="198"/>
      <c r="J36" s="198"/>
      <c r="K36" s="198"/>
    </row>
    <row r="37" spans="1:11" x14ac:dyDescent="0.2">
      <c r="A37" s="224" t="s">
        <v>206</v>
      </c>
      <c r="B37" s="225"/>
      <c r="C37" s="226">
        <f>C35+C36</f>
        <v>513486661.0506658</v>
      </c>
      <c r="D37" s="198"/>
      <c r="E37" s="198"/>
      <c r="F37" s="198"/>
      <c r="G37" s="198"/>
      <c r="H37" s="198"/>
      <c r="I37" s="198"/>
      <c r="J37" s="198"/>
      <c r="K37" s="198"/>
    </row>
    <row r="38" spans="1:11" x14ac:dyDescent="0.2">
      <c r="A38" s="224" t="s">
        <v>207</v>
      </c>
      <c r="B38" s="225"/>
      <c r="C38" s="227">
        <f>'Balance Sheet'!N216</f>
        <v>41074.25</v>
      </c>
      <c r="D38" s="198"/>
      <c r="E38" s="198"/>
      <c r="F38" s="198"/>
      <c r="G38" s="198"/>
      <c r="H38" s="198"/>
      <c r="I38" s="198"/>
      <c r="J38" s="198"/>
      <c r="K38" s="198"/>
    </row>
    <row r="39" spans="1:11" x14ac:dyDescent="0.2">
      <c r="A39" s="221" t="s">
        <v>208</v>
      </c>
      <c r="B39" s="222"/>
      <c r="C39" s="223">
        <v>0</v>
      </c>
      <c r="D39" s="198"/>
      <c r="E39" s="198"/>
      <c r="F39" s="198"/>
      <c r="G39" s="198"/>
      <c r="H39" s="198"/>
      <c r="I39" s="198"/>
      <c r="J39" s="198"/>
      <c r="K39" s="198"/>
    </row>
    <row r="40" spans="1:11" x14ac:dyDescent="0.2">
      <c r="A40" s="224" t="s">
        <v>177</v>
      </c>
      <c r="B40" s="225"/>
      <c r="C40" s="226">
        <f>C37-C38-C39</f>
        <v>513445586.8006658</v>
      </c>
      <c r="D40" s="198"/>
      <c r="E40" s="198"/>
      <c r="F40" s="198"/>
      <c r="G40" s="198"/>
      <c r="H40" s="198"/>
      <c r="I40" s="198"/>
      <c r="J40" s="198"/>
      <c r="K40" s="198"/>
    </row>
    <row r="41" spans="1:11" ht="17" thickBot="1" x14ac:dyDescent="0.25">
      <c r="A41" s="221" t="s">
        <v>209</v>
      </c>
      <c r="B41" s="222"/>
      <c r="C41" s="228">
        <f>'Key Metrics'!E34</f>
        <v>50493000</v>
      </c>
      <c r="D41" s="198"/>
      <c r="E41" s="198"/>
      <c r="F41" s="198"/>
      <c r="G41" s="198"/>
      <c r="H41" s="198"/>
      <c r="I41" s="198"/>
      <c r="J41" s="198"/>
      <c r="K41" s="198"/>
    </row>
    <row r="42" spans="1:11" ht="17" thickBot="1" x14ac:dyDescent="0.25">
      <c r="A42" s="122" t="s">
        <v>178</v>
      </c>
      <c r="B42" s="109"/>
      <c r="C42" s="150">
        <f>C40/C41</f>
        <v>10.168648858270766</v>
      </c>
      <c r="D42" s="198"/>
      <c r="E42" s="198"/>
      <c r="F42" s="198"/>
      <c r="G42" s="198"/>
      <c r="H42" s="198"/>
      <c r="I42" s="198"/>
      <c r="J42" s="198"/>
      <c r="K42" s="198"/>
    </row>
    <row r="43" spans="1:11" x14ac:dyDescent="0.2">
      <c r="A43" s="224"/>
      <c r="B43" s="225"/>
      <c r="C43" s="229"/>
      <c r="D43" s="198"/>
      <c r="E43" s="198"/>
      <c r="F43" s="198"/>
      <c r="G43" s="198"/>
      <c r="H43" s="198"/>
      <c r="I43" s="198"/>
      <c r="J43" s="198"/>
      <c r="K43" s="198"/>
    </row>
    <row r="44" spans="1:11" x14ac:dyDescent="0.2">
      <c r="A44" s="224" t="s">
        <v>179</v>
      </c>
      <c r="B44" s="225"/>
      <c r="C44" s="230">
        <f>C37</f>
        <v>513486661.0506658</v>
      </c>
      <c r="D44" s="198"/>
      <c r="E44" s="198"/>
      <c r="F44" s="198"/>
      <c r="G44" s="198"/>
      <c r="H44" s="198"/>
      <c r="I44" s="198"/>
      <c r="J44" s="198"/>
      <c r="K44" s="198"/>
    </row>
    <row r="45" spans="1:11" x14ac:dyDescent="0.2">
      <c r="A45" s="224" t="s">
        <v>180</v>
      </c>
      <c r="B45" s="225"/>
      <c r="C45" s="231">
        <f>C38</f>
        <v>41074.25</v>
      </c>
      <c r="D45" s="198"/>
      <c r="E45" s="198"/>
      <c r="F45" s="198"/>
      <c r="G45" s="198"/>
      <c r="H45" s="198"/>
      <c r="I45" s="198"/>
      <c r="J45" s="198"/>
      <c r="K45" s="198"/>
    </row>
    <row r="46" spans="1:11" x14ac:dyDescent="0.2">
      <c r="A46" s="224" t="s">
        <v>181</v>
      </c>
      <c r="B46" s="225"/>
      <c r="C46" s="231">
        <f>C39</f>
        <v>0</v>
      </c>
      <c r="D46" s="198"/>
      <c r="E46" s="198"/>
      <c r="F46" s="198"/>
      <c r="G46" s="198"/>
      <c r="H46" s="198"/>
      <c r="I46" s="198"/>
      <c r="J46" s="198"/>
      <c r="K46" s="198"/>
    </row>
    <row r="47" spans="1:11" ht="17" thickBot="1" x14ac:dyDescent="0.25">
      <c r="A47" s="224" t="s">
        <v>182</v>
      </c>
      <c r="B47" s="225"/>
      <c r="C47" s="231">
        <f>'Balance Sheet'!N162</f>
        <v>288115</v>
      </c>
      <c r="D47" s="198"/>
      <c r="E47" s="198"/>
      <c r="F47" s="198"/>
      <c r="G47" s="198"/>
      <c r="H47" s="198"/>
      <c r="I47" s="198"/>
      <c r="J47" s="198"/>
      <c r="K47" s="198"/>
    </row>
    <row r="48" spans="1:11" ht="17" thickBot="1" x14ac:dyDescent="0.25">
      <c r="A48" s="123" t="s">
        <v>183</v>
      </c>
      <c r="B48" s="124"/>
      <c r="C48" s="125">
        <f>C44-C45-C46-C47</f>
        <v>513157471.8006658</v>
      </c>
      <c r="D48" s="198"/>
      <c r="E48" s="198"/>
      <c r="F48" s="198"/>
      <c r="G48" s="198"/>
      <c r="H48" s="198"/>
      <c r="I48" s="198"/>
      <c r="J48" s="198"/>
      <c r="K48" s="198"/>
    </row>
    <row r="49" spans="1:11" x14ac:dyDescent="0.2">
      <c r="A49" s="198"/>
      <c r="B49" s="198"/>
      <c r="C49" s="232"/>
      <c r="D49" s="233"/>
      <c r="E49" s="233"/>
      <c r="F49" s="233"/>
    </row>
    <row r="50" spans="1:11" x14ac:dyDescent="0.2">
      <c r="D50" s="233"/>
      <c r="E50" s="233"/>
      <c r="F50" s="233"/>
    </row>
    <row r="51" spans="1:11" x14ac:dyDescent="0.2">
      <c r="D51" s="233"/>
      <c r="E51" s="233"/>
      <c r="F51" s="233"/>
      <c r="G51" s="233"/>
      <c r="H51" s="198"/>
      <c r="I51" s="198"/>
      <c r="J51" s="198"/>
      <c r="K51" s="198"/>
    </row>
    <row r="52" spans="1:11" x14ac:dyDescent="0.2">
      <c r="A52" s="141" t="s">
        <v>212</v>
      </c>
      <c r="B52" s="142" t="s">
        <v>213</v>
      </c>
      <c r="D52" s="233"/>
      <c r="E52" s="233"/>
      <c r="F52" s="233"/>
      <c r="G52" s="233"/>
      <c r="H52" s="198"/>
      <c r="I52" s="198"/>
      <c r="J52" s="198"/>
      <c r="K52" s="198"/>
    </row>
    <row r="53" spans="1:11" x14ac:dyDescent="0.2">
      <c r="A53" s="143" t="s">
        <v>214</v>
      </c>
      <c r="B53" s="144">
        <f>'Key Metrics'!E18/'Key Metrics'!E31</f>
        <v>0.87408162539269052</v>
      </c>
      <c r="D53" s="233"/>
      <c r="E53" s="233"/>
      <c r="F53" s="233"/>
      <c r="G53" s="233"/>
      <c r="H53" s="198"/>
      <c r="I53" s="198"/>
      <c r="J53" s="198"/>
      <c r="K53" s="198"/>
    </row>
    <row r="54" spans="1:11" x14ac:dyDescent="0.2">
      <c r="A54" s="143" t="s">
        <v>215</v>
      </c>
      <c r="B54" s="144">
        <f>'Key Metrics'!E18/'Key Metrics'!E27</f>
        <v>0.54448531283701018</v>
      </c>
      <c r="D54" s="233"/>
      <c r="E54" s="233"/>
      <c r="F54" s="233"/>
      <c r="G54" s="233"/>
      <c r="H54" s="198"/>
      <c r="I54" s="198"/>
      <c r="J54" s="198"/>
      <c r="K54" s="198"/>
    </row>
    <row r="55" spans="1:11" x14ac:dyDescent="0.2">
      <c r="A55" s="143" t="s">
        <v>216</v>
      </c>
      <c r="B55" s="145">
        <f>'Balance Sheet'!N38/'Balance Sheet'!N130</f>
        <v>2.3607257313960135</v>
      </c>
      <c r="C55" s="232"/>
      <c r="D55" s="233"/>
      <c r="E55" s="233"/>
      <c r="F55" s="233"/>
      <c r="G55" s="233"/>
      <c r="H55" s="198"/>
      <c r="I55" s="198"/>
      <c r="J55" s="198"/>
      <c r="K55" s="198"/>
    </row>
    <row r="56" spans="1:11" x14ac:dyDescent="0.2">
      <c r="A56" s="143" t="s">
        <v>217</v>
      </c>
      <c r="B56" s="144">
        <f>-'Key Metrics'!E43/'Key Metrics'!E18</f>
        <v>3.8719638714120909E-2</v>
      </c>
      <c r="C56" s="198"/>
      <c r="D56" s="198"/>
      <c r="E56" s="198"/>
      <c r="F56" s="198"/>
      <c r="G56" s="198"/>
      <c r="H56" s="198"/>
      <c r="I56" s="198"/>
      <c r="J56" s="198"/>
      <c r="K56" s="198"/>
    </row>
    <row r="57" spans="1:11" x14ac:dyDescent="0.2">
      <c r="A57" s="143" t="s">
        <v>218</v>
      </c>
      <c r="B57" s="146">
        <f>'Income Statement'!N75</f>
        <v>0.18500000000000003</v>
      </c>
      <c r="C57" s="198"/>
      <c r="D57" s="198"/>
      <c r="E57" s="198"/>
      <c r="F57" s="198"/>
      <c r="G57" s="198"/>
      <c r="H57" s="198"/>
      <c r="I57" s="198"/>
      <c r="J57" s="198"/>
      <c r="K57" s="198"/>
    </row>
    <row r="58" spans="1:11" x14ac:dyDescent="0.2">
      <c r="A58" s="234"/>
      <c r="B58" s="234"/>
      <c r="C58" s="235"/>
      <c r="D58" s="235"/>
      <c r="E58" s="235"/>
      <c r="F58" s="235"/>
      <c r="G58" s="235"/>
      <c r="H58" s="235"/>
      <c r="I58" s="235"/>
      <c r="J58" s="235"/>
      <c r="K58" s="235"/>
    </row>
  </sheetData>
  <mergeCells count="3">
    <mergeCell ref="A30:B30"/>
    <mergeCell ref="A34:C34"/>
    <mergeCell ref="I14:K2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IJ78"/>
  <sheetViews>
    <sheetView showGridLines="0" zoomScale="125" zoomScaleNormal="100" workbookViewId="0">
      <pane xSplit="3" ySplit="10" topLeftCell="D20" activePane="bottomRight" state="frozen"/>
      <selection pane="topRight" activeCell="D1" sqref="D1"/>
      <selection pane="bottomLeft" activeCell="A11" sqref="A11"/>
      <selection pane="bottomRight" activeCell="C25" sqref="C25"/>
    </sheetView>
  </sheetViews>
  <sheetFormatPr baseColWidth="10" defaultColWidth="8.83203125" defaultRowHeight="15" x14ac:dyDescent="0.2"/>
  <cols>
    <col min="1" max="1" width="1" style="1" customWidth="1"/>
    <col min="2" max="2" width="2" style="1" customWidth="1"/>
    <col min="3" max="3" width="50.6640625" style="1" customWidth="1"/>
    <col min="4" max="4" width="14.6640625" style="1" customWidth="1" collapsed="1"/>
    <col min="5" max="9" width="14.6640625" style="1" customWidth="1"/>
    <col min="10" max="920" width="14.6640625" style="1" customWidth="1" collapsed="1"/>
  </cols>
  <sheetData>
    <row r="1" spans="1:14" ht="6.5" customHeight="1" x14ac:dyDescent="0.2">
      <c r="A1" s="12"/>
      <c r="B1" s="93"/>
      <c r="C1" s="93"/>
      <c r="D1" s="93"/>
      <c r="E1" s="93"/>
      <c r="F1" s="93"/>
      <c r="G1" s="93"/>
      <c r="H1" s="93"/>
      <c r="I1" s="93"/>
      <c r="J1" s="12"/>
      <c r="K1" s="12"/>
      <c r="L1" s="12"/>
      <c r="M1" s="12"/>
      <c r="N1" s="12"/>
    </row>
    <row r="2" spans="1:14" ht="39.75" customHeight="1" x14ac:dyDescent="0.2">
      <c r="A2" s="93"/>
      <c r="B2" s="94"/>
      <c r="C2" s="95"/>
      <c r="D2" s="95"/>
      <c r="E2" s="95"/>
      <c r="F2" s="95"/>
      <c r="G2" s="95"/>
      <c r="H2" s="95"/>
      <c r="I2" s="96"/>
      <c r="J2" s="12"/>
      <c r="K2" s="12"/>
      <c r="L2" s="12"/>
      <c r="M2" s="12"/>
      <c r="N2" s="12"/>
    </row>
    <row r="3" spans="1:14" ht="18.75" customHeight="1" x14ac:dyDescent="0.2">
      <c r="A3" s="93"/>
      <c r="B3" s="97"/>
      <c r="C3" s="6" t="s">
        <v>90</v>
      </c>
      <c r="I3" s="98"/>
      <c r="J3" s="12"/>
      <c r="K3" s="12"/>
      <c r="L3" s="12"/>
      <c r="M3" s="12"/>
      <c r="N3" s="12"/>
    </row>
    <row r="4" spans="1:14" x14ac:dyDescent="0.2">
      <c r="A4" s="93"/>
      <c r="B4" s="97"/>
      <c r="C4" s="7" t="s">
        <v>91</v>
      </c>
      <c r="I4" s="98"/>
      <c r="J4" s="12"/>
      <c r="K4" s="12"/>
      <c r="L4" s="12"/>
      <c r="M4" s="12"/>
      <c r="N4" s="12"/>
    </row>
    <row r="5" spans="1:14" x14ac:dyDescent="0.2">
      <c r="A5" s="93"/>
      <c r="B5" s="97"/>
      <c r="C5" s="7" t="s">
        <v>92</v>
      </c>
      <c r="D5" s="32" t="s">
        <v>94</v>
      </c>
      <c r="E5" s="32" t="s">
        <v>168</v>
      </c>
      <c r="F5" s="32" t="s">
        <v>169</v>
      </c>
      <c r="G5" s="32" t="s">
        <v>170</v>
      </c>
      <c r="H5" s="32" t="s">
        <v>171</v>
      </c>
      <c r="I5" s="99" t="s">
        <v>172</v>
      </c>
      <c r="J5" s="12"/>
      <c r="K5" s="12"/>
      <c r="L5" s="12"/>
      <c r="M5" s="12"/>
      <c r="N5" s="12"/>
    </row>
    <row r="6" spans="1:14" x14ac:dyDescent="0.2">
      <c r="A6" s="93"/>
      <c r="B6" s="97"/>
      <c r="I6" s="98"/>
      <c r="J6" s="12"/>
      <c r="K6" s="12"/>
      <c r="L6" s="12"/>
      <c r="M6" s="12"/>
      <c r="N6" s="12"/>
    </row>
    <row r="7" spans="1:14" x14ac:dyDescent="0.2">
      <c r="A7" s="93"/>
      <c r="B7" s="97"/>
      <c r="C7" s="8" t="s">
        <v>93</v>
      </c>
      <c r="I7" s="98"/>
      <c r="J7" s="12"/>
      <c r="K7" s="12"/>
      <c r="L7" s="12"/>
      <c r="M7" s="12"/>
      <c r="N7" s="12"/>
    </row>
    <row r="8" spans="1:14" x14ac:dyDescent="0.2">
      <c r="A8" s="93"/>
      <c r="B8" s="97"/>
      <c r="I8" s="98"/>
      <c r="J8" s="12"/>
      <c r="K8" s="12"/>
      <c r="L8" s="12"/>
      <c r="M8" s="12"/>
      <c r="N8" s="12"/>
    </row>
    <row r="9" spans="1:14" x14ac:dyDescent="0.2">
      <c r="A9" s="93"/>
      <c r="B9" s="97"/>
      <c r="D9" s="33"/>
      <c r="E9" s="33"/>
      <c r="F9" s="33"/>
      <c r="G9" s="33"/>
      <c r="H9" s="33"/>
      <c r="I9" s="100"/>
      <c r="J9" s="12"/>
      <c r="K9" s="12"/>
      <c r="L9" s="12"/>
      <c r="M9" s="12"/>
      <c r="N9" s="12"/>
    </row>
    <row r="10" spans="1:14" x14ac:dyDescent="0.2">
      <c r="A10" s="93"/>
      <c r="B10" s="97"/>
      <c r="I10" s="111"/>
      <c r="J10" s="12"/>
      <c r="K10" s="12"/>
      <c r="L10" s="12"/>
      <c r="M10" s="12"/>
      <c r="N10" s="12"/>
    </row>
    <row r="11" spans="1:14" x14ac:dyDescent="0.2">
      <c r="A11" s="93">
        <v>1</v>
      </c>
      <c r="B11" s="97"/>
      <c r="C11" s="11" t="str">
        <f>"Income Statement"</f>
        <v>Income Statement</v>
      </c>
      <c r="D11" s="28" t="s">
        <v>165</v>
      </c>
      <c r="E11" s="28"/>
      <c r="F11" s="28"/>
      <c r="G11" s="28"/>
      <c r="H11" s="28"/>
      <c r="I11" s="101"/>
      <c r="J11" s="12"/>
      <c r="K11" s="12"/>
      <c r="L11" s="12"/>
      <c r="M11" s="12"/>
      <c r="N11" s="12"/>
    </row>
    <row r="12" spans="1:14" x14ac:dyDescent="0.2">
      <c r="A12" s="93">
        <v>1</v>
      </c>
      <c r="B12" s="97"/>
      <c r="C12" s="9" t="str">
        <f>"    Total Revenue"</f>
        <v xml:space="preserve">    Total Revenue</v>
      </c>
      <c r="D12" s="21">
        <v>864126</v>
      </c>
      <c r="E12" s="21">
        <v>1044518.75</v>
      </c>
      <c r="F12" s="21">
        <v>587029.75</v>
      </c>
      <c r="G12" s="21">
        <v>493006.5</v>
      </c>
      <c r="H12" s="21">
        <v>629364.75</v>
      </c>
      <c r="I12" s="102">
        <v>840930.5</v>
      </c>
      <c r="J12" s="12"/>
      <c r="K12" s="12"/>
      <c r="L12" s="12"/>
      <c r="M12" s="12"/>
      <c r="N12" s="12"/>
    </row>
    <row r="13" spans="1:14" x14ac:dyDescent="0.2">
      <c r="A13" s="93">
        <v>1</v>
      </c>
      <c r="B13" s="97"/>
      <c r="C13" s="9" t="str">
        <f>"    Gross Profit"</f>
        <v xml:space="preserve">    Gross Profit</v>
      </c>
      <c r="D13" s="21">
        <v>374564</v>
      </c>
      <c r="E13" s="21">
        <v>447047</v>
      </c>
      <c r="F13" s="21">
        <v>191626.25</v>
      </c>
      <c r="G13" s="21">
        <v>153411.5</v>
      </c>
      <c r="H13" s="21">
        <v>211389.5</v>
      </c>
      <c r="I13" s="102">
        <v>340422.5</v>
      </c>
      <c r="J13" s="12"/>
      <c r="K13" s="12"/>
      <c r="L13" s="12"/>
      <c r="M13" s="12"/>
      <c r="N13" s="12"/>
    </row>
    <row r="14" spans="1:14" x14ac:dyDescent="0.2">
      <c r="A14" s="93">
        <v>1</v>
      </c>
      <c r="B14" s="97"/>
      <c r="C14" s="9" t="str">
        <f>"    Total Operating Profit/(Loss)"</f>
        <v xml:space="preserve">    Total Operating Profit/(Loss)</v>
      </c>
      <c r="D14" s="21">
        <v>251653</v>
      </c>
      <c r="E14" s="21">
        <v>319169.25</v>
      </c>
      <c r="F14" s="21">
        <v>86248</v>
      </c>
      <c r="G14" s="21">
        <v>38379.5</v>
      </c>
      <c r="H14" s="21">
        <v>43378.25</v>
      </c>
      <c r="I14" s="102">
        <v>163995.75</v>
      </c>
      <c r="J14" s="12"/>
      <c r="K14" s="12"/>
      <c r="L14" s="12"/>
      <c r="M14" s="12"/>
      <c r="N14" s="12"/>
    </row>
    <row r="15" spans="1:14" x14ac:dyDescent="0.2">
      <c r="A15" s="93">
        <v>1</v>
      </c>
      <c r="B15" s="97"/>
      <c r="C15" s="9" t="str">
        <f>"    EBITDA (Analyst Normalized)"</f>
        <v xml:space="preserve">    EBITDA (Analyst Normalized)</v>
      </c>
      <c r="D15" s="21">
        <v>294574</v>
      </c>
      <c r="E15" s="21">
        <v>362711.25</v>
      </c>
      <c r="F15" s="21">
        <v>130693.75</v>
      </c>
      <c r="G15" s="21">
        <v>81429.5</v>
      </c>
      <c r="H15" s="21">
        <v>98390.75</v>
      </c>
      <c r="I15" s="102">
        <v>222847.25</v>
      </c>
      <c r="J15" s="12"/>
      <c r="K15" s="12"/>
      <c r="L15" s="12"/>
      <c r="M15" s="12"/>
      <c r="N15" s="12"/>
    </row>
    <row r="16" spans="1:14" x14ac:dyDescent="0.2">
      <c r="A16" s="93">
        <v>1</v>
      </c>
      <c r="B16" s="97"/>
      <c r="C16" s="9" t="str">
        <f>"    EBIT (Analyst Normalized)"</f>
        <v xml:space="preserve">    EBIT (Analyst Normalized)</v>
      </c>
      <c r="D16" s="21">
        <v>265359</v>
      </c>
      <c r="E16" s="21">
        <v>332082</v>
      </c>
      <c r="F16" s="21">
        <v>108642.75</v>
      </c>
      <c r="G16" s="21">
        <v>68570.5</v>
      </c>
      <c r="H16" s="21">
        <v>54939.25</v>
      </c>
      <c r="I16" s="102">
        <v>171792</v>
      </c>
      <c r="J16" s="12"/>
      <c r="K16" s="12"/>
      <c r="L16" s="12"/>
      <c r="M16" s="12"/>
      <c r="N16" s="12"/>
    </row>
    <row r="17" spans="1:14" x14ac:dyDescent="0.2">
      <c r="A17" s="93">
        <v>1</v>
      </c>
      <c r="B17" s="97"/>
      <c r="C17" s="9" t="str">
        <f>"    Net Income from Continuing Operations"</f>
        <v xml:space="preserve">    Net Income from Continuing Operations</v>
      </c>
      <c r="D17" s="21">
        <v>194494</v>
      </c>
      <c r="E17" s="21">
        <v>243818.75</v>
      </c>
      <c r="F17" s="21">
        <v>59263.25</v>
      </c>
      <c r="G17" s="21">
        <v>17368.25</v>
      </c>
      <c r="H17" s="21">
        <v>30898</v>
      </c>
      <c r="I17" s="102">
        <v>103834.75</v>
      </c>
      <c r="J17" s="12"/>
      <c r="K17" s="12"/>
      <c r="L17" s="12"/>
      <c r="M17" s="12"/>
      <c r="N17" s="12"/>
    </row>
    <row r="18" spans="1:14" x14ac:dyDescent="0.2">
      <c r="A18" s="93">
        <v>1</v>
      </c>
      <c r="B18" s="97"/>
      <c r="C18" s="9" t="str">
        <f>"    Net Income (Analyst Normalized)"</f>
        <v xml:space="preserve">    Net Income (Analyst Normalized)</v>
      </c>
      <c r="D18" s="21">
        <v>202909</v>
      </c>
      <c r="E18" s="21">
        <v>251836.02750001501</v>
      </c>
      <c r="F18" s="21">
        <v>69498.559997632998</v>
      </c>
      <c r="G18" s="21">
        <v>37843.874998443251</v>
      </c>
      <c r="H18" s="21">
        <v>29333.995004657751</v>
      </c>
      <c r="I18" s="102">
        <v>108577.82504285776</v>
      </c>
      <c r="J18" s="12"/>
      <c r="K18" s="12"/>
      <c r="L18" s="12"/>
      <c r="M18" s="12"/>
      <c r="N18" s="12"/>
    </row>
    <row r="19" spans="1:14" x14ac:dyDescent="0.2">
      <c r="A19" s="93">
        <v>1</v>
      </c>
      <c r="B19" s="97"/>
      <c r="C19" s="9" t="str">
        <f>"    Diluted EPS from Continuing Operations"</f>
        <v xml:space="preserve">    Diluted EPS from Continuing Operations</v>
      </c>
      <c r="D19" s="22">
        <v>4.08</v>
      </c>
      <c r="E19" s="22">
        <v>4.5600000000000005</v>
      </c>
      <c r="F19" s="22">
        <v>1.0623717500000001</v>
      </c>
      <c r="G19" s="22">
        <v>0.31461525000000001</v>
      </c>
      <c r="H19" s="22">
        <v>0.56500000000000006</v>
      </c>
      <c r="I19" s="103">
        <v>1.83</v>
      </c>
      <c r="J19" s="12"/>
      <c r="K19" s="12"/>
      <c r="L19" s="12"/>
      <c r="M19" s="12"/>
      <c r="N19" s="12"/>
    </row>
    <row r="20" spans="1:14" x14ac:dyDescent="0.2">
      <c r="A20" s="93">
        <v>1</v>
      </c>
      <c r="B20" s="97"/>
      <c r="C20" s="9" t="str">
        <f>"    EPS (Analyst Normalized)"</f>
        <v xml:space="preserve">    EPS (Analyst Normalized)</v>
      </c>
      <c r="D20" s="22">
        <v>4.2099629999999992</v>
      </c>
      <c r="E20" s="22">
        <v>4.7079205000000002</v>
      </c>
      <c r="F20" s="22">
        <v>1.24490575</v>
      </c>
      <c r="G20" s="22">
        <v>0.68296224999999999</v>
      </c>
      <c r="H20" s="22">
        <v>0.53449075000000001</v>
      </c>
      <c r="I20" s="103">
        <v>1.9168012500000002</v>
      </c>
      <c r="J20" s="12"/>
      <c r="K20" s="12"/>
      <c r="L20" s="12"/>
      <c r="M20" s="12"/>
      <c r="N20" s="12"/>
    </row>
    <row r="21" spans="1:14" x14ac:dyDescent="0.2">
      <c r="A21" s="93">
        <v>1</v>
      </c>
      <c r="B21" s="97"/>
      <c r="C21" s="9" t="str">
        <f>"    Diluted Weighted Average Shares Outstanding"</f>
        <v xml:space="preserve">    Diluted Weighted Average Shares Outstanding</v>
      </c>
      <c r="D21" s="21">
        <v>47728000</v>
      </c>
      <c r="E21" s="21">
        <v>53929875</v>
      </c>
      <c r="F21" s="21">
        <v>55604062.5</v>
      </c>
      <c r="G21" s="21">
        <v>55142875</v>
      </c>
      <c r="H21" s="21">
        <v>55005250</v>
      </c>
      <c r="I21" s="102">
        <v>56439375</v>
      </c>
      <c r="J21" s="12"/>
      <c r="K21" s="12"/>
      <c r="L21" s="12"/>
      <c r="M21" s="12"/>
      <c r="N21" s="12"/>
    </row>
    <row r="22" spans="1:14" x14ac:dyDescent="0.2">
      <c r="A22" s="93">
        <v>1</v>
      </c>
      <c r="B22" s="97"/>
      <c r="C22" s="9" t="str">
        <f>"    Common Dividend per Share (Ex-date)"</f>
        <v xml:space="preserve">    Common Dividend per Share (Ex-date)</v>
      </c>
      <c r="D22" s="22">
        <v>0.32</v>
      </c>
      <c r="E22" s="22">
        <v>0.18500000000000003</v>
      </c>
      <c r="F22" s="22">
        <v>1.6666666666666666E-2</v>
      </c>
      <c r="G22" s="22">
        <v>0</v>
      </c>
      <c r="H22" s="22">
        <v>0</v>
      </c>
      <c r="I22" s="103">
        <v>0</v>
      </c>
      <c r="J22" s="12"/>
      <c r="K22" s="12"/>
      <c r="L22" s="12"/>
      <c r="M22" s="12"/>
      <c r="N22" s="12"/>
    </row>
    <row r="23" spans="1:14" x14ac:dyDescent="0.2">
      <c r="A23" s="93">
        <v>1</v>
      </c>
      <c r="B23" s="97"/>
      <c r="C23" s="11" t="str">
        <f>"Balance Sheet"</f>
        <v>Balance Sheet</v>
      </c>
      <c r="D23" s="28" t="s">
        <v>165</v>
      </c>
      <c r="E23" s="28"/>
      <c r="F23" s="28"/>
      <c r="G23" s="28"/>
      <c r="H23" s="28"/>
      <c r="I23" s="101"/>
      <c r="J23" s="12"/>
      <c r="K23" s="12"/>
      <c r="L23" s="12"/>
      <c r="M23" s="12"/>
      <c r="N23" s="12"/>
    </row>
    <row r="24" spans="1:14" x14ac:dyDescent="0.2">
      <c r="A24" s="93">
        <v>1</v>
      </c>
      <c r="B24" s="97"/>
      <c r="C24" s="9" t="str">
        <f>"    Total Current Assets"</f>
        <v xml:space="preserve">    Total Current Assets</v>
      </c>
      <c r="D24" s="21">
        <v>327597</v>
      </c>
      <c r="E24" s="21">
        <v>285994.25</v>
      </c>
      <c r="F24" s="21">
        <v>325123</v>
      </c>
      <c r="G24" s="21">
        <v>314265.75</v>
      </c>
      <c r="H24" s="21">
        <v>272646.25</v>
      </c>
      <c r="I24" s="102">
        <v>311641.25</v>
      </c>
      <c r="J24" s="12"/>
      <c r="K24" s="12"/>
      <c r="L24" s="12"/>
      <c r="M24" s="12"/>
      <c r="N24" s="12"/>
    </row>
    <row r="25" spans="1:14" x14ac:dyDescent="0.2">
      <c r="A25" s="93">
        <v>1</v>
      </c>
      <c r="B25" s="97"/>
      <c r="C25" s="9" t="str">
        <f>"    Net Property, Plant and Equipment"</f>
        <v xml:space="preserve">    Net Property, Plant and Equipment</v>
      </c>
      <c r="D25" s="21">
        <v>135591</v>
      </c>
      <c r="E25" s="21">
        <v>140892</v>
      </c>
      <c r="F25" s="21">
        <v>154193</v>
      </c>
      <c r="G25" s="21">
        <v>178392.5</v>
      </c>
      <c r="H25" s="21">
        <v>166282.25</v>
      </c>
      <c r="I25" s="102">
        <v>147756.5</v>
      </c>
      <c r="J25" s="12"/>
      <c r="K25" s="12"/>
      <c r="L25" s="12"/>
      <c r="M25" s="12"/>
      <c r="N25" s="12"/>
    </row>
    <row r="26" spans="1:14" x14ac:dyDescent="0.2">
      <c r="A26" s="93">
        <v>1</v>
      </c>
      <c r="B26" s="97"/>
      <c r="C26" s="9" t="str">
        <f>"    Total Non-Current Assets"</f>
        <v xml:space="preserve">    Total Non-Current Assets</v>
      </c>
      <c r="D26" s="21">
        <v>169879</v>
      </c>
      <c r="E26" s="21">
        <v>176527</v>
      </c>
      <c r="F26" s="21">
        <v>324106</v>
      </c>
      <c r="G26" s="21">
        <v>465953.75</v>
      </c>
      <c r="H26" s="21">
        <v>479092.75</v>
      </c>
      <c r="I26" s="102">
        <v>468894</v>
      </c>
      <c r="J26" s="12"/>
      <c r="K26" s="12"/>
      <c r="L26" s="12"/>
      <c r="M26" s="12"/>
      <c r="N26" s="12"/>
    </row>
    <row r="27" spans="1:14" x14ac:dyDescent="0.2">
      <c r="A27" s="93">
        <v>1</v>
      </c>
      <c r="B27" s="97"/>
      <c r="C27" s="9" t="str">
        <f>"    Total Assets"</f>
        <v xml:space="preserve">    Total Assets</v>
      </c>
      <c r="D27" s="21">
        <v>497476</v>
      </c>
      <c r="E27" s="21">
        <v>462521.25</v>
      </c>
      <c r="F27" s="21">
        <v>649229</v>
      </c>
      <c r="G27" s="21">
        <v>780219.5</v>
      </c>
      <c r="H27" s="21">
        <v>751739</v>
      </c>
      <c r="I27" s="102">
        <v>780535.25</v>
      </c>
      <c r="J27" s="12"/>
      <c r="K27" s="12"/>
      <c r="L27" s="12"/>
      <c r="M27" s="12"/>
      <c r="N27" s="12"/>
    </row>
    <row r="28" spans="1:14" x14ac:dyDescent="0.2">
      <c r="A28" s="93">
        <v>1</v>
      </c>
      <c r="B28" s="97"/>
      <c r="C28" s="9" t="str">
        <f>"    Total Current Liabilities"</f>
        <v xml:space="preserve">    Total Current Liabilities</v>
      </c>
      <c r="D28" s="21">
        <v>88949</v>
      </c>
      <c r="E28" s="21">
        <v>121146.75</v>
      </c>
      <c r="F28" s="21">
        <v>123937.5</v>
      </c>
      <c r="G28" s="21">
        <v>136813</v>
      </c>
      <c r="H28" s="21">
        <v>96707.5</v>
      </c>
      <c r="I28" s="102">
        <v>165655.75</v>
      </c>
      <c r="J28" s="12"/>
      <c r="K28" s="12"/>
      <c r="L28" s="12"/>
      <c r="M28" s="12"/>
      <c r="N28" s="12"/>
    </row>
    <row r="29" spans="1:14" x14ac:dyDescent="0.2">
      <c r="A29" s="93">
        <v>1</v>
      </c>
      <c r="B29" s="97"/>
      <c r="C29" s="9" t="str">
        <f>"    Total Non-Current Liabilities"</f>
        <v xml:space="preserve">    Total Non-Current Liabilities</v>
      </c>
      <c r="D29" s="21">
        <v>48013</v>
      </c>
      <c r="E29" s="21">
        <v>53259.5</v>
      </c>
      <c r="F29" s="21">
        <v>149901.5</v>
      </c>
      <c r="G29" s="21">
        <v>201896.75</v>
      </c>
      <c r="H29" s="21">
        <v>231022</v>
      </c>
      <c r="I29" s="102">
        <v>216496.25</v>
      </c>
      <c r="J29" s="12"/>
      <c r="K29" s="12"/>
      <c r="L29" s="12"/>
      <c r="M29" s="12"/>
      <c r="N29" s="12"/>
    </row>
    <row r="30" spans="1:14" x14ac:dyDescent="0.2">
      <c r="A30" s="93">
        <v>1</v>
      </c>
      <c r="B30" s="97"/>
      <c r="C30" s="9" t="str">
        <f>"    Total Liabilities"</f>
        <v xml:space="preserve">    Total Liabilities</v>
      </c>
      <c r="D30" s="21">
        <v>136962</v>
      </c>
      <c r="E30" s="21">
        <v>174406.25</v>
      </c>
      <c r="F30" s="21">
        <v>273839</v>
      </c>
      <c r="G30" s="21">
        <v>338709.75</v>
      </c>
      <c r="H30" s="21">
        <v>327729.5</v>
      </c>
      <c r="I30" s="102">
        <v>382152</v>
      </c>
      <c r="J30" s="12"/>
      <c r="K30" s="12"/>
      <c r="L30" s="12"/>
      <c r="M30" s="12"/>
      <c r="N30" s="12"/>
    </row>
    <row r="31" spans="1:14" x14ac:dyDescent="0.2">
      <c r="A31" s="93">
        <v>1</v>
      </c>
      <c r="B31" s="97"/>
      <c r="C31" s="9" t="str">
        <f>"    Total Equity"</f>
        <v xml:space="preserve">    Total Equity</v>
      </c>
      <c r="D31" s="21">
        <v>360514</v>
      </c>
      <c r="E31" s="21">
        <v>288115</v>
      </c>
      <c r="F31" s="21">
        <v>375390</v>
      </c>
      <c r="G31" s="21">
        <v>441509.75</v>
      </c>
      <c r="H31" s="21">
        <v>424009.5</v>
      </c>
      <c r="I31" s="102">
        <v>398383.25</v>
      </c>
      <c r="J31" s="12"/>
      <c r="K31" s="12"/>
      <c r="L31" s="12"/>
      <c r="M31" s="12"/>
      <c r="N31" s="12"/>
    </row>
    <row r="32" spans="1:14" x14ac:dyDescent="0.2">
      <c r="A32" s="93">
        <v>1</v>
      </c>
      <c r="B32" s="97"/>
      <c r="C32" s="9" t="str">
        <f>"    Equity Attributable to Parent Stockholders"</f>
        <v xml:space="preserve">    Equity Attributable to Parent Stockholders</v>
      </c>
      <c r="D32" s="21">
        <v>360514</v>
      </c>
      <c r="E32" s="21">
        <v>288115</v>
      </c>
      <c r="F32" s="21">
        <v>375390</v>
      </c>
      <c r="G32" s="21">
        <v>441509.75</v>
      </c>
      <c r="H32" s="21">
        <v>424009.5</v>
      </c>
      <c r="I32" s="102">
        <v>398383.25</v>
      </c>
      <c r="J32" s="12"/>
      <c r="K32" s="12"/>
      <c r="L32" s="12"/>
      <c r="M32" s="12"/>
      <c r="N32" s="12"/>
    </row>
    <row r="33" spans="1:920" x14ac:dyDescent="0.2">
      <c r="A33" s="93">
        <v>1</v>
      </c>
      <c r="B33" s="97"/>
      <c r="C33" s="9" t="str">
        <f>"    Total Debt"</f>
        <v xml:space="preserve">    Total Debt</v>
      </c>
      <c r="D33" s="21">
        <v>40281</v>
      </c>
      <c r="E33" s="21">
        <v>41074.25</v>
      </c>
      <c r="F33" s="21">
        <v>138429</v>
      </c>
      <c r="G33" s="21">
        <v>224135</v>
      </c>
      <c r="H33" s="21">
        <v>216026</v>
      </c>
      <c r="I33" s="102">
        <v>229197.25</v>
      </c>
      <c r="J33" s="12"/>
      <c r="K33" s="12"/>
      <c r="L33" s="12"/>
      <c r="M33" s="12"/>
      <c r="N33" s="12"/>
    </row>
    <row r="34" spans="1:920" s="131" customFormat="1" x14ac:dyDescent="0.2">
      <c r="A34" s="126">
        <v>1</v>
      </c>
      <c r="B34" s="127"/>
      <c r="C34" s="128" t="str">
        <f>"    Total Shares Outstanding (TSO)"</f>
        <v xml:space="preserve">    Total Shares Outstanding (TSO)</v>
      </c>
      <c r="D34" s="129">
        <v>45510515</v>
      </c>
      <c r="E34" s="129">
        <v>50493000</v>
      </c>
      <c r="F34" s="129">
        <v>55507370</v>
      </c>
      <c r="G34" s="129">
        <v>54781189.25</v>
      </c>
      <c r="H34" s="129">
        <v>54329672.5</v>
      </c>
      <c r="I34" s="130">
        <v>55417590.25</v>
      </c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6"/>
      <c r="CI34" s="126"/>
      <c r="CJ34" s="126"/>
      <c r="CK34" s="126"/>
      <c r="CL34" s="126"/>
      <c r="CM34" s="126"/>
      <c r="CN34" s="126"/>
      <c r="CO34" s="126"/>
      <c r="CP34" s="126"/>
      <c r="CQ34" s="126"/>
      <c r="CR34" s="126"/>
      <c r="CS34" s="126"/>
      <c r="CT34" s="126"/>
      <c r="CU34" s="126"/>
      <c r="CV34" s="126"/>
      <c r="CW34" s="126"/>
      <c r="CX34" s="126"/>
      <c r="CY34" s="126"/>
      <c r="CZ34" s="126"/>
      <c r="DA34" s="126"/>
      <c r="DB34" s="126"/>
      <c r="DC34" s="126"/>
      <c r="DD34" s="126"/>
      <c r="DE34" s="126"/>
      <c r="DF34" s="126"/>
      <c r="DG34" s="126"/>
      <c r="DH34" s="126"/>
      <c r="DI34" s="126"/>
      <c r="DJ34" s="126"/>
      <c r="DK34" s="126"/>
      <c r="DL34" s="126"/>
      <c r="DM34" s="126"/>
      <c r="DN34" s="126"/>
      <c r="DO34" s="126"/>
      <c r="DP34" s="126"/>
      <c r="DQ34" s="126"/>
      <c r="DR34" s="126"/>
      <c r="DS34" s="126"/>
      <c r="DT34" s="126"/>
      <c r="DU34" s="126"/>
      <c r="DV34" s="126"/>
      <c r="DW34" s="126"/>
      <c r="DX34" s="126"/>
      <c r="DY34" s="126"/>
      <c r="DZ34" s="126"/>
      <c r="EA34" s="126"/>
      <c r="EB34" s="126"/>
      <c r="EC34" s="126"/>
      <c r="ED34" s="126"/>
      <c r="EE34" s="126"/>
      <c r="EF34" s="126"/>
      <c r="EG34" s="126"/>
      <c r="EH34" s="126"/>
      <c r="EI34" s="126"/>
      <c r="EJ34" s="126"/>
      <c r="EK34" s="126"/>
      <c r="EL34" s="126"/>
      <c r="EM34" s="126"/>
      <c r="EN34" s="126"/>
      <c r="EO34" s="126"/>
      <c r="EP34" s="126"/>
      <c r="EQ34" s="126"/>
      <c r="ER34" s="126"/>
      <c r="ES34" s="126"/>
      <c r="ET34" s="126"/>
      <c r="EU34" s="126"/>
      <c r="EV34" s="126"/>
      <c r="EW34" s="126"/>
      <c r="EX34" s="126"/>
      <c r="EY34" s="126"/>
      <c r="EZ34" s="126"/>
      <c r="FA34" s="126"/>
      <c r="FB34" s="126"/>
      <c r="FC34" s="126"/>
      <c r="FD34" s="126"/>
      <c r="FE34" s="126"/>
      <c r="FF34" s="126"/>
      <c r="FG34" s="126"/>
      <c r="FH34" s="126"/>
      <c r="FI34" s="126"/>
      <c r="FJ34" s="126"/>
      <c r="FK34" s="126"/>
      <c r="FL34" s="126"/>
      <c r="FM34" s="126"/>
      <c r="FN34" s="126"/>
      <c r="FO34" s="126"/>
      <c r="FP34" s="126"/>
      <c r="FQ34" s="126"/>
      <c r="FR34" s="126"/>
      <c r="FS34" s="126"/>
      <c r="FT34" s="126"/>
      <c r="FU34" s="126"/>
      <c r="FV34" s="126"/>
      <c r="FW34" s="126"/>
      <c r="FX34" s="126"/>
      <c r="FY34" s="126"/>
      <c r="FZ34" s="126"/>
      <c r="GA34" s="126"/>
      <c r="GB34" s="126"/>
      <c r="GC34" s="126"/>
      <c r="GD34" s="126"/>
      <c r="GE34" s="126"/>
      <c r="GF34" s="126"/>
      <c r="GG34" s="126"/>
      <c r="GH34" s="126"/>
      <c r="GI34" s="126"/>
      <c r="GJ34" s="126"/>
      <c r="GK34" s="126"/>
      <c r="GL34" s="126"/>
      <c r="GM34" s="126"/>
      <c r="GN34" s="126"/>
      <c r="GO34" s="126"/>
      <c r="GP34" s="126"/>
      <c r="GQ34" s="126"/>
      <c r="GR34" s="126"/>
      <c r="GS34" s="126"/>
      <c r="GT34" s="126"/>
      <c r="GU34" s="126"/>
      <c r="GV34" s="126"/>
      <c r="GW34" s="126"/>
      <c r="GX34" s="126"/>
      <c r="GY34" s="126"/>
      <c r="GZ34" s="126"/>
      <c r="HA34" s="126"/>
      <c r="HB34" s="126"/>
      <c r="HC34" s="126"/>
      <c r="HD34" s="126"/>
      <c r="HE34" s="126"/>
      <c r="HF34" s="126"/>
      <c r="HG34" s="126"/>
      <c r="HH34" s="126"/>
      <c r="HI34" s="126"/>
      <c r="HJ34" s="126"/>
      <c r="HK34" s="126"/>
      <c r="HL34" s="126"/>
      <c r="HM34" s="126"/>
      <c r="HN34" s="126"/>
      <c r="HO34" s="126"/>
      <c r="HP34" s="126"/>
      <c r="HQ34" s="126"/>
      <c r="HR34" s="126"/>
      <c r="HS34" s="126"/>
      <c r="HT34" s="126"/>
      <c r="HU34" s="126"/>
      <c r="HV34" s="126"/>
      <c r="HW34" s="126"/>
      <c r="HX34" s="126"/>
      <c r="HY34" s="126"/>
      <c r="HZ34" s="126"/>
      <c r="IA34" s="126"/>
      <c r="IB34" s="126"/>
      <c r="IC34" s="126"/>
      <c r="ID34" s="126"/>
      <c r="IE34" s="126"/>
      <c r="IF34" s="126"/>
      <c r="IG34" s="126"/>
      <c r="IH34" s="126"/>
      <c r="II34" s="126"/>
      <c r="IJ34" s="126"/>
      <c r="IK34" s="126"/>
      <c r="IL34" s="126"/>
      <c r="IM34" s="126"/>
      <c r="IN34" s="126"/>
      <c r="IO34" s="126"/>
      <c r="IP34" s="126"/>
      <c r="IQ34" s="126"/>
      <c r="IR34" s="126"/>
      <c r="IS34" s="126"/>
      <c r="IT34" s="126"/>
      <c r="IU34" s="126"/>
      <c r="IV34" s="126"/>
      <c r="IW34" s="126"/>
      <c r="IX34" s="126"/>
      <c r="IY34" s="126"/>
      <c r="IZ34" s="126"/>
      <c r="JA34" s="126"/>
      <c r="JB34" s="126"/>
      <c r="JC34" s="126"/>
      <c r="JD34" s="126"/>
      <c r="JE34" s="126"/>
      <c r="JF34" s="126"/>
      <c r="JG34" s="126"/>
      <c r="JH34" s="126"/>
      <c r="JI34" s="126"/>
      <c r="JJ34" s="126"/>
      <c r="JK34" s="126"/>
      <c r="JL34" s="126"/>
      <c r="JM34" s="126"/>
      <c r="JN34" s="126"/>
      <c r="JO34" s="126"/>
      <c r="JP34" s="126"/>
      <c r="JQ34" s="126"/>
      <c r="JR34" s="126"/>
      <c r="JS34" s="126"/>
      <c r="JT34" s="126"/>
      <c r="JU34" s="126"/>
      <c r="JV34" s="126"/>
      <c r="JW34" s="126"/>
      <c r="JX34" s="126"/>
      <c r="JY34" s="126"/>
      <c r="JZ34" s="126"/>
      <c r="KA34" s="126"/>
      <c r="KB34" s="126"/>
      <c r="KC34" s="126"/>
      <c r="KD34" s="126"/>
      <c r="KE34" s="126"/>
      <c r="KF34" s="126"/>
      <c r="KG34" s="126"/>
      <c r="KH34" s="126"/>
      <c r="KI34" s="126"/>
      <c r="KJ34" s="126"/>
      <c r="KK34" s="126"/>
      <c r="KL34" s="126"/>
      <c r="KM34" s="126"/>
      <c r="KN34" s="126"/>
      <c r="KO34" s="126"/>
      <c r="KP34" s="126"/>
      <c r="KQ34" s="126"/>
      <c r="KR34" s="126"/>
      <c r="KS34" s="126"/>
      <c r="KT34" s="126"/>
      <c r="KU34" s="126"/>
      <c r="KV34" s="126"/>
      <c r="KW34" s="126"/>
      <c r="KX34" s="126"/>
      <c r="KY34" s="126"/>
      <c r="KZ34" s="126"/>
      <c r="LA34" s="126"/>
      <c r="LB34" s="126"/>
      <c r="LC34" s="126"/>
      <c r="LD34" s="126"/>
      <c r="LE34" s="126"/>
      <c r="LF34" s="126"/>
      <c r="LG34" s="126"/>
      <c r="LH34" s="126"/>
      <c r="LI34" s="126"/>
      <c r="LJ34" s="126"/>
      <c r="LK34" s="126"/>
      <c r="LL34" s="126"/>
      <c r="LM34" s="126"/>
      <c r="LN34" s="126"/>
      <c r="LO34" s="126"/>
      <c r="LP34" s="126"/>
      <c r="LQ34" s="126"/>
      <c r="LR34" s="126"/>
      <c r="LS34" s="126"/>
      <c r="LT34" s="126"/>
      <c r="LU34" s="126"/>
      <c r="LV34" s="126"/>
      <c r="LW34" s="126"/>
      <c r="LX34" s="126"/>
      <c r="LY34" s="126"/>
      <c r="LZ34" s="126"/>
      <c r="MA34" s="126"/>
      <c r="MB34" s="126"/>
      <c r="MC34" s="126"/>
      <c r="MD34" s="126"/>
      <c r="ME34" s="126"/>
      <c r="MF34" s="126"/>
      <c r="MG34" s="126"/>
      <c r="MH34" s="126"/>
      <c r="MI34" s="126"/>
      <c r="MJ34" s="126"/>
      <c r="MK34" s="126"/>
      <c r="ML34" s="126"/>
      <c r="MM34" s="126"/>
      <c r="MN34" s="126"/>
      <c r="MO34" s="126"/>
      <c r="MP34" s="126"/>
      <c r="MQ34" s="126"/>
      <c r="MR34" s="126"/>
      <c r="MS34" s="126"/>
      <c r="MT34" s="126"/>
      <c r="MU34" s="126"/>
      <c r="MV34" s="126"/>
      <c r="MW34" s="126"/>
      <c r="MX34" s="126"/>
      <c r="MY34" s="126"/>
      <c r="MZ34" s="126"/>
      <c r="NA34" s="126"/>
      <c r="NB34" s="126"/>
      <c r="NC34" s="126"/>
      <c r="ND34" s="126"/>
      <c r="NE34" s="126"/>
      <c r="NF34" s="126"/>
      <c r="NG34" s="126"/>
      <c r="NH34" s="126"/>
      <c r="NI34" s="126"/>
      <c r="NJ34" s="126"/>
      <c r="NK34" s="126"/>
      <c r="NL34" s="126"/>
      <c r="NM34" s="126"/>
      <c r="NN34" s="126"/>
      <c r="NO34" s="126"/>
      <c r="NP34" s="126"/>
      <c r="NQ34" s="126"/>
      <c r="NR34" s="126"/>
      <c r="NS34" s="126"/>
      <c r="NT34" s="126"/>
      <c r="NU34" s="126"/>
      <c r="NV34" s="126"/>
      <c r="NW34" s="126"/>
      <c r="NX34" s="126"/>
      <c r="NY34" s="126"/>
      <c r="NZ34" s="126"/>
      <c r="OA34" s="126"/>
      <c r="OB34" s="126"/>
      <c r="OC34" s="126"/>
      <c r="OD34" s="126"/>
      <c r="OE34" s="126"/>
      <c r="OF34" s="126"/>
      <c r="OG34" s="126"/>
      <c r="OH34" s="126"/>
      <c r="OI34" s="126"/>
      <c r="OJ34" s="126"/>
      <c r="OK34" s="126"/>
      <c r="OL34" s="126"/>
      <c r="OM34" s="126"/>
      <c r="ON34" s="126"/>
      <c r="OO34" s="126"/>
      <c r="OP34" s="126"/>
      <c r="OQ34" s="126"/>
      <c r="OR34" s="126"/>
      <c r="OS34" s="126"/>
      <c r="OT34" s="126"/>
      <c r="OU34" s="126"/>
      <c r="OV34" s="126"/>
      <c r="OW34" s="126"/>
      <c r="OX34" s="126"/>
      <c r="OY34" s="126"/>
      <c r="OZ34" s="126"/>
      <c r="PA34" s="126"/>
      <c r="PB34" s="126"/>
      <c r="PC34" s="126"/>
      <c r="PD34" s="126"/>
      <c r="PE34" s="126"/>
      <c r="PF34" s="126"/>
      <c r="PG34" s="126"/>
      <c r="PH34" s="126"/>
      <c r="PI34" s="126"/>
      <c r="PJ34" s="126"/>
      <c r="PK34" s="126"/>
      <c r="PL34" s="126"/>
      <c r="PM34" s="126"/>
      <c r="PN34" s="126"/>
      <c r="PO34" s="126"/>
      <c r="PP34" s="126"/>
      <c r="PQ34" s="126"/>
      <c r="PR34" s="126"/>
      <c r="PS34" s="126"/>
      <c r="PT34" s="126"/>
      <c r="PU34" s="126"/>
      <c r="PV34" s="126"/>
      <c r="PW34" s="126"/>
      <c r="PX34" s="126"/>
      <c r="PY34" s="126"/>
      <c r="PZ34" s="126"/>
      <c r="QA34" s="126"/>
      <c r="QB34" s="126"/>
      <c r="QC34" s="126"/>
      <c r="QD34" s="126"/>
      <c r="QE34" s="126"/>
      <c r="QF34" s="126"/>
      <c r="QG34" s="126"/>
      <c r="QH34" s="126"/>
      <c r="QI34" s="126"/>
      <c r="QJ34" s="126"/>
      <c r="QK34" s="126"/>
      <c r="QL34" s="126"/>
      <c r="QM34" s="126"/>
      <c r="QN34" s="126"/>
      <c r="QO34" s="126"/>
      <c r="QP34" s="126"/>
      <c r="QQ34" s="126"/>
      <c r="QR34" s="126"/>
      <c r="QS34" s="126"/>
      <c r="QT34" s="126"/>
      <c r="QU34" s="126"/>
      <c r="QV34" s="126"/>
      <c r="QW34" s="126"/>
      <c r="QX34" s="126"/>
      <c r="QY34" s="126"/>
      <c r="QZ34" s="126"/>
      <c r="RA34" s="126"/>
      <c r="RB34" s="126"/>
      <c r="RC34" s="126"/>
      <c r="RD34" s="126"/>
      <c r="RE34" s="126"/>
      <c r="RF34" s="126"/>
      <c r="RG34" s="126"/>
      <c r="RH34" s="126"/>
      <c r="RI34" s="126"/>
      <c r="RJ34" s="126"/>
      <c r="RK34" s="126"/>
      <c r="RL34" s="126"/>
      <c r="RM34" s="126"/>
      <c r="RN34" s="126"/>
      <c r="RO34" s="126"/>
      <c r="RP34" s="126"/>
      <c r="RQ34" s="126"/>
      <c r="RR34" s="126"/>
      <c r="RS34" s="126"/>
      <c r="RT34" s="126"/>
      <c r="RU34" s="126"/>
      <c r="RV34" s="126"/>
      <c r="RW34" s="126"/>
      <c r="RX34" s="126"/>
      <c r="RY34" s="126"/>
      <c r="RZ34" s="126"/>
      <c r="SA34" s="126"/>
      <c r="SB34" s="126"/>
      <c r="SC34" s="126"/>
      <c r="SD34" s="126"/>
      <c r="SE34" s="126"/>
      <c r="SF34" s="126"/>
      <c r="SG34" s="126"/>
      <c r="SH34" s="126"/>
      <c r="SI34" s="126"/>
      <c r="SJ34" s="126"/>
      <c r="SK34" s="126"/>
      <c r="SL34" s="126"/>
      <c r="SM34" s="126"/>
      <c r="SN34" s="126"/>
      <c r="SO34" s="126"/>
      <c r="SP34" s="126"/>
      <c r="SQ34" s="126"/>
      <c r="SR34" s="126"/>
      <c r="SS34" s="126"/>
      <c r="ST34" s="126"/>
      <c r="SU34" s="126"/>
      <c r="SV34" s="126"/>
      <c r="SW34" s="126"/>
      <c r="SX34" s="126"/>
      <c r="SY34" s="126"/>
      <c r="SZ34" s="126"/>
      <c r="TA34" s="126"/>
      <c r="TB34" s="126"/>
      <c r="TC34" s="126"/>
      <c r="TD34" s="126"/>
      <c r="TE34" s="126"/>
      <c r="TF34" s="126"/>
      <c r="TG34" s="126"/>
      <c r="TH34" s="126"/>
      <c r="TI34" s="126"/>
      <c r="TJ34" s="126"/>
      <c r="TK34" s="126"/>
      <c r="TL34" s="126"/>
      <c r="TM34" s="126"/>
      <c r="TN34" s="126"/>
      <c r="TO34" s="126"/>
      <c r="TP34" s="126"/>
      <c r="TQ34" s="126"/>
      <c r="TR34" s="126"/>
      <c r="TS34" s="126"/>
      <c r="TT34" s="126"/>
      <c r="TU34" s="126"/>
      <c r="TV34" s="126"/>
      <c r="TW34" s="126"/>
      <c r="TX34" s="126"/>
      <c r="TY34" s="126"/>
      <c r="TZ34" s="126"/>
      <c r="UA34" s="126"/>
      <c r="UB34" s="126"/>
      <c r="UC34" s="126"/>
      <c r="UD34" s="126"/>
      <c r="UE34" s="126"/>
      <c r="UF34" s="126"/>
      <c r="UG34" s="126"/>
      <c r="UH34" s="126"/>
      <c r="UI34" s="126"/>
      <c r="UJ34" s="126"/>
      <c r="UK34" s="126"/>
      <c r="UL34" s="126"/>
      <c r="UM34" s="126"/>
      <c r="UN34" s="126"/>
      <c r="UO34" s="126"/>
      <c r="UP34" s="126"/>
      <c r="UQ34" s="126"/>
      <c r="UR34" s="126"/>
      <c r="US34" s="126"/>
      <c r="UT34" s="126"/>
      <c r="UU34" s="126"/>
      <c r="UV34" s="126"/>
      <c r="UW34" s="126"/>
      <c r="UX34" s="126"/>
      <c r="UY34" s="126"/>
      <c r="UZ34" s="126"/>
      <c r="VA34" s="126"/>
      <c r="VB34" s="126"/>
      <c r="VC34" s="126"/>
      <c r="VD34" s="126"/>
      <c r="VE34" s="126"/>
      <c r="VF34" s="126"/>
      <c r="VG34" s="126"/>
      <c r="VH34" s="126"/>
      <c r="VI34" s="126"/>
      <c r="VJ34" s="126"/>
      <c r="VK34" s="126"/>
      <c r="VL34" s="126"/>
      <c r="VM34" s="126"/>
      <c r="VN34" s="126"/>
      <c r="VO34" s="126"/>
      <c r="VP34" s="126"/>
      <c r="VQ34" s="126"/>
      <c r="VR34" s="126"/>
      <c r="VS34" s="126"/>
      <c r="VT34" s="126"/>
      <c r="VU34" s="126"/>
      <c r="VV34" s="126"/>
      <c r="VW34" s="126"/>
      <c r="VX34" s="126"/>
      <c r="VY34" s="126"/>
      <c r="VZ34" s="126"/>
      <c r="WA34" s="126"/>
      <c r="WB34" s="126"/>
      <c r="WC34" s="126"/>
      <c r="WD34" s="126"/>
      <c r="WE34" s="126"/>
      <c r="WF34" s="126"/>
      <c r="WG34" s="126"/>
      <c r="WH34" s="126"/>
      <c r="WI34" s="126"/>
      <c r="WJ34" s="126"/>
      <c r="WK34" s="126"/>
      <c r="WL34" s="126"/>
      <c r="WM34" s="126"/>
      <c r="WN34" s="126"/>
      <c r="WO34" s="126"/>
      <c r="WP34" s="126"/>
      <c r="WQ34" s="126"/>
      <c r="WR34" s="126"/>
      <c r="WS34" s="126"/>
      <c r="WT34" s="126"/>
      <c r="WU34" s="126"/>
      <c r="WV34" s="126"/>
      <c r="WW34" s="126"/>
      <c r="WX34" s="126"/>
      <c r="WY34" s="126"/>
      <c r="WZ34" s="126"/>
      <c r="XA34" s="126"/>
      <c r="XB34" s="126"/>
      <c r="XC34" s="126"/>
      <c r="XD34" s="126"/>
      <c r="XE34" s="126"/>
      <c r="XF34" s="126"/>
      <c r="XG34" s="126"/>
      <c r="XH34" s="126"/>
      <c r="XI34" s="126"/>
      <c r="XJ34" s="126"/>
      <c r="XK34" s="126"/>
      <c r="XL34" s="126"/>
      <c r="XM34" s="126"/>
      <c r="XN34" s="126"/>
      <c r="XO34" s="126"/>
      <c r="XP34" s="126"/>
      <c r="XQ34" s="126"/>
      <c r="XR34" s="126"/>
      <c r="XS34" s="126"/>
      <c r="XT34" s="126"/>
      <c r="XU34" s="126"/>
      <c r="XV34" s="126"/>
      <c r="XW34" s="126"/>
      <c r="XX34" s="126"/>
      <c r="XY34" s="126"/>
      <c r="XZ34" s="126"/>
      <c r="YA34" s="126"/>
      <c r="YB34" s="126"/>
      <c r="YC34" s="126"/>
      <c r="YD34" s="126"/>
      <c r="YE34" s="126"/>
      <c r="YF34" s="126"/>
      <c r="YG34" s="126"/>
      <c r="YH34" s="126"/>
      <c r="YI34" s="126"/>
      <c r="YJ34" s="126"/>
      <c r="YK34" s="126"/>
      <c r="YL34" s="126"/>
      <c r="YM34" s="126"/>
      <c r="YN34" s="126"/>
      <c r="YO34" s="126"/>
      <c r="YP34" s="126"/>
      <c r="YQ34" s="126"/>
      <c r="YR34" s="126"/>
      <c r="YS34" s="126"/>
      <c r="YT34" s="126"/>
      <c r="YU34" s="126"/>
      <c r="YV34" s="126"/>
      <c r="YW34" s="126"/>
      <c r="YX34" s="126"/>
      <c r="YY34" s="126"/>
      <c r="YZ34" s="126"/>
      <c r="ZA34" s="126"/>
      <c r="ZB34" s="126"/>
      <c r="ZC34" s="126"/>
      <c r="ZD34" s="126"/>
      <c r="ZE34" s="126"/>
      <c r="ZF34" s="126"/>
      <c r="ZG34" s="126"/>
      <c r="ZH34" s="126"/>
      <c r="ZI34" s="126"/>
      <c r="ZJ34" s="126"/>
      <c r="ZK34" s="126"/>
      <c r="ZL34" s="126"/>
      <c r="ZM34" s="126"/>
      <c r="ZN34" s="126"/>
      <c r="ZO34" s="126"/>
      <c r="ZP34" s="126"/>
      <c r="ZQ34" s="126"/>
      <c r="ZR34" s="126"/>
      <c r="ZS34" s="126"/>
      <c r="ZT34" s="126"/>
      <c r="ZU34" s="126"/>
      <c r="ZV34" s="126"/>
      <c r="ZW34" s="126"/>
      <c r="ZX34" s="126"/>
      <c r="ZY34" s="126"/>
      <c r="ZZ34" s="126"/>
      <c r="AAA34" s="126"/>
      <c r="AAB34" s="126"/>
      <c r="AAC34" s="126"/>
      <c r="AAD34" s="126"/>
      <c r="AAE34" s="126"/>
      <c r="AAF34" s="126"/>
      <c r="AAG34" s="126"/>
      <c r="AAH34" s="126"/>
      <c r="AAI34" s="126"/>
      <c r="AAJ34" s="126"/>
      <c r="AAK34" s="126"/>
      <c r="AAL34" s="126"/>
      <c r="AAM34" s="126"/>
      <c r="AAN34" s="126"/>
      <c r="AAO34" s="126"/>
      <c r="AAP34" s="126"/>
      <c r="AAQ34" s="126"/>
      <c r="AAR34" s="126"/>
      <c r="AAS34" s="126"/>
      <c r="AAT34" s="126"/>
      <c r="AAU34" s="126"/>
      <c r="AAV34" s="126"/>
      <c r="AAW34" s="126"/>
      <c r="AAX34" s="126"/>
      <c r="AAY34" s="126"/>
      <c r="AAZ34" s="126"/>
      <c r="ABA34" s="126"/>
      <c r="ABB34" s="126"/>
      <c r="ABC34" s="126"/>
      <c r="ABD34" s="126"/>
      <c r="ABE34" s="126"/>
      <c r="ABF34" s="126"/>
      <c r="ABG34" s="126"/>
      <c r="ABH34" s="126"/>
      <c r="ABI34" s="126"/>
      <c r="ABJ34" s="126"/>
      <c r="ABK34" s="126"/>
      <c r="ABL34" s="126"/>
      <c r="ABM34" s="126"/>
      <c r="ABN34" s="126"/>
      <c r="ABO34" s="126"/>
      <c r="ABP34" s="126"/>
      <c r="ABQ34" s="126"/>
      <c r="ABR34" s="126"/>
      <c r="ABS34" s="126"/>
      <c r="ABT34" s="126"/>
      <c r="ABU34" s="126"/>
      <c r="ABV34" s="126"/>
      <c r="ABW34" s="126"/>
      <c r="ABX34" s="126"/>
      <c r="ABY34" s="126"/>
      <c r="ABZ34" s="126"/>
      <c r="ACA34" s="126"/>
      <c r="ACB34" s="126"/>
      <c r="ACC34" s="126"/>
      <c r="ACD34" s="126"/>
      <c r="ACE34" s="126"/>
      <c r="ACF34" s="126"/>
      <c r="ACG34" s="126"/>
      <c r="ACH34" s="126"/>
      <c r="ACI34" s="126"/>
      <c r="ACJ34" s="126"/>
      <c r="ACK34" s="126"/>
      <c r="ACL34" s="126"/>
      <c r="ACM34" s="126"/>
      <c r="ACN34" s="126"/>
      <c r="ACO34" s="126"/>
      <c r="ACP34" s="126"/>
      <c r="ACQ34" s="126"/>
      <c r="ACR34" s="126"/>
      <c r="ACS34" s="126"/>
      <c r="ACT34" s="126"/>
      <c r="ACU34" s="126"/>
      <c r="ACV34" s="126"/>
      <c r="ACW34" s="126"/>
      <c r="ACX34" s="126"/>
      <c r="ACY34" s="126"/>
      <c r="ACZ34" s="126"/>
      <c r="ADA34" s="126"/>
      <c r="ADB34" s="126"/>
      <c r="ADC34" s="126"/>
      <c r="ADD34" s="126"/>
      <c r="ADE34" s="126"/>
      <c r="ADF34" s="126"/>
      <c r="ADG34" s="126"/>
      <c r="ADH34" s="126"/>
      <c r="ADI34" s="126"/>
      <c r="ADJ34" s="126"/>
      <c r="ADK34" s="126"/>
      <c r="ADL34" s="126"/>
      <c r="ADM34" s="126"/>
      <c r="ADN34" s="126"/>
      <c r="ADO34" s="126"/>
      <c r="ADP34" s="126"/>
      <c r="ADQ34" s="126"/>
      <c r="ADR34" s="126"/>
      <c r="ADS34" s="126"/>
      <c r="ADT34" s="126"/>
      <c r="ADU34" s="126"/>
      <c r="ADV34" s="126"/>
      <c r="ADW34" s="126"/>
      <c r="ADX34" s="126"/>
      <c r="ADY34" s="126"/>
      <c r="ADZ34" s="126"/>
      <c r="AEA34" s="126"/>
      <c r="AEB34" s="126"/>
      <c r="AEC34" s="126"/>
      <c r="AED34" s="126"/>
      <c r="AEE34" s="126"/>
      <c r="AEF34" s="126"/>
      <c r="AEG34" s="126"/>
      <c r="AEH34" s="126"/>
      <c r="AEI34" s="126"/>
      <c r="AEJ34" s="126"/>
      <c r="AEK34" s="126"/>
      <c r="AEL34" s="126"/>
      <c r="AEM34" s="126"/>
      <c r="AEN34" s="126"/>
      <c r="AEO34" s="126"/>
      <c r="AEP34" s="126"/>
      <c r="AEQ34" s="126"/>
      <c r="AER34" s="126"/>
      <c r="AES34" s="126"/>
      <c r="AET34" s="126"/>
      <c r="AEU34" s="126"/>
      <c r="AEV34" s="126"/>
      <c r="AEW34" s="126"/>
      <c r="AEX34" s="126"/>
      <c r="AEY34" s="126"/>
      <c r="AEZ34" s="126"/>
      <c r="AFA34" s="126"/>
      <c r="AFB34" s="126"/>
      <c r="AFC34" s="126"/>
      <c r="AFD34" s="126"/>
      <c r="AFE34" s="126"/>
      <c r="AFF34" s="126"/>
      <c r="AFG34" s="126"/>
      <c r="AFH34" s="126"/>
      <c r="AFI34" s="126"/>
      <c r="AFJ34" s="126"/>
      <c r="AFK34" s="126"/>
      <c r="AFL34" s="126"/>
      <c r="AFM34" s="126"/>
      <c r="AFN34" s="126"/>
      <c r="AFO34" s="126"/>
      <c r="AFP34" s="126"/>
      <c r="AFQ34" s="126"/>
      <c r="AFR34" s="126"/>
      <c r="AFS34" s="126"/>
      <c r="AFT34" s="126"/>
      <c r="AFU34" s="126"/>
      <c r="AFV34" s="126"/>
      <c r="AFW34" s="126"/>
      <c r="AFX34" s="126"/>
      <c r="AFY34" s="126"/>
      <c r="AFZ34" s="126"/>
      <c r="AGA34" s="126"/>
      <c r="AGB34" s="126"/>
      <c r="AGC34" s="126"/>
      <c r="AGD34" s="126"/>
      <c r="AGE34" s="126"/>
      <c r="AGF34" s="126"/>
      <c r="AGG34" s="126"/>
      <c r="AGH34" s="126"/>
      <c r="AGI34" s="126"/>
      <c r="AGJ34" s="126"/>
      <c r="AGK34" s="126"/>
      <c r="AGL34" s="126"/>
      <c r="AGM34" s="126"/>
      <c r="AGN34" s="126"/>
      <c r="AGO34" s="126"/>
      <c r="AGP34" s="126"/>
      <c r="AGQ34" s="126"/>
      <c r="AGR34" s="126"/>
      <c r="AGS34" s="126"/>
      <c r="AGT34" s="126"/>
      <c r="AGU34" s="126"/>
      <c r="AGV34" s="126"/>
      <c r="AGW34" s="126"/>
      <c r="AGX34" s="126"/>
      <c r="AGY34" s="126"/>
      <c r="AGZ34" s="126"/>
      <c r="AHA34" s="126"/>
      <c r="AHB34" s="126"/>
      <c r="AHC34" s="126"/>
      <c r="AHD34" s="126"/>
      <c r="AHE34" s="126"/>
      <c r="AHF34" s="126"/>
      <c r="AHG34" s="126"/>
      <c r="AHH34" s="126"/>
      <c r="AHI34" s="126"/>
      <c r="AHJ34" s="126"/>
      <c r="AHK34" s="126"/>
      <c r="AHL34" s="126"/>
      <c r="AHM34" s="126"/>
      <c r="AHN34" s="126"/>
      <c r="AHO34" s="126"/>
      <c r="AHP34" s="126"/>
      <c r="AHQ34" s="126"/>
      <c r="AHR34" s="126"/>
      <c r="AHS34" s="126"/>
      <c r="AHT34" s="126"/>
      <c r="AHU34" s="126"/>
      <c r="AHV34" s="126"/>
      <c r="AHW34" s="126"/>
      <c r="AHX34" s="126"/>
      <c r="AHY34" s="126"/>
      <c r="AHZ34" s="126"/>
      <c r="AIA34" s="126"/>
      <c r="AIB34" s="126"/>
      <c r="AIC34" s="126"/>
      <c r="AID34" s="126"/>
      <c r="AIE34" s="126"/>
      <c r="AIF34" s="126"/>
      <c r="AIG34" s="126"/>
      <c r="AIH34" s="126"/>
      <c r="AII34" s="126"/>
      <c r="AIJ34" s="126"/>
    </row>
    <row r="35" spans="1:920" x14ac:dyDescent="0.2">
      <c r="A35" s="93">
        <v>1</v>
      </c>
      <c r="B35" s="97"/>
      <c r="C35" s="9" t="str">
        <f>"    Working Capital"</f>
        <v xml:space="preserve">    Working Capital</v>
      </c>
      <c r="D35" s="21">
        <v>238648</v>
      </c>
      <c r="E35" s="21">
        <v>164847.5</v>
      </c>
      <c r="F35" s="21">
        <v>201185.5</v>
      </c>
      <c r="G35" s="21">
        <v>177452.75</v>
      </c>
      <c r="H35" s="21">
        <v>175938.75</v>
      </c>
      <c r="I35" s="102">
        <v>145985.5</v>
      </c>
      <c r="J35" s="12"/>
      <c r="K35" s="12"/>
      <c r="L35" s="12"/>
      <c r="M35" s="12"/>
      <c r="N35" s="12"/>
    </row>
    <row r="36" spans="1:920" x14ac:dyDescent="0.2">
      <c r="A36" s="93">
        <v>1</v>
      </c>
      <c r="B36" s="97"/>
      <c r="C36" s="11" t="str">
        <f>"Cash Flow"</f>
        <v>Cash Flow</v>
      </c>
      <c r="D36" s="28" t="s">
        <v>165</v>
      </c>
      <c r="E36" s="28"/>
      <c r="F36" s="28"/>
      <c r="G36" s="28"/>
      <c r="H36" s="28"/>
      <c r="I36" s="101"/>
      <c r="J36" s="12"/>
      <c r="K36" s="12"/>
      <c r="L36" s="12"/>
      <c r="M36" s="12"/>
      <c r="N36" s="12"/>
    </row>
    <row r="37" spans="1:920" x14ac:dyDescent="0.2">
      <c r="A37" s="93">
        <v>1</v>
      </c>
      <c r="B37" s="97"/>
      <c r="C37" s="9" t="str">
        <f>"    Cash Flow from Operating Activities, Indirect"</f>
        <v xml:space="preserve">    Cash Flow from Operating Activities, Indirect</v>
      </c>
      <c r="D37" s="21">
        <v>137814</v>
      </c>
      <c r="E37" s="21">
        <v>314059.25</v>
      </c>
      <c r="F37" s="21">
        <v>144957.75</v>
      </c>
      <c r="G37" s="21">
        <v>43622.5</v>
      </c>
      <c r="H37" s="21">
        <v>69827.75</v>
      </c>
      <c r="I37" s="102">
        <v>101984.5</v>
      </c>
      <c r="J37" s="12"/>
      <c r="K37" s="12"/>
      <c r="L37" s="12"/>
      <c r="M37" s="12"/>
      <c r="N37" s="12"/>
    </row>
    <row r="38" spans="1:920" x14ac:dyDescent="0.2">
      <c r="A38" s="93">
        <v>1</v>
      </c>
      <c r="B38" s="97"/>
      <c r="C38" s="9" t="str">
        <f>"    Cash Flow from Investing Activities"</f>
        <v xml:space="preserve">    Cash Flow from Investing Activities</v>
      </c>
      <c r="D38" s="21">
        <v>-24116</v>
      </c>
      <c r="E38" s="21">
        <v>-20861</v>
      </c>
      <c r="F38" s="21">
        <v>-18252.25</v>
      </c>
      <c r="G38" s="21">
        <v>-30898</v>
      </c>
      <c r="H38" s="21">
        <v>-39442</v>
      </c>
      <c r="I38" s="102">
        <v>-203052</v>
      </c>
      <c r="J38" s="12"/>
      <c r="K38" s="12"/>
      <c r="L38" s="12"/>
      <c r="M38" s="12"/>
      <c r="N38" s="12"/>
    </row>
    <row r="39" spans="1:920" x14ac:dyDescent="0.2">
      <c r="A39" s="93">
        <v>1</v>
      </c>
      <c r="B39" s="97"/>
      <c r="C39" s="9" t="str">
        <f>"    Cash Flow from Financing Activities"</f>
        <v xml:space="preserve">    Cash Flow from Financing Activities</v>
      </c>
      <c r="D39" s="21">
        <v>-105987</v>
      </c>
      <c r="E39" s="21">
        <v>-240407.5</v>
      </c>
      <c r="F39" s="21">
        <v>-91747.25</v>
      </c>
      <c r="G39" s="21">
        <v>-11962.5</v>
      </c>
      <c r="H39" s="21">
        <v>-50047.75</v>
      </c>
      <c r="I39" s="102">
        <v>11552</v>
      </c>
      <c r="J39" s="12"/>
      <c r="K39" s="12"/>
      <c r="L39" s="12"/>
      <c r="M39" s="12"/>
      <c r="N39" s="12"/>
    </row>
    <row r="40" spans="1:920" s="121" customFormat="1" x14ac:dyDescent="0.2">
      <c r="A40" s="114">
        <v>1</v>
      </c>
      <c r="B40" s="115"/>
      <c r="C40" s="116" t="str">
        <f>"    Change in Cash"</f>
        <v xml:space="preserve">    Change in Cash</v>
      </c>
      <c r="D40" s="117">
        <v>7711</v>
      </c>
      <c r="E40" s="117">
        <v>52790.75</v>
      </c>
      <c r="F40" s="117">
        <v>34958.25</v>
      </c>
      <c r="G40" s="117">
        <v>762</v>
      </c>
      <c r="H40" s="117">
        <v>-19662</v>
      </c>
      <c r="I40" s="118">
        <v>-89515.5</v>
      </c>
      <c r="J40" s="119"/>
      <c r="K40" s="119"/>
      <c r="L40" s="119"/>
      <c r="M40" s="119"/>
      <c r="N40" s="119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  <c r="DO40" s="120"/>
      <c r="DP40" s="120"/>
      <c r="DQ40" s="120"/>
      <c r="DR40" s="120"/>
      <c r="DS40" s="120"/>
      <c r="DT40" s="120"/>
      <c r="DU40" s="120"/>
      <c r="DV40" s="120"/>
      <c r="DW40" s="120"/>
      <c r="DX40" s="120"/>
      <c r="DY40" s="120"/>
      <c r="DZ40" s="120"/>
      <c r="EA40" s="120"/>
      <c r="EB40" s="120"/>
      <c r="EC40" s="120"/>
      <c r="ED40" s="120"/>
      <c r="EE40" s="120"/>
      <c r="EF40" s="120"/>
      <c r="EG40" s="120"/>
      <c r="EH40" s="120"/>
      <c r="EI40" s="120"/>
      <c r="EJ40" s="120"/>
      <c r="EK40" s="120"/>
      <c r="EL40" s="120"/>
      <c r="EM40" s="120"/>
      <c r="EN40" s="120"/>
      <c r="EO40" s="120"/>
      <c r="EP40" s="120"/>
      <c r="EQ40" s="120"/>
      <c r="ER40" s="120"/>
      <c r="ES40" s="120"/>
      <c r="ET40" s="120"/>
      <c r="EU40" s="120"/>
      <c r="EV40" s="120"/>
      <c r="EW40" s="120"/>
      <c r="EX40" s="120"/>
      <c r="EY40" s="120"/>
      <c r="EZ40" s="120"/>
      <c r="FA40" s="120"/>
      <c r="FB40" s="120"/>
      <c r="FC40" s="120"/>
      <c r="FD40" s="120"/>
      <c r="FE40" s="120"/>
      <c r="FF40" s="120"/>
      <c r="FG40" s="120"/>
      <c r="FH40" s="120"/>
      <c r="FI40" s="120"/>
      <c r="FJ40" s="120"/>
      <c r="FK40" s="120"/>
      <c r="FL40" s="120"/>
      <c r="FM40" s="120"/>
      <c r="FN40" s="120"/>
      <c r="FO40" s="120"/>
      <c r="FP40" s="120"/>
      <c r="FQ40" s="120"/>
      <c r="FR40" s="120"/>
      <c r="FS40" s="120"/>
      <c r="FT40" s="120"/>
      <c r="FU40" s="120"/>
      <c r="FV40" s="120"/>
      <c r="FW40" s="120"/>
      <c r="FX40" s="120"/>
      <c r="FY40" s="120"/>
      <c r="FZ40" s="120"/>
      <c r="GA40" s="120"/>
      <c r="GB40" s="120"/>
      <c r="GC40" s="120"/>
      <c r="GD40" s="120"/>
      <c r="GE40" s="120"/>
      <c r="GF40" s="120"/>
      <c r="GG40" s="120"/>
      <c r="GH40" s="120"/>
      <c r="GI40" s="120"/>
      <c r="GJ40" s="120"/>
      <c r="GK40" s="120"/>
      <c r="GL40" s="120"/>
      <c r="GM40" s="120"/>
      <c r="GN40" s="120"/>
      <c r="GO40" s="120"/>
      <c r="GP40" s="120"/>
      <c r="GQ40" s="120"/>
      <c r="GR40" s="120"/>
      <c r="GS40" s="120"/>
      <c r="GT40" s="120"/>
      <c r="GU40" s="120"/>
      <c r="GV40" s="120"/>
      <c r="GW40" s="120"/>
      <c r="GX40" s="120"/>
      <c r="GY40" s="120"/>
      <c r="GZ40" s="120"/>
      <c r="HA40" s="120"/>
      <c r="HB40" s="120"/>
      <c r="HC40" s="120"/>
      <c r="HD40" s="120"/>
      <c r="HE40" s="120"/>
      <c r="HF40" s="120"/>
      <c r="HG40" s="120"/>
      <c r="HH40" s="120"/>
      <c r="HI40" s="120"/>
      <c r="HJ40" s="120"/>
      <c r="HK40" s="120"/>
      <c r="HL40" s="120"/>
      <c r="HM40" s="120"/>
      <c r="HN40" s="120"/>
      <c r="HO40" s="120"/>
      <c r="HP40" s="120"/>
      <c r="HQ40" s="120"/>
      <c r="HR40" s="120"/>
      <c r="HS40" s="120"/>
      <c r="HT40" s="120"/>
      <c r="HU40" s="120"/>
      <c r="HV40" s="120"/>
      <c r="HW40" s="120"/>
      <c r="HX40" s="120"/>
      <c r="HY40" s="120"/>
      <c r="HZ40" s="120"/>
      <c r="IA40" s="120"/>
      <c r="IB40" s="120"/>
      <c r="IC40" s="120"/>
      <c r="ID40" s="120"/>
      <c r="IE40" s="120"/>
      <c r="IF40" s="120"/>
      <c r="IG40" s="120"/>
      <c r="IH40" s="120"/>
      <c r="II40" s="120"/>
      <c r="IJ40" s="120"/>
      <c r="IK40" s="120"/>
      <c r="IL40" s="120"/>
      <c r="IM40" s="120"/>
      <c r="IN40" s="120"/>
      <c r="IO40" s="120"/>
      <c r="IP40" s="120"/>
      <c r="IQ40" s="120"/>
      <c r="IR40" s="120"/>
      <c r="IS40" s="120"/>
      <c r="IT40" s="120"/>
      <c r="IU40" s="120"/>
      <c r="IV40" s="120"/>
      <c r="IW40" s="120"/>
      <c r="IX40" s="120"/>
      <c r="IY40" s="120"/>
      <c r="IZ40" s="120"/>
      <c r="JA40" s="120"/>
      <c r="JB40" s="120"/>
      <c r="JC40" s="120"/>
      <c r="JD40" s="120"/>
      <c r="JE40" s="120"/>
      <c r="JF40" s="120"/>
      <c r="JG40" s="120"/>
      <c r="JH40" s="120"/>
      <c r="JI40" s="120"/>
      <c r="JJ40" s="120"/>
      <c r="JK40" s="120"/>
      <c r="JL40" s="120"/>
      <c r="JM40" s="120"/>
      <c r="JN40" s="120"/>
      <c r="JO40" s="120"/>
      <c r="JP40" s="120"/>
      <c r="JQ40" s="120"/>
      <c r="JR40" s="120"/>
      <c r="JS40" s="120"/>
      <c r="JT40" s="120"/>
      <c r="JU40" s="120"/>
      <c r="JV40" s="120"/>
      <c r="JW40" s="120"/>
      <c r="JX40" s="120"/>
      <c r="JY40" s="120"/>
      <c r="JZ40" s="120"/>
      <c r="KA40" s="120"/>
      <c r="KB40" s="120"/>
      <c r="KC40" s="120"/>
      <c r="KD40" s="120"/>
      <c r="KE40" s="120"/>
      <c r="KF40" s="120"/>
      <c r="KG40" s="120"/>
      <c r="KH40" s="120"/>
      <c r="KI40" s="120"/>
      <c r="KJ40" s="120"/>
      <c r="KK40" s="120"/>
      <c r="KL40" s="120"/>
      <c r="KM40" s="120"/>
      <c r="KN40" s="120"/>
      <c r="KO40" s="120"/>
      <c r="KP40" s="120"/>
      <c r="KQ40" s="120"/>
      <c r="KR40" s="120"/>
      <c r="KS40" s="120"/>
      <c r="KT40" s="120"/>
      <c r="KU40" s="120"/>
      <c r="KV40" s="120"/>
      <c r="KW40" s="120"/>
      <c r="KX40" s="120"/>
      <c r="KY40" s="120"/>
      <c r="KZ40" s="120"/>
      <c r="LA40" s="120"/>
      <c r="LB40" s="120"/>
      <c r="LC40" s="120"/>
      <c r="LD40" s="120"/>
      <c r="LE40" s="120"/>
      <c r="LF40" s="120"/>
      <c r="LG40" s="120"/>
      <c r="LH40" s="120"/>
      <c r="LI40" s="120"/>
      <c r="LJ40" s="120"/>
      <c r="LK40" s="120"/>
      <c r="LL40" s="120"/>
      <c r="LM40" s="120"/>
      <c r="LN40" s="120"/>
      <c r="LO40" s="120"/>
      <c r="LP40" s="120"/>
      <c r="LQ40" s="120"/>
      <c r="LR40" s="120"/>
      <c r="LS40" s="120"/>
      <c r="LT40" s="120"/>
      <c r="LU40" s="120"/>
      <c r="LV40" s="120"/>
      <c r="LW40" s="120"/>
      <c r="LX40" s="120"/>
      <c r="LY40" s="120"/>
      <c r="LZ40" s="120"/>
      <c r="MA40" s="120"/>
      <c r="MB40" s="120"/>
      <c r="MC40" s="120"/>
      <c r="MD40" s="120"/>
      <c r="ME40" s="120"/>
      <c r="MF40" s="120"/>
      <c r="MG40" s="120"/>
      <c r="MH40" s="120"/>
      <c r="MI40" s="120"/>
      <c r="MJ40" s="120"/>
      <c r="MK40" s="120"/>
      <c r="ML40" s="120"/>
      <c r="MM40" s="120"/>
      <c r="MN40" s="120"/>
      <c r="MO40" s="120"/>
      <c r="MP40" s="120"/>
      <c r="MQ40" s="120"/>
      <c r="MR40" s="120"/>
      <c r="MS40" s="120"/>
      <c r="MT40" s="120"/>
      <c r="MU40" s="120"/>
      <c r="MV40" s="120"/>
      <c r="MW40" s="120"/>
      <c r="MX40" s="120"/>
      <c r="MY40" s="120"/>
      <c r="MZ40" s="120"/>
      <c r="NA40" s="120"/>
      <c r="NB40" s="120"/>
      <c r="NC40" s="120"/>
      <c r="ND40" s="120"/>
      <c r="NE40" s="120"/>
      <c r="NF40" s="120"/>
      <c r="NG40" s="120"/>
      <c r="NH40" s="120"/>
      <c r="NI40" s="120"/>
      <c r="NJ40" s="120"/>
      <c r="NK40" s="120"/>
      <c r="NL40" s="120"/>
      <c r="NM40" s="120"/>
      <c r="NN40" s="120"/>
      <c r="NO40" s="120"/>
      <c r="NP40" s="120"/>
      <c r="NQ40" s="120"/>
      <c r="NR40" s="120"/>
      <c r="NS40" s="120"/>
      <c r="NT40" s="120"/>
      <c r="NU40" s="120"/>
      <c r="NV40" s="120"/>
      <c r="NW40" s="120"/>
      <c r="NX40" s="120"/>
      <c r="NY40" s="120"/>
      <c r="NZ40" s="120"/>
      <c r="OA40" s="120"/>
      <c r="OB40" s="120"/>
      <c r="OC40" s="120"/>
      <c r="OD40" s="120"/>
      <c r="OE40" s="120"/>
      <c r="OF40" s="120"/>
      <c r="OG40" s="120"/>
      <c r="OH40" s="120"/>
      <c r="OI40" s="120"/>
      <c r="OJ40" s="120"/>
      <c r="OK40" s="120"/>
      <c r="OL40" s="120"/>
      <c r="OM40" s="120"/>
      <c r="ON40" s="120"/>
      <c r="OO40" s="120"/>
      <c r="OP40" s="120"/>
      <c r="OQ40" s="120"/>
      <c r="OR40" s="120"/>
      <c r="OS40" s="120"/>
      <c r="OT40" s="120"/>
      <c r="OU40" s="120"/>
      <c r="OV40" s="120"/>
      <c r="OW40" s="120"/>
      <c r="OX40" s="120"/>
      <c r="OY40" s="120"/>
      <c r="OZ40" s="120"/>
      <c r="PA40" s="120"/>
      <c r="PB40" s="120"/>
      <c r="PC40" s="120"/>
      <c r="PD40" s="120"/>
      <c r="PE40" s="120"/>
      <c r="PF40" s="120"/>
      <c r="PG40" s="120"/>
      <c r="PH40" s="120"/>
      <c r="PI40" s="120"/>
      <c r="PJ40" s="120"/>
      <c r="PK40" s="120"/>
      <c r="PL40" s="120"/>
      <c r="PM40" s="120"/>
      <c r="PN40" s="120"/>
      <c r="PO40" s="120"/>
      <c r="PP40" s="120"/>
      <c r="PQ40" s="120"/>
      <c r="PR40" s="120"/>
      <c r="PS40" s="120"/>
      <c r="PT40" s="120"/>
      <c r="PU40" s="120"/>
      <c r="PV40" s="120"/>
      <c r="PW40" s="120"/>
      <c r="PX40" s="120"/>
      <c r="PY40" s="120"/>
      <c r="PZ40" s="120"/>
      <c r="QA40" s="120"/>
      <c r="QB40" s="120"/>
      <c r="QC40" s="120"/>
      <c r="QD40" s="120"/>
      <c r="QE40" s="120"/>
      <c r="QF40" s="120"/>
      <c r="QG40" s="120"/>
      <c r="QH40" s="120"/>
      <c r="QI40" s="120"/>
      <c r="QJ40" s="120"/>
      <c r="QK40" s="120"/>
      <c r="QL40" s="120"/>
      <c r="QM40" s="120"/>
      <c r="QN40" s="120"/>
      <c r="QO40" s="120"/>
      <c r="QP40" s="120"/>
      <c r="QQ40" s="120"/>
      <c r="QR40" s="120"/>
      <c r="QS40" s="120"/>
      <c r="QT40" s="120"/>
      <c r="QU40" s="120"/>
      <c r="QV40" s="120"/>
      <c r="QW40" s="120"/>
      <c r="QX40" s="120"/>
      <c r="QY40" s="120"/>
      <c r="QZ40" s="120"/>
      <c r="RA40" s="120"/>
      <c r="RB40" s="120"/>
      <c r="RC40" s="120"/>
      <c r="RD40" s="120"/>
      <c r="RE40" s="120"/>
      <c r="RF40" s="120"/>
      <c r="RG40" s="120"/>
      <c r="RH40" s="120"/>
      <c r="RI40" s="120"/>
      <c r="RJ40" s="120"/>
      <c r="RK40" s="120"/>
      <c r="RL40" s="120"/>
      <c r="RM40" s="120"/>
      <c r="RN40" s="120"/>
      <c r="RO40" s="120"/>
      <c r="RP40" s="120"/>
      <c r="RQ40" s="120"/>
      <c r="RR40" s="120"/>
      <c r="RS40" s="120"/>
      <c r="RT40" s="120"/>
      <c r="RU40" s="120"/>
      <c r="RV40" s="120"/>
      <c r="RW40" s="120"/>
      <c r="RX40" s="120"/>
      <c r="RY40" s="120"/>
      <c r="RZ40" s="120"/>
      <c r="SA40" s="120"/>
      <c r="SB40" s="120"/>
      <c r="SC40" s="120"/>
      <c r="SD40" s="120"/>
      <c r="SE40" s="120"/>
      <c r="SF40" s="120"/>
      <c r="SG40" s="120"/>
      <c r="SH40" s="120"/>
      <c r="SI40" s="120"/>
      <c r="SJ40" s="120"/>
      <c r="SK40" s="120"/>
      <c r="SL40" s="120"/>
      <c r="SM40" s="120"/>
      <c r="SN40" s="120"/>
      <c r="SO40" s="120"/>
      <c r="SP40" s="120"/>
      <c r="SQ40" s="120"/>
      <c r="SR40" s="120"/>
      <c r="SS40" s="120"/>
      <c r="ST40" s="120"/>
      <c r="SU40" s="120"/>
      <c r="SV40" s="120"/>
      <c r="SW40" s="120"/>
      <c r="SX40" s="120"/>
      <c r="SY40" s="120"/>
      <c r="SZ40" s="120"/>
      <c r="TA40" s="120"/>
      <c r="TB40" s="120"/>
      <c r="TC40" s="120"/>
      <c r="TD40" s="120"/>
      <c r="TE40" s="120"/>
      <c r="TF40" s="120"/>
      <c r="TG40" s="120"/>
      <c r="TH40" s="120"/>
      <c r="TI40" s="120"/>
      <c r="TJ40" s="120"/>
      <c r="TK40" s="120"/>
      <c r="TL40" s="120"/>
      <c r="TM40" s="120"/>
      <c r="TN40" s="120"/>
      <c r="TO40" s="120"/>
      <c r="TP40" s="120"/>
      <c r="TQ40" s="120"/>
      <c r="TR40" s="120"/>
      <c r="TS40" s="120"/>
      <c r="TT40" s="120"/>
      <c r="TU40" s="120"/>
      <c r="TV40" s="120"/>
      <c r="TW40" s="120"/>
      <c r="TX40" s="120"/>
      <c r="TY40" s="120"/>
      <c r="TZ40" s="120"/>
      <c r="UA40" s="120"/>
      <c r="UB40" s="120"/>
      <c r="UC40" s="120"/>
      <c r="UD40" s="120"/>
      <c r="UE40" s="120"/>
      <c r="UF40" s="120"/>
      <c r="UG40" s="120"/>
      <c r="UH40" s="120"/>
      <c r="UI40" s="120"/>
      <c r="UJ40" s="120"/>
      <c r="UK40" s="120"/>
      <c r="UL40" s="120"/>
      <c r="UM40" s="120"/>
      <c r="UN40" s="120"/>
      <c r="UO40" s="120"/>
      <c r="UP40" s="120"/>
      <c r="UQ40" s="120"/>
      <c r="UR40" s="120"/>
      <c r="US40" s="120"/>
      <c r="UT40" s="120"/>
      <c r="UU40" s="120"/>
      <c r="UV40" s="120"/>
      <c r="UW40" s="120"/>
      <c r="UX40" s="120"/>
      <c r="UY40" s="120"/>
      <c r="UZ40" s="120"/>
      <c r="VA40" s="120"/>
      <c r="VB40" s="120"/>
      <c r="VC40" s="120"/>
      <c r="VD40" s="120"/>
      <c r="VE40" s="120"/>
      <c r="VF40" s="120"/>
      <c r="VG40" s="120"/>
      <c r="VH40" s="120"/>
      <c r="VI40" s="120"/>
      <c r="VJ40" s="120"/>
      <c r="VK40" s="120"/>
      <c r="VL40" s="120"/>
      <c r="VM40" s="120"/>
      <c r="VN40" s="120"/>
      <c r="VO40" s="120"/>
      <c r="VP40" s="120"/>
      <c r="VQ40" s="120"/>
      <c r="VR40" s="120"/>
      <c r="VS40" s="120"/>
      <c r="VT40" s="120"/>
      <c r="VU40" s="120"/>
      <c r="VV40" s="120"/>
      <c r="VW40" s="120"/>
      <c r="VX40" s="120"/>
      <c r="VY40" s="120"/>
      <c r="VZ40" s="120"/>
      <c r="WA40" s="120"/>
      <c r="WB40" s="120"/>
      <c r="WC40" s="120"/>
      <c r="WD40" s="120"/>
      <c r="WE40" s="120"/>
      <c r="WF40" s="120"/>
      <c r="WG40" s="120"/>
      <c r="WH40" s="120"/>
      <c r="WI40" s="120"/>
      <c r="WJ40" s="120"/>
      <c r="WK40" s="120"/>
      <c r="WL40" s="120"/>
      <c r="WM40" s="120"/>
      <c r="WN40" s="120"/>
      <c r="WO40" s="120"/>
      <c r="WP40" s="120"/>
      <c r="WQ40" s="120"/>
      <c r="WR40" s="120"/>
      <c r="WS40" s="120"/>
      <c r="WT40" s="120"/>
      <c r="WU40" s="120"/>
      <c r="WV40" s="120"/>
      <c r="WW40" s="120"/>
      <c r="WX40" s="120"/>
      <c r="WY40" s="120"/>
      <c r="WZ40" s="120"/>
      <c r="XA40" s="120"/>
      <c r="XB40" s="120"/>
      <c r="XC40" s="120"/>
      <c r="XD40" s="120"/>
      <c r="XE40" s="120"/>
      <c r="XF40" s="120"/>
      <c r="XG40" s="120"/>
      <c r="XH40" s="120"/>
      <c r="XI40" s="120"/>
      <c r="XJ40" s="120"/>
      <c r="XK40" s="120"/>
      <c r="XL40" s="120"/>
      <c r="XM40" s="120"/>
      <c r="XN40" s="120"/>
      <c r="XO40" s="120"/>
      <c r="XP40" s="120"/>
      <c r="XQ40" s="120"/>
      <c r="XR40" s="120"/>
      <c r="XS40" s="120"/>
      <c r="XT40" s="120"/>
      <c r="XU40" s="120"/>
      <c r="XV40" s="120"/>
      <c r="XW40" s="120"/>
      <c r="XX40" s="120"/>
      <c r="XY40" s="120"/>
      <c r="XZ40" s="120"/>
      <c r="YA40" s="120"/>
      <c r="YB40" s="120"/>
      <c r="YC40" s="120"/>
      <c r="YD40" s="120"/>
      <c r="YE40" s="120"/>
      <c r="YF40" s="120"/>
      <c r="YG40" s="120"/>
      <c r="YH40" s="120"/>
      <c r="YI40" s="120"/>
      <c r="YJ40" s="120"/>
      <c r="YK40" s="120"/>
      <c r="YL40" s="120"/>
      <c r="YM40" s="120"/>
      <c r="YN40" s="120"/>
      <c r="YO40" s="120"/>
      <c r="YP40" s="120"/>
      <c r="YQ40" s="120"/>
      <c r="YR40" s="120"/>
      <c r="YS40" s="120"/>
      <c r="YT40" s="120"/>
      <c r="YU40" s="120"/>
      <c r="YV40" s="120"/>
      <c r="YW40" s="120"/>
      <c r="YX40" s="120"/>
      <c r="YY40" s="120"/>
      <c r="YZ40" s="120"/>
      <c r="ZA40" s="120"/>
      <c r="ZB40" s="120"/>
      <c r="ZC40" s="120"/>
      <c r="ZD40" s="120"/>
      <c r="ZE40" s="120"/>
      <c r="ZF40" s="120"/>
      <c r="ZG40" s="120"/>
      <c r="ZH40" s="120"/>
      <c r="ZI40" s="120"/>
      <c r="ZJ40" s="120"/>
      <c r="ZK40" s="120"/>
      <c r="ZL40" s="120"/>
      <c r="ZM40" s="120"/>
      <c r="ZN40" s="120"/>
      <c r="ZO40" s="120"/>
      <c r="ZP40" s="120"/>
      <c r="ZQ40" s="120"/>
      <c r="ZR40" s="120"/>
      <c r="ZS40" s="120"/>
      <c r="ZT40" s="120"/>
      <c r="ZU40" s="120"/>
      <c r="ZV40" s="120"/>
      <c r="ZW40" s="120"/>
      <c r="ZX40" s="120"/>
      <c r="ZY40" s="120"/>
      <c r="ZZ40" s="120"/>
      <c r="AAA40" s="120"/>
      <c r="AAB40" s="120"/>
      <c r="AAC40" s="120"/>
      <c r="AAD40" s="120"/>
      <c r="AAE40" s="120"/>
      <c r="AAF40" s="120"/>
      <c r="AAG40" s="120"/>
      <c r="AAH40" s="120"/>
      <c r="AAI40" s="120"/>
      <c r="AAJ40" s="120"/>
      <c r="AAK40" s="120"/>
      <c r="AAL40" s="120"/>
      <c r="AAM40" s="120"/>
      <c r="AAN40" s="120"/>
      <c r="AAO40" s="120"/>
      <c r="AAP40" s="120"/>
      <c r="AAQ40" s="120"/>
      <c r="AAR40" s="120"/>
      <c r="AAS40" s="120"/>
      <c r="AAT40" s="120"/>
      <c r="AAU40" s="120"/>
      <c r="AAV40" s="120"/>
      <c r="AAW40" s="120"/>
      <c r="AAX40" s="120"/>
      <c r="AAY40" s="120"/>
      <c r="AAZ40" s="120"/>
      <c r="ABA40" s="120"/>
      <c r="ABB40" s="120"/>
      <c r="ABC40" s="120"/>
      <c r="ABD40" s="120"/>
      <c r="ABE40" s="120"/>
      <c r="ABF40" s="120"/>
      <c r="ABG40" s="120"/>
      <c r="ABH40" s="120"/>
      <c r="ABI40" s="120"/>
      <c r="ABJ40" s="120"/>
      <c r="ABK40" s="120"/>
      <c r="ABL40" s="120"/>
      <c r="ABM40" s="120"/>
      <c r="ABN40" s="120"/>
      <c r="ABO40" s="120"/>
      <c r="ABP40" s="120"/>
      <c r="ABQ40" s="120"/>
      <c r="ABR40" s="120"/>
      <c r="ABS40" s="120"/>
      <c r="ABT40" s="120"/>
      <c r="ABU40" s="120"/>
      <c r="ABV40" s="120"/>
      <c r="ABW40" s="120"/>
      <c r="ABX40" s="120"/>
      <c r="ABY40" s="120"/>
      <c r="ABZ40" s="120"/>
      <c r="ACA40" s="120"/>
      <c r="ACB40" s="120"/>
      <c r="ACC40" s="120"/>
      <c r="ACD40" s="120"/>
      <c r="ACE40" s="120"/>
      <c r="ACF40" s="120"/>
      <c r="ACG40" s="120"/>
      <c r="ACH40" s="120"/>
      <c r="ACI40" s="120"/>
      <c r="ACJ40" s="120"/>
      <c r="ACK40" s="120"/>
      <c r="ACL40" s="120"/>
      <c r="ACM40" s="120"/>
      <c r="ACN40" s="120"/>
      <c r="ACO40" s="120"/>
      <c r="ACP40" s="120"/>
      <c r="ACQ40" s="120"/>
      <c r="ACR40" s="120"/>
      <c r="ACS40" s="120"/>
      <c r="ACT40" s="120"/>
      <c r="ACU40" s="120"/>
      <c r="ACV40" s="120"/>
      <c r="ACW40" s="120"/>
      <c r="ACX40" s="120"/>
      <c r="ACY40" s="120"/>
      <c r="ACZ40" s="120"/>
      <c r="ADA40" s="120"/>
      <c r="ADB40" s="120"/>
      <c r="ADC40" s="120"/>
      <c r="ADD40" s="120"/>
      <c r="ADE40" s="120"/>
      <c r="ADF40" s="120"/>
      <c r="ADG40" s="120"/>
      <c r="ADH40" s="120"/>
      <c r="ADI40" s="120"/>
      <c r="ADJ40" s="120"/>
      <c r="ADK40" s="120"/>
      <c r="ADL40" s="120"/>
      <c r="ADM40" s="120"/>
      <c r="ADN40" s="120"/>
      <c r="ADO40" s="120"/>
      <c r="ADP40" s="120"/>
      <c r="ADQ40" s="120"/>
      <c r="ADR40" s="120"/>
      <c r="ADS40" s="120"/>
      <c r="ADT40" s="120"/>
      <c r="ADU40" s="120"/>
      <c r="ADV40" s="120"/>
      <c r="ADW40" s="120"/>
      <c r="ADX40" s="120"/>
      <c r="ADY40" s="120"/>
      <c r="ADZ40" s="120"/>
      <c r="AEA40" s="120"/>
      <c r="AEB40" s="120"/>
      <c r="AEC40" s="120"/>
      <c r="AED40" s="120"/>
      <c r="AEE40" s="120"/>
      <c r="AEF40" s="120"/>
      <c r="AEG40" s="120"/>
      <c r="AEH40" s="120"/>
      <c r="AEI40" s="120"/>
      <c r="AEJ40" s="120"/>
      <c r="AEK40" s="120"/>
      <c r="AEL40" s="120"/>
      <c r="AEM40" s="120"/>
      <c r="AEN40" s="120"/>
      <c r="AEO40" s="120"/>
      <c r="AEP40" s="120"/>
      <c r="AEQ40" s="120"/>
      <c r="AER40" s="120"/>
      <c r="AES40" s="120"/>
      <c r="AET40" s="120"/>
      <c r="AEU40" s="120"/>
      <c r="AEV40" s="120"/>
      <c r="AEW40" s="120"/>
      <c r="AEX40" s="120"/>
      <c r="AEY40" s="120"/>
      <c r="AEZ40" s="120"/>
      <c r="AFA40" s="120"/>
      <c r="AFB40" s="120"/>
      <c r="AFC40" s="120"/>
      <c r="AFD40" s="120"/>
      <c r="AFE40" s="120"/>
      <c r="AFF40" s="120"/>
      <c r="AFG40" s="120"/>
      <c r="AFH40" s="120"/>
      <c r="AFI40" s="120"/>
      <c r="AFJ40" s="120"/>
      <c r="AFK40" s="120"/>
      <c r="AFL40" s="120"/>
      <c r="AFM40" s="120"/>
      <c r="AFN40" s="120"/>
      <c r="AFO40" s="120"/>
      <c r="AFP40" s="120"/>
      <c r="AFQ40" s="120"/>
      <c r="AFR40" s="120"/>
      <c r="AFS40" s="120"/>
      <c r="AFT40" s="120"/>
      <c r="AFU40" s="120"/>
      <c r="AFV40" s="120"/>
      <c r="AFW40" s="120"/>
      <c r="AFX40" s="120"/>
      <c r="AFY40" s="120"/>
      <c r="AFZ40" s="120"/>
      <c r="AGA40" s="120"/>
      <c r="AGB40" s="120"/>
      <c r="AGC40" s="120"/>
      <c r="AGD40" s="120"/>
      <c r="AGE40" s="120"/>
      <c r="AGF40" s="120"/>
      <c r="AGG40" s="120"/>
      <c r="AGH40" s="120"/>
      <c r="AGI40" s="120"/>
      <c r="AGJ40" s="120"/>
      <c r="AGK40" s="120"/>
      <c r="AGL40" s="120"/>
      <c r="AGM40" s="120"/>
      <c r="AGN40" s="120"/>
      <c r="AGO40" s="120"/>
      <c r="AGP40" s="120"/>
      <c r="AGQ40" s="120"/>
      <c r="AGR40" s="120"/>
      <c r="AGS40" s="120"/>
      <c r="AGT40" s="120"/>
      <c r="AGU40" s="120"/>
      <c r="AGV40" s="120"/>
      <c r="AGW40" s="120"/>
      <c r="AGX40" s="120"/>
      <c r="AGY40" s="120"/>
      <c r="AGZ40" s="120"/>
      <c r="AHA40" s="120"/>
      <c r="AHB40" s="120"/>
      <c r="AHC40" s="120"/>
      <c r="AHD40" s="120"/>
      <c r="AHE40" s="120"/>
      <c r="AHF40" s="120"/>
      <c r="AHG40" s="120"/>
      <c r="AHH40" s="120"/>
      <c r="AHI40" s="120"/>
      <c r="AHJ40" s="120"/>
      <c r="AHK40" s="120"/>
      <c r="AHL40" s="120"/>
      <c r="AHM40" s="120"/>
      <c r="AHN40" s="120"/>
      <c r="AHO40" s="120"/>
      <c r="AHP40" s="120"/>
      <c r="AHQ40" s="120"/>
      <c r="AHR40" s="120"/>
      <c r="AHS40" s="120"/>
      <c r="AHT40" s="120"/>
      <c r="AHU40" s="120"/>
      <c r="AHV40" s="120"/>
      <c r="AHW40" s="120"/>
      <c r="AHX40" s="120"/>
      <c r="AHY40" s="120"/>
      <c r="AHZ40" s="120"/>
      <c r="AIA40" s="120"/>
      <c r="AIB40" s="120"/>
      <c r="AIC40" s="120"/>
      <c r="AID40" s="120"/>
      <c r="AIE40" s="120"/>
      <c r="AIF40" s="120"/>
      <c r="AIG40" s="120"/>
      <c r="AIH40" s="120"/>
      <c r="AII40" s="120"/>
      <c r="AIJ40" s="120"/>
    </row>
    <row r="41" spans="1:920" x14ac:dyDescent="0.2">
      <c r="A41" s="93">
        <v>1</v>
      </c>
      <c r="B41" s="97"/>
      <c r="C41" s="9" t="str">
        <f>"    Capital Expenditure (Calc)"</f>
        <v xml:space="preserve">    Capital Expenditure (Calc)</v>
      </c>
      <c r="D41" s="21">
        <v>24255</v>
      </c>
      <c r="E41" s="21">
        <v>20784</v>
      </c>
      <c r="F41" s="21">
        <v>15949.75</v>
      </c>
      <c r="G41" s="21">
        <v>27449.25</v>
      </c>
      <c r="H41" s="21">
        <v>22388.25</v>
      </c>
      <c r="I41" s="102">
        <v>29751</v>
      </c>
      <c r="J41" s="12"/>
      <c r="K41" s="12"/>
      <c r="L41" s="12"/>
      <c r="M41" s="12"/>
      <c r="N41" s="12"/>
    </row>
    <row r="42" spans="1:920" x14ac:dyDescent="0.2">
      <c r="A42" s="93">
        <v>1</v>
      </c>
      <c r="B42" s="97"/>
      <c r="C42" s="9" t="str">
        <f>"    Issuance of/(Payments for) Common Stock, Net"</f>
        <v xml:space="preserve">    Issuance of/(Payments for) Common Stock, Net</v>
      </c>
      <c r="D42" s="21">
        <v>-90000</v>
      </c>
      <c r="E42" s="21">
        <v>-115000</v>
      </c>
      <c r="F42" s="21">
        <v>0</v>
      </c>
      <c r="G42" s="21">
        <v>0</v>
      </c>
      <c r="H42" s="21" t="e">
        <v>#DIV/0!</v>
      </c>
      <c r="I42" s="102">
        <v>-50052</v>
      </c>
      <c r="J42" s="12"/>
      <c r="K42" s="12"/>
      <c r="L42" s="12"/>
      <c r="M42" s="12"/>
      <c r="N42" s="12"/>
    </row>
    <row r="43" spans="1:920" x14ac:dyDescent="0.2">
      <c r="A43" s="93">
        <v>1</v>
      </c>
      <c r="B43" s="97"/>
      <c r="C43" s="9" t="str">
        <f>"    Cash Dividends Paid"</f>
        <v xml:space="preserve">    Cash Dividends Paid</v>
      </c>
      <c r="D43" s="21">
        <v>-15035</v>
      </c>
      <c r="E43" s="21">
        <v>-9751</v>
      </c>
      <c r="F43" s="21">
        <v>-1397.5</v>
      </c>
      <c r="G43" s="21">
        <v>0</v>
      </c>
      <c r="H43" s="21" t="e">
        <v>#DIV/0!</v>
      </c>
      <c r="I43" s="102" t="e">
        <v>#DIV/0!</v>
      </c>
      <c r="J43" s="12"/>
      <c r="K43" s="12"/>
      <c r="L43" s="12"/>
      <c r="M43" s="12"/>
      <c r="N43" s="12"/>
    </row>
    <row r="44" spans="1:920" x14ac:dyDescent="0.2">
      <c r="A44" s="93">
        <v>1</v>
      </c>
      <c r="B44" s="97"/>
      <c r="C44" s="9" t="str">
        <f>"    Cash and Cash Equivalents, Beginning of Period"</f>
        <v xml:space="preserve">    Cash and Cash Equivalents, Beginning of Period</v>
      </c>
      <c r="D44" s="21">
        <v>113017</v>
      </c>
      <c r="E44" s="21">
        <v>73083.5</v>
      </c>
      <c r="F44" s="21">
        <v>38118.5</v>
      </c>
      <c r="G44" s="21">
        <v>37221.5</v>
      </c>
      <c r="H44" s="21">
        <v>56836.25</v>
      </c>
      <c r="I44" s="102">
        <v>146351.75</v>
      </c>
      <c r="J44" s="12"/>
      <c r="K44" s="12"/>
      <c r="L44" s="12"/>
      <c r="M44" s="12"/>
      <c r="N44" s="12"/>
    </row>
    <row r="45" spans="1:920" x14ac:dyDescent="0.2">
      <c r="A45" s="93">
        <v>1</v>
      </c>
      <c r="B45" s="97"/>
      <c r="C45" s="9" t="str">
        <f>"    Cash and Cash Equivalents, End of Period"</f>
        <v xml:space="preserve">    Cash and Cash Equivalents, End of Period</v>
      </c>
      <c r="D45" s="21">
        <v>120728</v>
      </c>
      <c r="E45" s="21">
        <v>125874.25</v>
      </c>
      <c r="F45" s="21">
        <v>73083.5</v>
      </c>
      <c r="G45" s="21">
        <v>38118.5</v>
      </c>
      <c r="H45" s="21">
        <v>37174.25</v>
      </c>
      <c r="I45" s="102">
        <v>56836.25</v>
      </c>
      <c r="J45" s="12"/>
      <c r="K45" s="12"/>
      <c r="L45" s="12"/>
      <c r="M45" s="12"/>
      <c r="N45" s="12"/>
    </row>
    <row r="46" spans="1:920" x14ac:dyDescent="0.2">
      <c r="A46" s="93">
        <v>1</v>
      </c>
      <c r="B46" s="97"/>
      <c r="C46" s="11" t="str">
        <f>"Ratios"</f>
        <v>Ratios</v>
      </c>
      <c r="D46" s="28" t="s">
        <v>165</v>
      </c>
      <c r="E46" s="28"/>
      <c r="F46" s="28"/>
      <c r="G46" s="28"/>
      <c r="H46" s="28"/>
      <c r="I46" s="101"/>
      <c r="J46" s="12"/>
      <c r="K46" s="12"/>
      <c r="L46" s="12"/>
      <c r="M46" s="12"/>
      <c r="N46" s="12"/>
    </row>
    <row r="47" spans="1:920" x14ac:dyDescent="0.2">
      <c r="A47" s="93">
        <v>1</v>
      </c>
      <c r="B47" s="97"/>
      <c r="C47" s="9" t="str">
        <f>"    EBITDA Margin"</f>
        <v xml:space="preserve">    EBITDA Margin</v>
      </c>
      <c r="D47" s="24">
        <v>0.32868007674806682</v>
      </c>
      <c r="E47" s="92">
        <v>0.33577832752533199</v>
      </c>
      <c r="F47" s="92">
        <v>0.1872216265465661</v>
      </c>
      <c r="G47" s="92">
        <v>0.1393848358830275</v>
      </c>
      <c r="H47" s="92">
        <v>0.15231651956763059</v>
      </c>
      <c r="I47" s="104">
        <v>0.25401852098316274</v>
      </c>
      <c r="J47" s="12"/>
      <c r="K47" s="12"/>
      <c r="L47" s="12"/>
      <c r="M47" s="12"/>
      <c r="N47" s="12"/>
    </row>
    <row r="48" spans="1:920" x14ac:dyDescent="0.2">
      <c r="A48" s="93">
        <v>1</v>
      </c>
      <c r="B48" s="97"/>
      <c r="C48" s="9" t="str">
        <f>"    Revenue % Growth"</f>
        <v xml:space="preserve">    Revenue % Growth</v>
      </c>
      <c r="D48" s="24">
        <v>-0.18416722133318231</v>
      </c>
      <c r="E48" s="92">
        <v>0.90899418432398793</v>
      </c>
      <c r="F48" s="92">
        <v>0.28349590200470987</v>
      </c>
      <c r="G48" s="92">
        <v>-0.21904458960690903</v>
      </c>
      <c r="H48" s="92">
        <v>-0.24699232184784647</v>
      </c>
      <c r="I48" s="104">
        <v>0.11599448827047013</v>
      </c>
      <c r="J48" s="12"/>
      <c r="K48" s="12"/>
      <c r="L48" s="12"/>
      <c r="M48" s="12"/>
      <c r="N48" s="12"/>
    </row>
    <row r="49" spans="1:14" x14ac:dyDescent="0.2">
      <c r="A49" s="93">
        <v>1</v>
      </c>
      <c r="B49" s="97"/>
      <c r="C49" s="9" t="str">
        <f>"    EBITDA % Growth"</f>
        <v xml:space="preserve">    EBITDA % Growth</v>
      </c>
      <c r="D49" s="24">
        <v>-0.19645277104275183</v>
      </c>
      <c r="E49" s="92">
        <v>2.5708729753979802</v>
      </c>
      <c r="F49" s="92">
        <v>0.943009457654852</v>
      </c>
      <c r="G49" s="92">
        <v>-0.27419351245521506</v>
      </c>
      <c r="H49" s="92">
        <v>-0.53355453521119178</v>
      </c>
      <c r="I49" s="104">
        <v>4.8343127509419187E-2</v>
      </c>
      <c r="J49" s="12"/>
      <c r="K49" s="12"/>
      <c r="L49" s="12"/>
      <c r="M49" s="12"/>
      <c r="N49" s="12"/>
    </row>
    <row r="50" spans="1:14" x14ac:dyDescent="0.2">
      <c r="A50" s="93">
        <v>1</v>
      </c>
      <c r="B50" s="97"/>
      <c r="C50" s="9" t="str">
        <f>"    EBIT % Growth"</f>
        <v xml:space="preserve">    EBIT % Growth</v>
      </c>
      <c r="D50" s="24">
        <v>-0.20927725516024409</v>
      </c>
      <c r="E50" s="92">
        <v>3.4824244135484301</v>
      </c>
      <c r="F50" s="92">
        <v>1.7309988606071611</v>
      </c>
      <c r="G50" s="92">
        <v>-0.10811153580035598</v>
      </c>
      <c r="H50" s="92">
        <v>-0.70358672566471037</v>
      </c>
      <c r="I50" s="104">
        <v>1.5138212616047891E-2</v>
      </c>
      <c r="J50" s="12"/>
      <c r="K50" s="12"/>
      <c r="L50" s="12"/>
      <c r="M50" s="12"/>
      <c r="N50" s="12"/>
    </row>
    <row r="51" spans="1:14" x14ac:dyDescent="0.2">
      <c r="A51" s="93">
        <v>1</v>
      </c>
      <c r="B51" s="97"/>
      <c r="C51" s="9" t="str">
        <f>"    Net Income from Continuing Operations Sequential % Growth"</f>
        <v xml:space="preserve">    Net Income from Continuing Operations Sequential % Growth</v>
      </c>
      <c r="D51" s="24">
        <v>-0.21337426340035026</v>
      </c>
      <c r="E51" s="92">
        <v>0.25635909115339545</v>
      </c>
      <c r="F51" s="92">
        <v>0.78782732129773203</v>
      </c>
      <c r="G51" s="92">
        <v>-0.1261703066178744</v>
      </c>
      <c r="H51" s="92">
        <v>-6.0190570313259167E-2</v>
      </c>
      <c r="I51" s="104">
        <v>-0.16669502480922987</v>
      </c>
      <c r="J51" s="12"/>
      <c r="K51" s="12"/>
      <c r="L51" s="12"/>
      <c r="M51" s="12"/>
      <c r="N51" s="12"/>
    </row>
    <row r="52" spans="1:14" x14ac:dyDescent="0.2">
      <c r="A52" s="93">
        <v>1</v>
      </c>
      <c r="B52" s="97"/>
      <c r="C52" s="9" t="str">
        <f>"    Net Income Available to Common Stockholders Sequential % Growth"</f>
        <v xml:space="preserve">    Net Income Available to Common Stockholders Sequential % Growth</v>
      </c>
      <c r="D52" s="24">
        <v>-0.21383213080296692</v>
      </c>
      <c r="E52" s="92">
        <v>0.77984919838429423</v>
      </c>
      <c r="F52" s="92">
        <v>3.4884287454323992</v>
      </c>
      <c r="G52" s="92">
        <v>-0.38263218041076691</v>
      </c>
      <c r="H52" s="92">
        <v>-6.0190570313259167E-2</v>
      </c>
      <c r="I52" s="104">
        <v>-0.16669502480922987</v>
      </c>
      <c r="J52" s="12"/>
      <c r="K52" s="12"/>
      <c r="L52" s="12"/>
      <c r="M52" s="12"/>
      <c r="N52" s="12"/>
    </row>
    <row r="53" spans="1:14" x14ac:dyDescent="0.2">
      <c r="A53" s="93">
        <v>1</v>
      </c>
      <c r="B53" s="97"/>
      <c r="C53" s="9" t="str">
        <f>"    Current Ratio"</f>
        <v xml:space="preserve">    Current Ratio</v>
      </c>
      <c r="D53" s="23">
        <v>3.6829756377249883</v>
      </c>
      <c r="E53" s="22">
        <v>2.391817276481782</v>
      </c>
      <c r="F53" s="22">
        <v>2.705171439105583</v>
      </c>
      <c r="G53" s="22">
        <v>2.3916247041287626</v>
      </c>
      <c r="H53" s="22">
        <v>2.8214347022095518</v>
      </c>
      <c r="I53" s="103">
        <v>1.8998646541887645</v>
      </c>
      <c r="J53" s="12"/>
      <c r="K53" s="12"/>
      <c r="L53" s="12"/>
      <c r="M53" s="12"/>
      <c r="N53" s="12"/>
    </row>
    <row r="54" spans="1:14" x14ac:dyDescent="0.2">
      <c r="A54" s="93">
        <v>1</v>
      </c>
      <c r="B54" s="97"/>
      <c r="C54" s="9" t="str">
        <f>"    Quick Ratio"</f>
        <v xml:space="preserve">    Quick Ratio</v>
      </c>
      <c r="D54" s="23">
        <v>2.0839807080461838</v>
      </c>
      <c r="E54" s="22">
        <v>1.518957499335666</v>
      </c>
      <c r="F54" s="22">
        <v>1.306313506979101</v>
      </c>
      <c r="G54" s="22">
        <v>0.94211792222061974</v>
      </c>
      <c r="H54" s="22">
        <v>1.037351458289488</v>
      </c>
      <c r="I54" s="103">
        <v>0.94779417991720305</v>
      </c>
      <c r="J54" s="12"/>
      <c r="K54" s="12"/>
      <c r="L54" s="12"/>
      <c r="M54" s="12"/>
      <c r="N54" s="12"/>
    </row>
    <row r="55" spans="1:14" x14ac:dyDescent="0.2">
      <c r="A55" s="93">
        <v>1</v>
      </c>
      <c r="B55" s="97"/>
      <c r="C55" s="9" t="str">
        <f>"    Debt to Equity"</f>
        <v xml:space="preserve">    Debt to Equity</v>
      </c>
      <c r="D55" s="23">
        <v>0.1043732004859728</v>
      </c>
      <c r="E55" s="22">
        <v>0.13700298140853853</v>
      </c>
      <c r="F55" s="22">
        <v>0.34121910676068479</v>
      </c>
      <c r="G55" s="22">
        <v>0.41102594877140608</v>
      </c>
      <c r="H55" s="22">
        <v>0.49479692029550437</v>
      </c>
      <c r="I55" s="103">
        <v>0.46497251034837195</v>
      </c>
      <c r="J55" s="12"/>
      <c r="K55" s="12"/>
      <c r="L55" s="12"/>
      <c r="M55" s="12"/>
      <c r="N55" s="12"/>
    </row>
    <row r="56" spans="1:14" x14ac:dyDescent="0.2">
      <c r="A56" s="93">
        <v>1</v>
      </c>
      <c r="B56" s="97"/>
      <c r="C56" s="9" t="str">
        <f>"    Total Debt to Equity"</f>
        <v xml:space="preserve">    Total Debt to Equity</v>
      </c>
      <c r="D56" s="23">
        <v>0.11173213800296243</v>
      </c>
      <c r="E56" s="22">
        <v>0.145585723856583</v>
      </c>
      <c r="F56" s="22">
        <v>0.34954188702843147</v>
      </c>
      <c r="G56" s="22">
        <v>0.50773091662915693</v>
      </c>
      <c r="H56" s="22">
        <v>0.51008591374058621</v>
      </c>
      <c r="I56" s="103">
        <v>0.57700526131935037</v>
      </c>
      <c r="J56" s="12"/>
      <c r="K56" s="12"/>
      <c r="L56" s="12"/>
      <c r="M56" s="12"/>
      <c r="N56" s="12"/>
    </row>
    <row r="57" spans="1:14" x14ac:dyDescent="0.2">
      <c r="A57" s="93">
        <v>1</v>
      </c>
      <c r="B57" s="97"/>
      <c r="C57" s="9" t="str">
        <f>"    Total Asset Turnover"</f>
        <v xml:space="preserve">    Total Asset Turnover</v>
      </c>
      <c r="D57" s="23">
        <v>1.7920377932115727</v>
      </c>
      <c r="E57" s="22">
        <v>2.0649680070494756</v>
      </c>
      <c r="F57" s="22">
        <v>0.79648290418832846</v>
      </c>
      <c r="G57" s="22">
        <v>0.64726880139175524</v>
      </c>
      <c r="H57" s="22">
        <v>0.81549071178650689</v>
      </c>
      <c r="I57" s="103">
        <v>1.1768421118481989</v>
      </c>
      <c r="J57" s="12"/>
      <c r="K57" s="12"/>
      <c r="L57" s="12"/>
      <c r="M57" s="12"/>
      <c r="N57" s="12"/>
    </row>
    <row r="58" spans="1:14" x14ac:dyDescent="0.2">
      <c r="A58" s="93">
        <v>1</v>
      </c>
      <c r="B58" s="97"/>
      <c r="C58" s="9" t="str">
        <f>"    Normalized Return on Equity"</f>
        <v xml:space="preserve">    Normalized Return on Equity</v>
      </c>
      <c r="D58" s="24">
        <v>0.63326764795132784</v>
      </c>
      <c r="E58" s="92">
        <v>0.83589066099730647</v>
      </c>
      <c r="F58" s="92">
        <v>0.17126759503440067</v>
      </c>
      <c r="G58" s="92">
        <v>9.0606641316424888E-2</v>
      </c>
      <c r="H58" s="92">
        <v>8.9163997714952703E-2</v>
      </c>
      <c r="I58" s="104">
        <v>0.33236401030039048</v>
      </c>
      <c r="J58" s="12"/>
      <c r="K58" s="12"/>
      <c r="L58" s="12"/>
      <c r="M58" s="12"/>
      <c r="N58" s="12"/>
    </row>
    <row r="59" spans="1:14" x14ac:dyDescent="0.2">
      <c r="A59" s="93">
        <v>1</v>
      </c>
      <c r="B59" s="97"/>
      <c r="C59" s="9" t="str">
        <f>"    Normalized Return on Assets"</f>
        <v xml:space="preserve">    Normalized Return on Assets</v>
      </c>
      <c r="D59" s="24">
        <v>0.42066308173113814</v>
      </c>
      <c r="E59" s="92">
        <v>0.5022832237396645</v>
      </c>
      <c r="F59" s="92">
        <v>9.7650101500513065E-2</v>
      </c>
      <c r="G59" s="92">
        <v>5.1499938825865128E-2</v>
      </c>
      <c r="H59" s="92">
        <v>4.7192107093983887E-2</v>
      </c>
      <c r="I59" s="104">
        <v>0.17133702789982042</v>
      </c>
      <c r="J59" s="12"/>
      <c r="K59" s="12"/>
      <c r="L59" s="12"/>
      <c r="M59" s="12"/>
      <c r="N59" s="12"/>
    </row>
    <row r="60" spans="1:14" x14ac:dyDescent="0.2">
      <c r="A60" s="93">
        <v>1</v>
      </c>
      <c r="B60" s="97"/>
      <c r="C60" s="9" t="str">
        <f>"    Normalized Return on Invested Capital"</f>
        <v xml:space="preserve">    Normalized Return on Invested Capital</v>
      </c>
      <c r="D60" s="24">
        <v>0.56638293199175505</v>
      </c>
      <c r="E60" s="92">
        <v>0.70166166595659207</v>
      </c>
      <c r="F60" s="92">
        <v>0.13131585709415458</v>
      </c>
      <c r="G60" s="92">
        <v>7.1437130789009068E-2</v>
      </c>
      <c r="H60" s="92">
        <v>7.0853091888837663E-2</v>
      </c>
      <c r="I60" s="104">
        <v>0.22882252034120371</v>
      </c>
      <c r="J60" s="12"/>
      <c r="K60" s="12"/>
      <c r="L60" s="12"/>
      <c r="M60" s="12"/>
      <c r="N60" s="12"/>
    </row>
    <row r="61" spans="1:14" x14ac:dyDescent="0.2">
      <c r="A61" s="93">
        <v>1</v>
      </c>
      <c r="B61" s="97"/>
      <c r="C61" s="11" t="str">
        <f>"Multiples*"</f>
        <v>Multiples*</v>
      </c>
      <c r="D61" s="28" t="s">
        <v>165</v>
      </c>
      <c r="E61" s="28"/>
      <c r="F61" s="28"/>
      <c r="G61" s="28"/>
      <c r="H61" s="28"/>
      <c r="I61" s="101"/>
      <c r="J61" s="12"/>
      <c r="K61" s="12"/>
      <c r="L61" s="12"/>
      <c r="M61" s="12"/>
      <c r="N61" s="12"/>
    </row>
    <row r="62" spans="1:14" x14ac:dyDescent="0.2">
      <c r="A62" s="93">
        <v>1</v>
      </c>
      <c r="B62" s="97"/>
      <c r="C62" s="9" t="str">
        <f>"    Stock Price"</f>
        <v xml:space="preserve">    Stock Price</v>
      </c>
      <c r="D62" s="22">
        <v>13.73</v>
      </c>
      <c r="E62" s="22">
        <v>19.727499999999999</v>
      </c>
      <c r="F62" s="22">
        <v>12.36086925</v>
      </c>
      <c r="G62" s="22">
        <v>7.4193942499999999</v>
      </c>
      <c r="H62" s="22">
        <v>8.8479732500000008</v>
      </c>
      <c r="I62" s="103">
        <v>15.063444499999999</v>
      </c>
      <c r="J62" s="12"/>
      <c r="K62" s="12"/>
      <c r="L62" s="12"/>
      <c r="M62" s="12"/>
      <c r="N62" s="12"/>
    </row>
    <row r="63" spans="1:14" x14ac:dyDescent="0.2">
      <c r="A63" s="93">
        <v>1</v>
      </c>
      <c r="B63" s="97"/>
      <c r="C63" s="9" t="str">
        <f>"    Market Cap"</f>
        <v xml:space="preserve">    Market Cap</v>
      </c>
      <c r="D63" s="21">
        <v>624859.37100000004</v>
      </c>
      <c r="E63" s="21">
        <v>1003083.0192500001</v>
      </c>
      <c r="F63" s="21">
        <v>823429.93099999998</v>
      </c>
      <c r="G63" s="21">
        <v>528030.39124999999</v>
      </c>
      <c r="H63" s="21">
        <v>624979.29925000004</v>
      </c>
      <c r="I63" s="102">
        <v>1088622.9155000001</v>
      </c>
      <c r="J63" s="12"/>
      <c r="K63" s="12"/>
      <c r="L63" s="12"/>
      <c r="M63" s="12"/>
      <c r="N63" s="12"/>
    </row>
    <row r="64" spans="1:14" x14ac:dyDescent="0.2">
      <c r="A64" s="93">
        <v>1</v>
      </c>
      <c r="B64" s="97"/>
      <c r="C64" s="9" t="str">
        <f>"    EV"</f>
        <v xml:space="preserve">    EV</v>
      </c>
      <c r="D64" s="21">
        <v>558128.37100000004</v>
      </c>
      <c r="E64" s="21">
        <v>944486.01925000013</v>
      </c>
      <c r="F64" s="21">
        <v>945177.18099999998</v>
      </c>
      <c r="G64" s="21">
        <v>709601.39124999999</v>
      </c>
      <c r="H64" s="21">
        <v>807093.29925000004</v>
      </c>
      <c r="I64" s="102">
        <v>1235885.4155000001</v>
      </c>
      <c r="J64" s="12"/>
      <c r="K64" s="12"/>
      <c r="L64" s="12"/>
      <c r="M64" s="12"/>
      <c r="N64" s="12"/>
    </row>
    <row r="65" spans="1:14" x14ac:dyDescent="0.2">
      <c r="A65" s="93">
        <v>1</v>
      </c>
      <c r="B65" s="97"/>
      <c r="C65" s="9" t="str">
        <f>"    EV to Revenue"</f>
        <v xml:space="preserve">    EV to Revenue</v>
      </c>
      <c r="D65" s="23">
        <v>0.55492423844720584</v>
      </c>
      <c r="E65" s="22">
        <v>0.94701190401204882</v>
      </c>
      <c r="F65" s="22">
        <v>1.3815124469684892</v>
      </c>
      <c r="G65" s="22">
        <v>1.1232935460317033</v>
      </c>
      <c r="H65" s="22">
        <v>1.2314771889465672</v>
      </c>
      <c r="I65" s="103">
        <v>1.4101112902302495</v>
      </c>
      <c r="J65" s="12"/>
      <c r="K65" s="12"/>
      <c r="L65" s="12"/>
      <c r="M65" s="12"/>
      <c r="N65" s="12"/>
    </row>
    <row r="66" spans="1:14" x14ac:dyDescent="0.2">
      <c r="A66" s="93">
        <v>1</v>
      </c>
      <c r="B66" s="97"/>
      <c r="C66" s="9" t="str">
        <f>"    EV to EBIT (Analyst Normalized)"</f>
        <v xml:space="preserve">    EV to EBIT (Analyst Normalized)</v>
      </c>
      <c r="D66" s="23">
        <v>1.6742260615241551</v>
      </c>
      <c r="E66" s="22">
        <v>5.3063845552185143</v>
      </c>
      <c r="F66" s="22">
        <v>19.343893817620511</v>
      </c>
      <c r="G66" s="22">
        <v>10.361665105057044</v>
      </c>
      <c r="H66" s="22">
        <v>13.976852485543475</v>
      </c>
      <c r="I66" s="103">
        <v>6.1723780634524434</v>
      </c>
      <c r="J66" s="12"/>
      <c r="K66" s="12"/>
      <c r="L66" s="12"/>
      <c r="M66" s="12"/>
      <c r="N66" s="12"/>
    </row>
    <row r="67" spans="1:14" x14ac:dyDescent="0.2">
      <c r="A67" s="93">
        <v>1</v>
      </c>
      <c r="B67" s="97"/>
      <c r="C67" s="9" t="str">
        <f>"    EV to EBITDA (Analyst Normalized)"</f>
        <v xml:space="preserve">    EV to EBITDA (Analyst Normalized)</v>
      </c>
      <c r="D67" s="23">
        <v>1.5378699365981214</v>
      </c>
      <c r="E67" s="22">
        <v>4.145919993506876</v>
      </c>
      <c r="F67" s="22">
        <v>24.670248391848727</v>
      </c>
      <c r="G67" s="22">
        <v>6.9578099623921226</v>
      </c>
      <c r="H67" s="22">
        <v>7.5009545367486243</v>
      </c>
      <c r="I67" s="103">
        <v>4.9387211752959956</v>
      </c>
      <c r="J67" s="12"/>
      <c r="K67" s="12"/>
      <c r="L67" s="12"/>
      <c r="M67" s="12"/>
      <c r="N67" s="12"/>
    </row>
    <row r="68" spans="1:14" x14ac:dyDescent="0.2">
      <c r="A68" s="93">
        <v>1</v>
      </c>
      <c r="B68" s="97"/>
      <c r="C68" s="9" t="str">
        <f>"    Price to Earnings (Analyst Normalized)"</f>
        <v xml:space="preserve">    Price to Earnings (Analyst Normalized)</v>
      </c>
      <c r="D68" s="23">
        <v>2.6921763942208994</v>
      </c>
      <c r="E68" s="22">
        <v>5.2972030431461823</v>
      </c>
      <c r="F68" s="22">
        <v>22.590192321882711</v>
      </c>
      <c r="G68" s="22">
        <v>12.916169090421937</v>
      </c>
      <c r="H68" s="22">
        <v>21.459687053032312</v>
      </c>
      <c r="I68" s="103">
        <v>8.6856295049914785</v>
      </c>
      <c r="J68" s="12"/>
      <c r="K68" s="12"/>
      <c r="L68" s="12"/>
      <c r="M68" s="12"/>
      <c r="N68" s="12"/>
    </row>
    <row r="69" spans="1:14" x14ac:dyDescent="0.2">
      <c r="A69" s="93">
        <v>1</v>
      </c>
      <c r="B69" s="97"/>
      <c r="C69" s="9" t="str">
        <f>"    Forward Price to Earnings"</f>
        <v xml:space="preserve">    Forward Price to Earnings</v>
      </c>
      <c r="D69" s="23">
        <v>6.1569506726457401</v>
      </c>
      <c r="E69" s="22">
        <v>7.2352660103935635</v>
      </c>
      <c r="F69" s="22">
        <v>12.688220055044756</v>
      </c>
      <c r="G69" s="22">
        <v>12.840710350086049</v>
      </c>
      <c r="H69" s="22">
        <v>17.778865519846779</v>
      </c>
      <c r="I69" s="103">
        <v>12.261476010753174</v>
      </c>
      <c r="J69" s="12"/>
      <c r="K69" s="12"/>
      <c r="L69" s="12"/>
      <c r="M69" s="12"/>
      <c r="N69" s="12"/>
    </row>
    <row r="70" spans="1:14" x14ac:dyDescent="0.2">
      <c r="A70" s="93">
        <v>1</v>
      </c>
      <c r="B70" s="97"/>
      <c r="C70" s="9" t="str">
        <f>"    Price to Book (PB)"</f>
        <v xml:space="preserve">    Price to Book (PB)</v>
      </c>
      <c r="D70" s="23">
        <v>1.9149314635820649</v>
      </c>
      <c r="E70" s="22">
        <v>3.9551700919185455</v>
      </c>
      <c r="F70" s="22">
        <v>1.9622561364080278</v>
      </c>
      <c r="G70" s="22">
        <v>1.2037934133157884</v>
      </c>
      <c r="H70" s="22">
        <v>1.5085491187225732</v>
      </c>
      <c r="I70" s="103">
        <v>2.7558636326412573</v>
      </c>
      <c r="J70" s="12"/>
      <c r="K70" s="12"/>
      <c r="L70" s="12"/>
      <c r="M70" s="12"/>
      <c r="N70" s="12"/>
    </row>
    <row r="71" spans="1:14" x14ac:dyDescent="0.2">
      <c r="A71" s="93">
        <v>1</v>
      </c>
      <c r="B71" s="97"/>
      <c r="C71" s="9" t="str">
        <f>"    Price to Cash Flow (PCF)"</f>
        <v xml:space="preserve">    Price to Cash Flow (PCF)</v>
      </c>
      <c r="D71" s="23">
        <v>2.3972324398754203</v>
      </c>
      <c r="E71" s="22">
        <v>4.6127623061456404</v>
      </c>
      <c r="F71" s="22">
        <v>9.0660984862913061</v>
      </c>
      <c r="G71" s="22">
        <v>6.2520202898343324</v>
      </c>
      <c r="H71" s="22">
        <v>7.251027856404864</v>
      </c>
      <c r="I71" s="103">
        <v>6.4417701597051291</v>
      </c>
      <c r="J71" s="12"/>
      <c r="K71" s="12"/>
      <c r="L71" s="12"/>
      <c r="M71" s="12"/>
      <c r="N71" s="12"/>
    </row>
    <row r="72" spans="1:14" x14ac:dyDescent="0.2">
      <c r="A72" s="93">
        <v>1</v>
      </c>
      <c r="B72" s="97"/>
      <c r="C72" s="9" t="str">
        <f>"    Price to Tangible Book Value"</f>
        <v xml:space="preserve">    Price to Tangible Book Value</v>
      </c>
      <c r="D72" s="23">
        <v>2.0620515957271275</v>
      </c>
      <c r="E72" s="22">
        <v>4.3585333788100709</v>
      </c>
      <c r="F72" s="22">
        <v>3.6533250570895985</v>
      </c>
      <c r="G72" s="22">
        <v>3.367598962183342</v>
      </c>
      <c r="H72" s="22">
        <v>5.9520633652908206</v>
      </c>
      <c r="I72" s="103">
        <v>12.590621963101633</v>
      </c>
      <c r="J72" s="12"/>
      <c r="K72" s="12"/>
      <c r="L72" s="12"/>
      <c r="M72" s="12"/>
      <c r="N72" s="12"/>
    </row>
    <row r="73" spans="1:14" x14ac:dyDescent="0.2">
      <c r="A73" s="93"/>
      <c r="B73" s="97"/>
      <c r="I73" s="98"/>
      <c r="J73" s="12"/>
      <c r="K73" s="12"/>
      <c r="L73" s="12"/>
      <c r="M73" s="12"/>
      <c r="N73" s="12"/>
    </row>
    <row r="74" spans="1:14" x14ac:dyDescent="0.2">
      <c r="A74" s="93"/>
      <c r="B74" s="97"/>
      <c r="I74" s="98"/>
      <c r="J74" s="12"/>
      <c r="K74" s="12"/>
      <c r="L74" s="12"/>
      <c r="M74" s="12"/>
      <c r="N74" s="12"/>
    </row>
    <row r="75" spans="1:14" x14ac:dyDescent="0.2">
      <c r="A75" s="93"/>
      <c r="B75" s="97"/>
      <c r="C75" s="105" t="s">
        <v>86</v>
      </c>
      <c r="I75" s="98"/>
      <c r="J75" s="12"/>
      <c r="K75" s="12"/>
      <c r="L75" s="12"/>
      <c r="M75" s="12"/>
      <c r="N75" s="12"/>
    </row>
    <row r="76" spans="1:14" x14ac:dyDescent="0.2">
      <c r="A76" s="93"/>
      <c r="B76" s="97"/>
      <c r="C76" s="105" t="s">
        <v>10</v>
      </c>
      <c r="I76" s="98"/>
      <c r="J76" s="12"/>
      <c r="K76" s="12"/>
      <c r="L76" s="12"/>
      <c r="M76" s="12"/>
      <c r="N76" s="12"/>
    </row>
    <row r="77" spans="1:14" x14ac:dyDescent="0.2">
      <c r="A77" s="93"/>
      <c r="B77" s="106"/>
      <c r="C77" s="107"/>
      <c r="D77" s="107"/>
      <c r="E77" s="107"/>
      <c r="F77" s="107"/>
      <c r="G77" s="107"/>
      <c r="H77" s="107"/>
      <c r="I77" s="108"/>
      <c r="J77" s="12"/>
      <c r="K77" s="12"/>
      <c r="L77" s="12"/>
      <c r="M77" s="12"/>
      <c r="N77" s="12"/>
    </row>
    <row r="78" spans="1:14" x14ac:dyDescent="0.2">
      <c r="A78" s="12"/>
      <c r="B78" s="93"/>
      <c r="C78" s="93"/>
      <c r="D78" s="93"/>
      <c r="E78" s="93"/>
      <c r="F78" s="93"/>
      <c r="G78" s="93"/>
      <c r="H78" s="93"/>
      <c r="I78" s="93"/>
      <c r="J78" s="12"/>
      <c r="K78" s="12"/>
      <c r="L78" s="12"/>
      <c r="M78" s="12"/>
      <c r="N78" s="12"/>
    </row>
  </sheetData>
  <conditionalFormatting sqref="D22 D35 D45 D60 D10:I10">
    <cfRule type="expression" dxfId="27" priority="1">
      <formula>NOT(SUBTOTAL(109,$A11)=$A11)</formula>
    </cfRule>
  </conditionalFormatting>
  <conditionalFormatting sqref="D72">
    <cfRule type="expression" dxfId="26" priority="2">
      <formula>NOT(SUBTOTAL(109,#REF!)=#REF!)</formula>
    </cfRule>
  </conditionalFormatting>
  <hyperlinks>
    <hyperlink ref="D5" r:id="rId1" xr:uid="{00000000-0004-0000-0100-000000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MB120"/>
  <sheetViews>
    <sheetView showGridLines="0" zoomScale="138" zoomScaleNormal="100" workbookViewId="0">
      <pane xSplit="3" ySplit="10" topLeftCell="L26" activePane="bottomRight" state="frozen"/>
      <selection pane="topRight" activeCell="D1" sqref="D1"/>
      <selection pane="bottomLeft" activeCell="A11" sqref="A11"/>
      <selection pane="bottomRight" activeCell="C30" sqref="C30"/>
    </sheetView>
  </sheetViews>
  <sheetFormatPr baseColWidth="10" defaultColWidth="8.83203125" defaultRowHeight="15" outlineLevelRow="4" outlineLevelCol="1" x14ac:dyDescent="0.2"/>
  <cols>
    <col min="1" max="1" width="1" style="1" customWidth="1"/>
    <col min="2" max="2" width="2" style="1" customWidth="1"/>
    <col min="3" max="3" width="50.6640625" style="1" customWidth="1"/>
    <col min="4" max="10" width="12.6640625" style="1" hidden="1" customWidth="1" outlineLevel="1"/>
    <col min="11" max="11" width="10.6640625" style="1" hidden="1" customWidth="1" outlineLevel="1" collapsed="1"/>
    <col min="12" max="12" width="2.6640625" style="1" customWidth="1" collapsed="1"/>
    <col min="13" max="13" width="14.6640625" style="1" customWidth="1" collapsed="1"/>
    <col min="14" max="17" width="14.6640625" style="1" customWidth="1"/>
    <col min="18" max="87" width="14.6640625" style="1" customWidth="1" collapsed="1"/>
    <col min="88" max="88" width="2" style="1" customWidth="1"/>
    <col min="89" max="1016" width="14.6640625" style="1" customWidth="1" collapsed="1"/>
  </cols>
  <sheetData>
    <row r="1" spans="1:110" ht="6.5" customHeight="1" x14ac:dyDescent="0.2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1:110" ht="39.75" customHeight="1" x14ac:dyDescent="0.2">
      <c r="A2" s="14"/>
      <c r="CK2" s="15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</row>
    <row r="3" spans="1:110" ht="18.75" customHeight="1" x14ac:dyDescent="0.2">
      <c r="A3" s="14"/>
      <c r="C3" s="6" t="s">
        <v>166</v>
      </c>
      <c r="CK3" s="15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 ht="21" x14ac:dyDescent="0.25">
      <c r="A4" s="14"/>
      <c r="C4" s="7" t="s">
        <v>91</v>
      </c>
      <c r="D4" s="26" t="s">
        <v>1</v>
      </c>
      <c r="E4" s="11"/>
      <c r="F4" s="11"/>
      <c r="G4" s="11"/>
      <c r="H4" s="11"/>
      <c r="I4" s="11"/>
      <c r="J4" s="11"/>
      <c r="K4" s="11"/>
      <c r="CK4" s="15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 x14ac:dyDescent="0.2">
      <c r="A5" s="14"/>
      <c r="C5" s="7" t="s">
        <v>92</v>
      </c>
      <c r="D5" s="156" t="s">
        <v>2</v>
      </c>
      <c r="E5" s="156" t="s">
        <v>3</v>
      </c>
      <c r="F5" s="156" t="s">
        <v>4</v>
      </c>
      <c r="G5" s="156" t="s">
        <v>5</v>
      </c>
      <c r="H5" s="156" t="s">
        <v>6</v>
      </c>
      <c r="I5" s="156" t="s">
        <v>7</v>
      </c>
      <c r="J5" s="156" t="s">
        <v>8</v>
      </c>
      <c r="K5" s="156" t="s">
        <v>9</v>
      </c>
      <c r="M5" s="32" t="s">
        <v>94</v>
      </c>
      <c r="N5" s="32" t="s">
        <v>168</v>
      </c>
      <c r="O5" s="32" t="s">
        <v>169</v>
      </c>
      <c r="P5" s="32" t="s">
        <v>170</v>
      </c>
      <c r="Q5" s="32" t="s">
        <v>171</v>
      </c>
      <c r="R5" s="32" t="s">
        <v>95</v>
      </c>
      <c r="S5" s="32" t="s">
        <v>96</v>
      </c>
      <c r="T5" s="32" t="s">
        <v>97</v>
      </c>
      <c r="U5" s="32" t="s">
        <v>98</v>
      </c>
      <c r="V5" s="32" t="s">
        <v>99</v>
      </c>
      <c r="W5" s="32" t="s">
        <v>100</v>
      </c>
      <c r="X5" s="32" t="s">
        <v>101</v>
      </c>
      <c r="Y5" s="32" t="s">
        <v>102</v>
      </c>
      <c r="Z5" s="32" t="s">
        <v>103</v>
      </c>
      <c r="AA5" s="32" t="s">
        <v>104</v>
      </c>
      <c r="AB5" s="32" t="s">
        <v>105</v>
      </c>
      <c r="AC5" s="32" t="s">
        <v>106</v>
      </c>
      <c r="AD5" s="32" t="s">
        <v>107</v>
      </c>
      <c r="AE5" s="32" t="s">
        <v>108</v>
      </c>
      <c r="AF5" s="32" t="s">
        <v>109</v>
      </c>
      <c r="AG5" s="32" t="s">
        <v>110</v>
      </c>
      <c r="AH5" s="32" t="s">
        <v>111</v>
      </c>
      <c r="AI5" s="32" t="s">
        <v>112</v>
      </c>
      <c r="AJ5" s="32" t="s">
        <v>113</v>
      </c>
      <c r="AK5" s="32" t="s">
        <v>114</v>
      </c>
      <c r="AL5" s="32" t="s">
        <v>115</v>
      </c>
      <c r="AM5" s="32" t="s">
        <v>116</v>
      </c>
      <c r="AN5" s="32" t="s">
        <v>117</v>
      </c>
      <c r="AO5" s="32" t="s">
        <v>118</v>
      </c>
      <c r="AP5" s="32" t="s">
        <v>119</v>
      </c>
      <c r="AQ5" s="32" t="s">
        <v>120</v>
      </c>
      <c r="AR5" s="32" t="s">
        <v>121</v>
      </c>
      <c r="AS5" s="32" t="s">
        <v>122</v>
      </c>
      <c r="AT5" s="32" t="s">
        <v>123</v>
      </c>
      <c r="AU5" s="32" t="s">
        <v>124</v>
      </c>
      <c r="AV5" s="32" t="s">
        <v>125</v>
      </c>
      <c r="AW5" s="32" t="s">
        <v>126</v>
      </c>
      <c r="AX5" s="32" t="s">
        <v>127</v>
      </c>
      <c r="AY5" s="32" t="s">
        <v>128</v>
      </c>
      <c r="AZ5" s="32" t="s">
        <v>129</v>
      </c>
      <c r="BA5" s="32" t="s">
        <v>130</v>
      </c>
      <c r="BB5" s="32" t="s">
        <v>131</v>
      </c>
      <c r="BC5" s="32" t="s">
        <v>132</v>
      </c>
      <c r="BD5" s="32" t="s">
        <v>133</v>
      </c>
      <c r="BE5" s="32" t="s">
        <v>134</v>
      </c>
      <c r="BF5" s="32" t="s">
        <v>135</v>
      </c>
      <c r="BG5" s="32" t="s">
        <v>136</v>
      </c>
      <c r="BH5" s="32" t="s">
        <v>137</v>
      </c>
      <c r="BI5" s="32" t="s">
        <v>138</v>
      </c>
      <c r="BJ5" s="32" t="s">
        <v>139</v>
      </c>
      <c r="BK5" s="32" t="s">
        <v>140</v>
      </c>
      <c r="BL5" s="32" t="s">
        <v>141</v>
      </c>
      <c r="BM5" s="32" t="s">
        <v>142</v>
      </c>
      <c r="BN5" s="32" t="s">
        <v>143</v>
      </c>
      <c r="BO5" s="32" t="s">
        <v>144</v>
      </c>
      <c r="BP5" s="32" t="s">
        <v>145</v>
      </c>
      <c r="BQ5" s="32" t="s">
        <v>146</v>
      </c>
      <c r="BR5" s="32" t="s">
        <v>147</v>
      </c>
      <c r="BS5" s="32" t="s">
        <v>148</v>
      </c>
      <c r="BT5" s="32" t="s">
        <v>149</v>
      </c>
      <c r="BU5" s="32" t="s">
        <v>150</v>
      </c>
      <c r="BV5" s="32" t="s">
        <v>151</v>
      </c>
      <c r="BW5" s="32" t="s">
        <v>152</v>
      </c>
      <c r="BX5" s="32" t="s">
        <v>153</v>
      </c>
      <c r="BY5" s="32" t="s">
        <v>154</v>
      </c>
      <c r="BZ5" s="32" t="s">
        <v>155</v>
      </c>
      <c r="CA5" s="32" t="s">
        <v>156</v>
      </c>
      <c r="CB5" s="32" t="s">
        <v>157</v>
      </c>
      <c r="CC5" s="32" t="s">
        <v>158</v>
      </c>
      <c r="CD5" s="32" t="s">
        <v>159</v>
      </c>
      <c r="CE5" s="32" t="s">
        <v>160</v>
      </c>
      <c r="CF5" s="32" t="s">
        <v>161</v>
      </c>
      <c r="CG5" s="32" t="s">
        <v>162</v>
      </c>
      <c r="CH5" s="32" t="s">
        <v>163</v>
      </c>
      <c r="CI5" s="32" t="s">
        <v>164</v>
      </c>
      <c r="CK5" s="15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6" spans="1:110" x14ac:dyDescent="0.2">
      <c r="A6" s="14"/>
      <c r="D6" s="156"/>
      <c r="E6" s="156"/>
      <c r="F6" s="156"/>
      <c r="G6" s="156"/>
      <c r="H6" s="156"/>
      <c r="I6" s="156"/>
      <c r="J6" s="156"/>
      <c r="K6" s="156"/>
      <c r="CK6" s="15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</row>
    <row r="7" spans="1:110" x14ac:dyDescent="0.2">
      <c r="A7" s="14"/>
      <c r="C7" s="8" t="s">
        <v>93</v>
      </c>
      <c r="D7" s="11"/>
      <c r="E7" s="11"/>
      <c r="F7" s="11"/>
      <c r="G7" s="11"/>
      <c r="H7" s="11"/>
      <c r="I7" s="11"/>
      <c r="J7" s="11"/>
      <c r="K7" s="11"/>
      <c r="CK7" s="15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</row>
    <row r="8" spans="1:110" x14ac:dyDescent="0.2">
      <c r="A8" s="14"/>
      <c r="D8" s="11"/>
      <c r="E8" s="11"/>
      <c r="F8" s="11"/>
      <c r="G8" s="11"/>
      <c r="H8" s="11"/>
      <c r="I8" s="11"/>
      <c r="J8" s="11"/>
      <c r="K8" s="11"/>
      <c r="CK8" s="15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</row>
    <row r="9" spans="1:110" x14ac:dyDescent="0.2">
      <c r="A9" s="14"/>
      <c r="D9" s="11"/>
      <c r="E9" s="11"/>
      <c r="F9" s="11"/>
      <c r="G9" s="11"/>
      <c r="H9" s="11"/>
      <c r="I9" s="11"/>
      <c r="J9" s="11"/>
      <c r="K9" s="1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K9" s="15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</row>
    <row r="10" spans="1:110" x14ac:dyDescent="0.2">
      <c r="A10" s="14"/>
      <c r="D10" s="11"/>
      <c r="E10" s="11"/>
      <c r="F10" s="11"/>
      <c r="G10" s="11"/>
      <c r="H10" s="11"/>
      <c r="I10" s="11"/>
      <c r="J10" s="11"/>
      <c r="K10" s="11"/>
      <c r="CK10" s="15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</row>
    <row r="11" spans="1:110" x14ac:dyDescent="0.2">
      <c r="A11" s="14">
        <v>1</v>
      </c>
      <c r="C11" s="11" t="str">
        <f>IF(SUBTOTAL(109,A11)=A11,"Gross Profit","Gross Profit")</f>
        <v>Gross Profit</v>
      </c>
      <c r="D11" s="27" t="str">
        <f t="shared" ref="D11:D42" si="0">IF(COUNT(M11:CI11)&gt;0,MEDIAN(M11:CI11),"")</f>
        <v/>
      </c>
      <c r="E11" s="27" t="str">
        <f t="shared" ref="E11:E42" si="1">IF(COUNT(M11:CI11)&gt;0,AVERAGE(M11:CI11),"")</f>
        <v/>
      </c>
      <c r="F11" s="27" t="str">
        <f t="shared" ref="F11:F42" si="2">IF(COUNT(M11:CI11)&gt;0,MIN(M11:CI11),"")</f>
        <v/>
      </c>
      <c r="G11" s="27" t="str">
        <f t="shared" ref="G11:G42" si="3">IF(COUNT(M11:CI11)&gt;0,MAX(M11:CI11),"")</f>
        <v/>
      </c>
      <c r="H11" s="27" t="str">
        <f t="shared" ref="H11:H42" si="4">IF(COUNT(M11:CI11)&gt;0,QUARTILE(M11:CI11,1),"")</f>
        <v/>
      </c>
      <c r="I11" s="27" t="str">
        <f t="shared" ref="I11:I42" si="5">IF(COUNT(M11:CI11)&gt;0,QUARTILE(M11:CI11,3),"")</f>
        <v/>
      </c>
      <c r="J11" s="27" t="str">
        <f t="shared" ref="J11:J42" si="6">IF(COUNT(M11:CI11)&gt;1,STDEV(M11:CI11),"")</f>
        <v/>
      </c>
      <c r="K11" s="28" t="str">
        <f t="shared" ref="K11:K42" si="7">IF(COUNT(M11:CI11)&gt;1,STDEV(M11:CI11)/AVERAGE(M11:CI11),"")</f>
        <v/>
      </c>
      <c r="L11" s="27"/>
      <c r="M11" s="27" t="str">
        <f>IF(SUBTOTAL(109,A11)=A11,"",374564)</f>
        <v/>
      </c>
      <c r="N11" s="27"/>
      <c r="O11" s="27"/>
      <c r="P11" s="27"/>
      <c r="Q11" s="27"/>
      <c r="R11" s="27" t="str">
        <f>IF(SUBTOTAL(109,A11)=A11,"",213129)</f>
        <v/>
      </c>
      <c r="S11" s="27" t="str">
        <f>IF(SUBTOTAL(109,A11)=A11,"",207542)</f>
        <v/>
      </c>
      <c r="T11" s="27" t="str">
        <f>IF(SUBTOTAL(109,A11)=A11,"",195752)</f>
        <v/>
      </c>
      <c r="U11" s="27" t="str">
        <f>IF(SUBTOTAL(109,A11)=A11,"",229135)</f>
        <v/>
      </c>
      <c r="V11" s="27" t="str">
        <f>IF(SUBTOTAL(109,A11)=A11,"",281529)</f>
        <v/>
      </c>
      <c r="W11" s="27" t="str">
        <f>IF(SUBTOTAL(109,A11)=A11,"",328335)</f>
        <v/>
      </c>
      <c r="X11" s="27" t="str">
        <f>IF(SUBTOTAL(109,A11)=A11,"",375272)</f>
        <v/>
      </c>
      <c r="Y11" s="27" t="str">
        <f>IF(SUBTOTAL(109,A11)=A11,"",376554)</f>
        <v/>
      </c>
      <c r="Z11" s="27" t="str">
        <f>IF(SUBTOTAL(109,A11)=A11,"",363901)</f>
        <v/>
      </c>
      <c r="AA11" s="27" t="str">
        <f>IF(SUBTOTAL(109,A11)=A11,"",322511)</f>
        <v/>
      </c>
      <c r="AB11" s="27" t="str">
        <f>IF(SUBTOTAL(109,A11)=A11,"",293812)</f>
        <v/>
      </c>
      <c r="AC11" s="27" t="str">
        <f>IF(SUBTOTAL(109,A11)=A11,"",268887)</f>
        <v/>
      </c>
      <c r="AD11" s="27" t="str">
        <f>IF(SUBTOTAL(109,A11)=A11,"",226053)</f>
        <v/>
      </c>
      <c r="AE11" s="27" t="str">
        <f>IF(SUBTOTAL(109,A11)=A11,"",204678)</f>
        <v/>
      </c>
      <c r="AF11" s="27" t="str">
        <f>IF(SUBTOTAL(109,A11)=A11,"",194926)</f>
        <v/>
      </c>
      <c r="AG11" s="27" t="str">
        <f>IF(SUBTOTAL(109,A11)=A11,"",197526)</f>
        <v/>
      </c>
      <c r="AH11" s="27" t="str">
        <f>IF(SUBTOTAL(109,A11)=A11,"",212353)</f>
        <v/>
      </c>
      <c r="AI11" s="27" t="str">
        <f>IF(SUBTOTAL(109,A11)=A11,"",235450)</f>
        <v/>
      </c>
      <c r="AJ11" s="27" t="str">
        <f>IF(SUBTOTAL(109,A11)=A11,"",259105)</f>
        <v/>
      </c>
      <c r="AK11" s="27" t="str">
        <f>IF(SUBTOTAL(109,A11)=A11,"",257807)</f>
        <v/>
      </c>
      <c r="AL11" s="27" t="str">
        <f>IF(SUBTOTAL(109,A11)=A11,"",249088)</f>
        <v/>
      </c>
      <c r="AM11" s="27" t="str">
        <f>IF(SUBTOTAL(109,A11)=A11,"",239619)</f>
        <v/>
      </c>
      <c r="AN11" s="27" t="str">
        <f>IF(SUBTOTAL(109,A11)=A11,"",218072)</f>
        <v/>
      </c>
      <c r="AO11" s="27" t="str">
        <f>IF(SUBTOTAL(109,A11)=A11,"",196406)</f>
        <v/>
      </c>
      <c r="AP11" s="27" t="str">
        <f>IF(SUBTOTAL(109,A11)=A11,"",176478)</f>
        <v/>
      </c>
      <c r="AQ11" s="27" t="str">
        <f>IF(SUBTOTAL(109,A11)=A11,"",152617)</f>
        <v/>
      </c>
      <c r="AR11" s="27" t="str">
        <f>IF(SUBTOTAL(109,A11)=A11,"",127906)</f>
        <v/>
      </c>
      <c r="AS11" s="27" t="str">
        <f>IF(SUBTOTAL(109,A11)=A11,"",112366)</f>
        <v/>
      </c>
      <c r="AT11" s="27" t="str">
        <f>IF(SUBTOTAL(109,A11)=A11,"",101753)</f>
        <v/>
      </c>
      <c r="AU11" s="27" t="str">
        <f>IF(SUBTOTAL(109,A11)=A11,"",102575)</f>
        <v/>
      </c>
      <c r="AV11" s="27" t="str">
        <f>IF(SUBTOTAL(109,A11)=A11,"",104688)</f>
        <v/>
      </c>
      <c r="AW11" s="27" t="str">
        <f>IF(SUBTOTAL(109,A11)=A11,"",94008)</f>
        <v/>
      </c>
      <c r="AX11" s="27" t="str">
        <f>IF(SUBTOTAL(109,A11)=A11,"",101943)</f>
        <v/>
      </c>
      <c r="AY11" s="27" t="str">
        <f>IF(SUBTOTAL(109,A11)=A11,"",116457)</f>
        <v/>
      </c>
      <c r="AZ11" s="27" t="str">
        <f>IF(SUBTOTAL(109,A11)=A11,"",119463)</f>
        <v/>
      </c>
      <c r="BA11" s="27" t="str">
        <f>IF(SUBTOTAL(109,A11)=A11,"",129858)</f>
        <v/>
      </c>
      <c r="BB11" s="27" t="str">
        <f>IF(SUBTOTAL(109,A11)=A11,"",124065)</f>
        <v/>
      </c>
      <c r="BC11" s="27" t="str">
        <f>IF(SUBTOTAL(109,A11)=A11,"",107708.557)</f>
        <v/>
      </c>
      <c r="BD11" s="27" t="str">
        <f>IF(SUBTOTAL(109,A11)=A11,"",97143)</f>
        <v/>
      </c>
      <c r="BE11" s="27" t="str">
        <f>IF(SUBTOTAL(109,A11)=A11,"",91655.845)</f>
        <v/>
      </c>
      <c r="BF11" s="27" t="str">
        <f>IF(SUBTOTAL(109,A11)=A11,"",87431.183)</f>
        <v/>
      </c>
      <c r="BG11" s="27" t="str">
        <f>IF(SUBTOTAL(109,A11)=A11,"",90541.866)</f>
        <v/>
      </c>
      <c r="BH11" s="27" t="str">
        <f>IF(SUBTOTAL(109,A11)=A11,"",92374.576)</f>
        <v/>
      </c>
      <c r="BI11" s="27" t="str">
        <f>IF(SUBTOTAL(109,A11)=A11,"",93515.856)</f>
        <v/>
      </c>
      <c r="BJ11" s="27" t="str">
        <f>IF(SUBTOTAL(109,A11)=A11,"",93892.068)</f>
        <v/>
      </c>
      <c r="BK11" s="27" t="str">
        <f>IF(SUBTOTAL(109,A11)=A11,"",86868.506)</f>
        <v/>
      </c>
      <c r="BL11" s="27" t="str">
        <f>IF(SUBTOTAL(109,A11)=A11,"",76337.835)</f>
        <v/>
      </c>
      <c r="BM11" s="27" t="str">
        <f>IF(SUBTOTAL(109,A11)=A11,"",67919.002)</f>
        <v/>
      </c>
      <c r="BN11" s="27" t="str">
        <f>IF(SUBTOTAL(109,A11)=A11,"",62196.101)</f>
        <v/>
      </c>
      <c r="BO11" s="27" t="str">
        <f>IF(SUBTOTAL(109,A11)=A11,"",56686.225)</f>
        <v/>
      </c>
      <c r="BP11" s="27" t="str">
        <f>IF(SUBTOTAL(109,A11)=A11,"",49606.999)</f>
        <v/>
      </c>
      <c r="BQ11" s="27" t="str">
        <f>IF(SUBTOTAL(109,A11)=A11,"",42803.319)</f>
        <v/>
      </c>
      <c r="BR11" s="27" t="str">
        <f>IF(SUBTOTAL(109,A11)=A11,"",39278.477)</f>
        <v/>
      </c>
      <c r="BS11" s="27" t="str">
        <f>IF(SUBTOTAL(109,A11)=A11,"",41122.507)</f>
        <v/>
      </c>
      <c r="BT11" s="27" t="str">
        <f>IF(SUBTOTAL(109,A11)=A11,"",40888.018)</f>
        <v/>
      </c>
      <c r="BU11" s="27" t="str">
        <f>IF(SUBTOTAL(109,A11)=A11,"",42116.905)</f>
        <v/>
      </c>
      <c r="BV11" s="27" t="str">
        <f>IF(SUBTOTAL(109,A11)=A11,"",42558.233)</f>
        <v/>
      </c>
      <c r="BW11" s="27" t="str">
        <f>IF(SUBTOTAL(109,A11)=A11,"",39539.876)</f>
        <v/>
      </c>
      <c r="BX11" s="27" t="str">
        <f>IF(SUBTOTAL(109,A11)=A11,"",39129.915)</f>
        <v/>
      </c>
      <c r="BY11" s="27" t="str">
        <f>IF(SUBTOTAL(109,A11)=A11,"",36173.66)</f>
        <v/>
      </c>
      <c r="BZ11" s="27" t="str">
        <f>IF(SUBTOTAL(109,A11)=A11,"",35000.935)</f>
        <v/>
      </c>
      <c r="CA11" s="27" t="str">
        <f>IF(SUBTOTAL(109,A11)=A11,"",32432.217)</f>
        <v/>
      </c>
      <c r="CB11" s="27" t="str">
        <f>IF(SUBTOTAL(109,A11)=A11,"",30380.717)</f>
        <v/>
      </c>
      <c r="CC11" s="27" t="str">
        <f>IF(SUBTOTAL(109,A11)=A11,"",29665.493)</f>
        <v/>
      </c>
      <c r="CD11" s="27" t="str">
        <f>IF(SUBTOTAL(109,A11)=A11,"",27473.001)</f>
        <v/>
      </c>
      <c r="CE11" s="27" t="str">
        <f>IF(SUBTOTAL(109,A11)=A11,"",24745.974)</f>
        <v/>
      </c>
      <c r="CF11" s="27" t="str">
        <f>IF(SUBTOTAL(109,A11)=A11,"",19798.072)</f>
        <v/>
      </c>
      <c r="CG11" s="27" t="str">
        <f>IF(SUBTOTAL(109,A11)=A11,"",20.753)</f>
        <v/>
      </c>
      <c r="CH11" s="27" t="str">
        <f>IF(SUBTOTAL(109,A11)=A11,"",8.02)</f>
        <v/>
      </c>
      <c r="CI11" s="27" t="str">
        <f>IF(SUBTOTAL(109,A11)=A11,"","")</f>
        <v/>
      </c>
      <c r="CK11" s="15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</row>
    <row r="12" spans="1:110" outlineLevel="1" x14ac:dyDescent="0.2">
      <c r="A12" s="14">
        <v>1</v>
      </c>
      <c r="C12" s="9" t="str">
        <f>IF(SUBTOTAL(109,A12)=A12,"    Revenue","    Total Revenue")</f>
        <v xml:space="preserve">    Revenue</v>
      </c>
      <c r="D12" s="17" t="str">
        <f t="shared" si="0"/>
        <v/>
      </c>
      <c r="E12" s="17" t="str">
        <f t="shared" si="1"/>
        <v/>
      </c>
      <c r="F12" s="17" t="str">
        <f t="shared" si="2"/>
        <v/>
      </c>
      <c r="G12" s="17" t="str">
        <f t="shared" si="3"/>
        <v/>
      </c>
      <c r="H12" s="17" t="str">
        <f t="shared" si="4"/>
        <v/>
      </c>
      <c r="I12" s="17" t="str">
        <f t="shared" si="5"/>
        <v/>
      </c>
      <c r="J12" s="17" t="str">
        <f t="shared" si="6"/>
        <v/>
      </c>
      <c r="K12" s="18" t="str">
        <f t="shared" si="7"/>
        <v/>
      </c>
      <c r="L12" s="21"/>
      <c r="M12" s="21" t="str">
        <f>IF(SUBTOTAL(109,A12)=A12,"",864126)</f>
        <v/>
      </c>
      <c r="N12" s="21"/>
      <c r="O12" s="21"/>
      <c r="P12" s="21"/>
      <c r="Q12" s="21"/>
      <c r="R12" s="21" t="str">
        <f>IF(SUBTOTAL(109,A12)=A12,"",629937)</f>
        <v/>
      </c>
      <c r="S12" s="21" t="str">
        <f>IF(SUBTOTAL(109,A12)=A12,"",616661)</f>
        <v/>
      </c>
      <c r="T12" s="21" t="str">
        <f>IF(SUBTOTAL(109,A12)=A12,"",606850)</f>
        <v/>
      </c>
      <c r="U12" s="21" t="str">
        <f>IF(SUBTOTAL(109,A12)=A12,"",664011)</f>
        <v/>
      </c>
      <c r="V12" s="21" t="str">
        <f>IF(SUBTOTAL(109,A12)=A12,"",740157)</f>
        <v/>
      </c>
      <c r="W12" s="21" t="str">
        <f>IF(SUBTOTAL(109,A12)=A12,"",825258)</f>
        <v/>
      </c>
      <c r="X12" s="21" t="str">
        <f>IF(SUBTOTAL(109,A12)=A12,"",903188)</f>
        <v/>
      </c>
      <c r="Y12" s="21" t="str">
        <f>IF(SUBTOTAL(109,A12)=A12,"",895119)</f>
        <v/>
      </c>
      <c r="Z12" s="21" t="str">
        <f>IF(SUBTOTAL(109,A12)=A12,"",872382)</f>
        <v/>
      </c>
      <c r="AA12" s="21" t="str">
        <f>IF(SUBTOTAL(109,A12)=A12,"",782096)</f>
        <v/>
      </c>
      <c r="AB12" s="21" t="str">
        <f>IF(SUBTOTAL(109,A12)=A12,"",722908)</f>
        <v/>
      </c>
      <c r="AC12" s="21" t="str">
        <f>IF(SUBTOTAL(109,A12)=A12,"",682788)</f>
        <v/>
      </c>
      <c r="AD12" s="21" t="str">
        <f>IF(SUBTOTAL(109,A12)=A12,"",602552)</f>
        <v/>
      </c>
      <c r="AE12" s="21" t="str">
        <f>IF(SUBTOTAL(109,A12)=A12,"",567756)</f>
        <v/>
      </c>
      <c r="AF12" s="21" t="str">
        <f>IF(SUBTOTAL(109,A12)=A12,"",551862)</f>
        <v/>
      </c>
      <c r="AG12" s="21" t="str">
        <f>IF(SUBTOTAL(109,A12)=A12,"",541290)</f>
        <v/>
      </c>
      <c r="AH12" s="21" t="str">
        <f>IF(SUBTOTAL(109,A12)=A12,"",556621)</f>
        <v/>
      </c>
      <c r="AI12" s="21" t="str">
        <f>IF(SUBTOTAL(109,A12)=A12,"",587469)</f>
        <v/>
      </c>
      <c r="AJ12" s="21" t="str">
        <f>IF(SUBTOTAL(109,A12)=A12,"",626620)</f>
        <v/>
      </c>
      <c r="AK12" s="21" t="str">
        <f>IF(SUBTOTAL(109,A12)=A12,"",634912)</f>
        <v/>
      </c>
      <c r="AL12" s="21" t="str">
        <f>IF(SUBTOTAL(109,A12)=A12,"",625273)</f>
        <v/>
      </c>
      <c r="AM12" s="21" t="str">
        <f>IF(SUBTOTAL(109,A12)=A12,"",622539)</f>
        <v/>
      </c>
      <c r="AN12" s="21" t="str">
        <f>IF(SUBTOTAL(109,A12)=A12,"",587514)</f>
        <v/>
      </c>
      <c r="AO12" s="21" t="str">
        <f>IF(SUBTOTAL(109,A12)=A12,"",538640)</f>
        <v/>
      </c>
      <c r="AP12" s="21" t="str">
        <f>IF(SUBTOTAL(109,A12)=A12,"",500523)</f>
        <v/>
      </c>
      <c r="AQ12" s="21" t="str">
        <f>IF(SUBTOTAL(109,A12)=A12,"",456262)</f>
        <v/>
      </c>
      <c r="AR12" s="21" t="str">
        <f>IF(SUBTOTAL(109,A12)=A12,"",411997)</f>
        <v/>
      </c>
      <c r="AS12" s="21" t="str">
        <f>IF(SUBTOTAL(109,A12)=A12,"",383821)</f>
        <v/>
      </c>
      <c r="AT12" s="21" t="str">
        <f>IF(SUBTOTAL(109,A12)=A12,"",364934)</f>
        <v/>
      </c>
      <c r="AU12" s="21" t="str">
        <f>IF(SUBTOTAL(109,A12)=A12,"",356200)</f>
        <v/>
      </c>
      <c r="AV12" s="21" t="str">
        <f>IF(SUBTOTAL(109,A12)=A12,"",342233)</f>
        <v/>
      </c>
      <c r="AW12" s="21" t="str">
        <f>IF(SUBTOTAL(109,A12)=A12,"",296114)</f>
        <v/>
      </c>
      <c r="AX12" s="21" t="str">
        <f>IF(SUBTOTAL(109,A12)=A12,"",307847)</f>
        <v/>
      </c>
      <c r="AY12" s="21" t="str">
        <f>IF(SUBTOTAL(109,A12)=A12,"",351121)</f>
        <v/>
      </c>
      <c r="AZ12" s="21" t="str">
        <f>IF(SUBTOTAL(109,A12)=A12,"",357926)</f>
        <v/>
      </c>
      <c r="BA12" s="21" t="str">
        <f>IF(SUBTOTAL(109,A12)=A12,"",401914)</f>
        <v/>
      </c>
      <c r="BB12" s="21" t="str">
        <f>IF(SUBTOTAL(109,A12)=A12,"",394654)</f>
        <v/>
      </c>
      <c r="BC12" s="21" t="str">
        <f>IF(SUBTOTAL(109,A12)=A12,"",358162.683)</f>
        <v/>
      </c>
      <c r="BD12" s="21" t="str">
        <f>IF(SUBTOTAL(109,A12)=A12,"",334955)</f>
        <v/>
      </c>
      <c r="BE12" s="21" t="str">
        <f>IF(SUBTOTAL(109,A12)=A12,"",318526.362)</f>
        <v/>
      </c>
      <c r="BF12" s="21" t="str">
        <f>IF(SUBTOTAL(109,A12)=A12,"",301378.045)</f>
        <v/>
      </c>
      <c r="BG12" s="21" t="str">
        <f>IF(SUBTOTAL(109,A12)=A12,"",299547.652)</f>
        <v/>
      </c>
      <c r="BH12" s="21" t="str">
        <f>IF(SUBTOTAL(109,A12)=A12,"",295909.681)</f>
        <v/>
      </c>
      <c r="BI12" s="21" t="str">
        <f>IF(SUBTOTAL(109,A12)=A12,"",295602.398)</f>
        <v/>
      </c>
      <c r="BJ12" s="21" t="str">
        <f>IF(SUBTOTAL(109,A12)=A12,"",283404.54)</f>
        <v/>
      </c>
      <c r="BK12" s="21" t="str">
        <f>IF(SUBTOTAL(109,A12)=A12,"",263390.746)</f>
        <v/>
      </c>
      <c r="BL12" s="21" t="str">
        <f>IF(SUBTOTAL(109,A12)=A12,"",236552.032)</f>
        <v/>
      </c>
      <c r="BM12" s="21" t="str">
        <f>IF(SUBTOTAL(109,A12)=A12,"",206077.471)</f>
        <v/>
      </c>
      <c r="BN12" s="21" t="str">
        <f>IF(SUBTOTAL(109,A12)=A12,"",190765.074)</f>
        <v/>
      </c>
      <c r="BO12" s="21" t="str">
        <f>IF(SUBTOTAL(109,A12)=A12,"",175401.758)</f>
        <v/>
      </c>
      <c r="BP12" s="21" t="str">
        <f>IF(SUBTOTAL(109,A12)=A12,"",160048.624)</f>
        <v/>
      </c>
      <c r="BQ12" s="21" t="str">
        <f>IF(SUBTOTAL(109,A12)=A12,"",144178.853)</f>
        <v/>
      </c>
      <c r="BR12" s="21" t="str">
        <f>IF(SUBTOTAL(109,A12)=A12,"",136687.248)</f>
        <v/>
      </c>
      <c r="BS12" s="21" t="str">
        <f>IF(SUBTOTAL(109,A12)=A12,"",130272.125)</f>
        <v/>
      </c>
      <c r="BT12" s="21" t="str">
        <f>IF(SUBTOTAL(109,A12)=A12,"",125788.05)</f>
        <v/>
      </c>
      <c r="BU12" s="21" t="str">
        <f>IF(SUBTOTAL(109,A12)=A12,"",122475.332)</f>
        <v/>
      </c>
      <c r="BV12" s="21" t="str">
        <f>IF(SUBTOTAL(109,A12)=A12,"",118831.299)</f>
        <v/>
      </c>
      <c r="BW12" s="21" t="str">
        <f>IF(SUBTOTAL(109,A12)=A12,"",118464.101)</f>
        <v/>
      </c>
      <c r="BX12" s="21" t="str">
        <f>IF(SUBTOTAL(109,A12)=A12,"",119514.635)</f>
        <v/>
      </c>
      <c r="BY12" s="21" t="str">
        <f>IF(SUBTOTAL(109,A12)=A12,"",114339.814)</f>
        <v/>
      </c>
      <c r="BZ12" s="21" t="str">
        <f>IF(SUBTOTAL(109,A12)=A12,"",112340.277)</f>
        <v/>
      </c>
      <c r="CA12" s="21" t="str">
        <f>IF(SUBTOTAL(109,A12)=A12,"",106573.503)</f>
        <v/>
      </c>
      <c r="CB12" s="21" t="str">
        <f>IF(SUBTOTAL(109,A12)=A12,"",99971.214)</f>
        <v/>
      </c>
      <c r="CC12" s="21" t="str">
        <f>IF(SUBTOTAL(109,A12)=A12,"",99797.248)</f>
        <v/>
      </c>
      <c r="CD12" s="21" t="str">
        <f>IF(SUBTOTAL(109,A12)=A12,"",93429.124)</f>
        <v/>
      </c>
      <c r="CE12" s="21" t="str">
        <f>IF(SUBTOTAL(109,A12)=A12,"",89877.721)</f>
        <v/>
      </c>
      <c r="CF12" s="21" t="str">
        <f>IF(SUBTOTAL(109,A12)=A12,"",80555.028)</f>
        <v/>
      </c>
      <c r="CG12" s="21" t="str">
        <f>IF(SUBTOTAL(109,A12)=A12,"",34.518)</f>
        <v/>
      </c>
      <c r="CH12" s="21" t="str">
        <f>IF(SUBTOTAL(109,A12)=A12,"",13.367)</f>
        <v/>
      </c>
      <c r="CI12" s="21" t="str">
        <f>IF(SUBTOTAL(109,A12)=A12,"",0)</f>
        <v/>
      </c>
      <c r="CK12" s="15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</row>
    <row r="13" spans="1:110" outlineLevel="2" x14ac:dyDescent="0.2">
      <c r="A13" s="14">
        <v>1</v>
      </c>
      <c r="C13" s="9" t="str">
        <f>"        Business Revenue"</f>
        <v xml:space="preserve">        Business Revenue</v>
      </c>
      <c r="D13" s="17">
        <f t="shared" si="0"/>
        <v>357926</v>
      </c>
      <c r="E13" s="17">
        <f t="shared" si="1"/>
        <v>400811.47030666668</v>
      </c>
      <c r="F13" s="17">
        <f t="shared" si="2"/>
        <v>0</v>
      </c>
      <c r="G13" s="17">
        <f t="shared" si="3"/>
        <v>1044518.75</v>
      </c>
      <c r="H13" s="17">
        <f t="shared" si="4"/>
        <v>152113.73850000001</v>
      </c>
      <c r="I13" s="17">
        <f t="shared" si="5"/>
        <v>604701</v>
      </c>
      <c r="J13" s="17">
        <f t="shared" si="6"/>
        <v>256439.22093571161</v>
      </c>
      <c r="K13" s="18">
        <f t="shared" si="7"/>
        <v>0.63980010537000409</v>
      </c>
      <c r="L13" s="21"/>
      <c r="M13" s="21">
        <v>864126</v>
      </c>
      <c r="N13" s="21">
        <v>1044518.75</v>
      </c>
      <c r="O13" s="21">
        <v>587029.75</v>
      </c>
      <c r="P13" s="21">
        <v>493006.5</v>
      </c>
      <c r="Q13" s="21">
        <v>629364.75</v>
      </c>
      <c r="R13" s="21">
        <v>629937</v>
      </c>
      <c r="S13" s="21">
        <v>616661</v>
      </c>
      <c r="T13" s="21">
        <v>606850</v>
      </c>
      <c r="U13" s="21">
        <v>664011</v>
      </c>
      <c r="V13" s="21">
        <v>740157</v>
      </c>
      <c r="W13" s="21">
        <v>825258</v>
      </c>
      <c r="X13" s="21">
        <v>903188</v>
      </c>
      <c r="Y13" s="21">
        <v>895119</v>
      </c>
      <c r="Z13" s="21">
        <v>872382</v>
      </c>
      <c r="AA13" s="21">
        <v>782096</v>
      </c>
      <c r="AB13" s="21">
        <v>722908</v>
      </c>
      <c r="AC13" s="21">
        <v>682788</v>
      </c>
      <c r="AD13" s="21">
        <v>602552</v>
      </c>
      <c r="AE13" s="21">
        <v>567756</v>
      </c>
      <c r="AF13" s="21">
        <v>551862</v>
      </c>
      <c r="AG13" s="21">
        <v>541290</v>
      </c>
      <c r="AH13" s="21">
        <v>556621</v>
      </c>
      <c r="AI13" s="21">
        <v>587469</v>
      </c>
      <c r="AJ13" s="21">
        <v>626620</v>
      </c>
      <c r="AK13" s="21">
        <v>634912</v>
      </c>
      <c r="AL13" s="21">
        <v>625273</v>
      </c>
      <c r="AM13" s="21">
        <v>622539</v>
      </c>
      <c r="AN13" s="21">
        <v>587514</v>
      </c>
      <c r="AO13" s="21">
        <v>538640</v>
      </c>
      <c r="AP13" s="21">
        <v>500523</v>
      </c>
      <c r="AQ13" s="21">
        <v>456262</v>
      </c>
      <c r="AR13" s="21">
        <v>411997</v>
      </c>
      <c r="AS13" s="21">
        <v>383821</v>
      </c>
      <c r="AT13" s="21">
        <v>364934</v>
      </c>
      <c r="AU13" s="21">
        <v>356200</v>
      </c>
      <c r="AV13" s="21">
        <v>342233</v>
      </c>
      <c r="AW13" s="21">
        <v>296114</v>
      </c>
      <c r="AX13" s="21">
        <v>307847</v>
      </c>
      <c r="AY13" s="21">
        <v>351121</v>
      </c>
      <c r="AZ13" s="21">
        <v>357926</v>
      </c>
      <c r="BA13" s="21">
        <v>401914</v>
      </c>
      <c r="BB13" s="21">
        <v>394654</v>
      </c>
      <c r="BC13" s="21">
        <v>358162.68300000002</v>
      </c>
      <c r="BD13" s="21">
        <v>334955</v>
      </c>
      <c r="BE13" s="21">
        <v>318526.36200000002</v>
      </c>
      <c r="BF13" s="21">
        <v>301378.04499999998</v>
      </c>
      <c r="BG13" s="21">
        <v>299547.652</v>
      </c>
      <c r="BH13" s="21">
        <v>295909.68099999998</v>
      </c>
      <c r="BI13" s="21">
        <v>295602.39799999999</v>
      </c>
      <c r="BJ13" s="21">
        <v>283404.53999999998</v>
      </c>
      <c r="BK13" s="21">
        <v>263390.74599999998</v>
      </c>
      <c r="BL13" s="21">
        <v>236552.03200000001</v>
      </c>
      <c r="BM13" s="21">
        <v>206077.47099999999</v>
      </c>
      <c r="BN13" s="21">
        <v>190765.07399999999</v>
      </c>
      <c r="BO13" s="21">
        <v>175401.758</v>
      </c>
      <c r="BP13" s="21">
        <v>160048.62400000001</v>
      </c>
      <c r="BQ13" s="21">
        <v>144178.853</v>
      </c>
      <c r="BR13" s="21">
        <v>136687.24799999999</v>
      </c>
      <c r="BS13" s="21">
        <v>130272.125</v>
      </c>
      <c r="BT13" s="21">
        <v>125788.05</v>
      </c>
      <c r="BU13" s="21">
        <v>122475.33199999999</v>
      </c>
      <c r="BV13" s="21">
        <v>118831.299</v>
      </c>
      <c r="BW13" s="21">
        <v>118464.101</v>
      </c>
      <c r="BX13" s="21">
        <v>119514.63499999999</v>
      </c>
      <c r="BY13" s="21">
        <v>114339.814</v>
      </c>
      <c r="BZ13" s="21">
        <v>112340.277</v>
      </c>
      <c r="CA13" s="21">
        <v>106573.503</v>
      </c>
      <c r="CB13" s="21">
        <v>99971.214000000007</v>
      </c>
      <c r="CC13" s="21">
        <v>99797.248000000007</v>
      </c>
      <c r="CD13" s="21">
        <v>93429.123999999996</v>
      </c>
      <c r="CE13" s="21">
        <v>89877.721000000005</v>
      </c>
      <c r="CF13" s="21">
        <v>80555.028000000006</v>
      </c>
      <c r="CG13" s="21">
        <v>34.518000000000001</v>
      </c>
      <c r="CH13" s="21">
        <v>13.367000000000001</v>
      </c>
      <c r="CI13" s="21">
        <v>0</v>
      </c>
      <c r="CK13" s="15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</row>
    <row r="14" spans="1:110" outlineLevel="2" x14ac:dyDescent="0.2">
      <c r="A14" s="14">
        <v>1</v>
      </c>
      <c r="C14" s="10" t="str">
        <f>"        Total Revenue"</f>
        <v xml:space="preserve">        Total Revenue</v>
      </c>
      <c r="D14" s="29">
        <f t="shared" si="0"/>
        <v>357926</v>
      </c>
      <c r="E14" s="29">
        <f t="shared" si="1"/>
        <v>400811.47030666668</v>
      </c>
      <c r="F14" s="29">
        <f t="shared" si="2"/>
        <v>0</v>
      </c>
      <c r="G14" s="29">
        <f t="shared" si="3"/>
        <v>1044518.75</v>
      </c>
      <c r="H14" s="29">
        <f t="shared" si="4"/>
        <v>152113.73850000001</v>
      </c>
      <c r="I14" s="29">
        <f t="shared" si="5"/>
        <v>604701</v>
      </c>
      <c r="J14" s="29">
        <f t="shared" si="6"/>
        <v>256439.22093571161</v>
      </c>
      <c r="K14" s="30">
        <f t="shared" si="7"/>
        <v>0.63980010537000409</v>
      </c>
      <c r="L14" s="31"/>
      <c r="M14" s="31">
        <v>864126</v>
      </c>
      <c r="N14" s="132">
        <v>1044518.75</v>
      </c>
      <c r="O14" s="132">
        <v>587029.75</v>
      </c>
      <c r="P14" s="132">
        <v>493006.5</v>
      </c>
      <c r="Q14" s="132">
        <v>629364.75</v>
      </c>
      <c r="R14" s="31">
        <v>629937</v>
      </c>
      <c r="S14" s="31">
        <v>616661</v>
      </c>
      <c r="T14" s="31">
        <v>606850</v>
      </c>
      <c r="U14" s="31">
        <v>664011</v>
      </c>
      <c r="V14" s="31">
        <v>740157</v>
      </c>
      <c r="W14" s="31">
        <v>825258</v>
      </c>
      <c r="X14" s="31">
        <v>903188</v>
      </c>
      <c r="Y14" s="31">
        <v>895119</v>
      </c>
      <c r="Z14" s="31">
        <v>872382</v>
      </c>
      <c r="AA14" s="31">
        <v>782096</v>
      </c>
      <c r="AB14" s="31">
        <v>722908</v>
      </c>
      <c r="AC14" s="31">
        <v>682788</v>
      </c>
      <c r="AD14" s="31">
        <v>602552</v>
      </c>
      <c r="AE14" s="31">
        <v>567756</v>
      </c>
      <c r="AF14" s="31">
        <v>551862</v>
      </c>
      <c r="AG14" s="31">
        <v>541290</v>
      </c>
      <c r="AH14" s="31">
        <v>556621</v>
      </c>
      <c r="AI14" s="31">
        <v>587469</v>
      </c>
      <c r="AJ14" s="31">
        <v>626620</v>
      </c>
      <c r="AK14" s="31">
        <v>634912</v>
      </c>
      <c r="AL14" s="31">
        <v>625273</v>
      </c>
      <c r="AM14" s="31">
        <v>622539</v>
      </c>
      <c r="AN14" s="31">
        <v>587514</v>
      </c>
      <c r="AO14" s="31">
        <v>538640</v>
      </c>
      <c r="AP14" s="31">
        <v>500523</v>
      </c>
      <c r="AQ14" s="31">
        <v>456262</v>
      </c>
      <c r="AR14" s="31">
        <v>411997</v>
      </c>
      <c r="AS14" s="31">
        <v>383821</v>
      </c>
      <c r="AT14" s="31">
        <v>364934</v>
      </c>
      <c r="AU14" s="31">
        <v>356200</v>
      </c>
      <c r="AV14" s="31">
        <v>342233</v>
      </c>
      <c r="AW14" s="31">
        <v>296114</v>
      </c>
      <c r="AX14" s="31">
        <v>307847</v>
      </c>
      <c r="AY14" s="31">
        <v>351121</v>
      </c>
      <c r="AZ14" s="31">
        <v>357926</v>
      </c>
      <c r="BA14" s="31">
        <v>401914</v>
      </c>
      <c r="BB14" s="31">
        <v>394654</v>
      </c>
      <c r="BC14" s="31">
        <v>358162.68300000002</v>
      </c>
      <c r="BD14" s="31">
        <v>334955</v>
      </c>
      <c r="BE14" s="31">
        <v>318526.36200000002</v>
      </c>
      <c r="BF14" s="31">
        <v>301378.04499999998</v>
      </c>
      <c r="BG14" s="31">
        <v>299547.652</v>
      </c>
      <c r="BH14" s="31">
        <v>295909.68099999998</v>
      </c>
      <c r="BI14" s="31">
        <v>295602.39799999999</v>
      </c>
      <c r="BJ14" s="31">
        <v>283404.53999999998</v>
      </c>
      <c r="BK14" s="31">
        <v>263390.74599999998</v>
      </c>
      <c r="BL14" s="31">
        <v>236552.03200000001</v>
      </c>
      <c r="BM14" s="31">
        <v>206077.47099999999</v>
      </c>
      <c r="BN14" s="31">
        <v>190765.07399999999</v>
      </c>
      <c r="BO14" s="31">
        <v>175401.758</v>
      </c>
      <c r="BP14" s="31">
        <v>160048.62400000001</v>
      </c>
      <c r="BQ14" s="31">
        <v>144178.853</v>
      </c>
      <c r="BR14" s="31">
        <v>136687.24799999999</v>
      </c>
      <c r="BS14" s="31">
        <v>130272.125</v>
      </c>
      <c r="BT14" s="31">
        <v>125788.05</v>
      </c>
      <c r="BU14" s="31">
        <v>122475.33199999999</v>
      </c>
      <c r="BV14" s="31">
        <v>118831.299</v>
      </c>
      <c r="BW14" s="31">
        <v>118464.101</v>
      </c>
      <c r="BX14" s="31">
        <v>119514.63499999999</v>
      </c>
      <c r="BY14" s="31">
        <v>114339.814</v>
      </c>
      <c r="BZ14" s="31">
        <v>112340.277</v>
      </c>
      <c r="CA14" s="31">
        <v>106573.503</v>
      </c>
      <c r="CB14" s="31">
        <v>99971.214000000007</v>
      </c>
      <c r="CC14" s="31">
        <v>99797.248000000007</v>
      </c>
      <c r="CD14" s="31">
        <v>93429.123999999996</v>
      </c>
      <c r="CE14" s="31">
        <v>89877.721000000005</v>
      </c>
      <c r="CF14" s="31">
        <v>80555.028000000006</v>
      </c>
      <c r="CG14" s="31">
        <v>34.518000000000001</v>
      </c>
      <c r="CH14" s="31">
        <v>13.367000000000001</v>
      </c>
      <c r="CI14" s="31">
        <v>0</v>
      </c>
      <c r="CK14" s="15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</row>
    <row r="15" spans="1:110" outlineLevel="1" x14ac:dyDescent="0.2">
      <c r="A15" s="14">
        <v>1</v>
      </c>
      <c r="C15" s="9" t="str">
        <f>IF(SUBTOTAL(109,A15)=A15,"    Cost of Revenue","    Cost of Revenue")</f>
        <v xml:space="preserve">    Cost of Revenue</v>
      </c>
      <c r="D15" s="17" t="str">
        <f t="shared" si="0"/>
        <v/>
      </c>
      <c r="E15" s="17" t="str">
        <f t="shared" si="1"/>
        <v/>
      </c>
      <c r="F15" s="17" t="str">
        <f t="shared" si="2"/>
        <v/>
      </c>
      <c r="G15" s="17" t="str">
        <f t="shared" si="3"/>
        <v/>
      </c>
      <c r="H15" s="17" t="str">
        <f t="shared" si="4"/>
        <v/>
      </c>
      <c r="I15" s="17" t="str">
        <f t="shared" si="5"/>
        <v/>
      </c>
      <c r="J15" s="17" t="str">
        <f t="shared" si="6"/>
        <v/>
      </c>
      <c r="K15" s="18" t="str">
        <f t="shared" si="7"/>
        <v/>
      </c>
      <c r="L15" s="21"/>
      <c r="M15" s="21" t="str">
        <f>IF(SUBTOTAL(109,A15)=A15,"",489562)</f>
        <v/>
      </c>
      <c r="N15" s="21"/>
      <c r="O15" s="21"/>
      <c r="P15" s="21"/>
      <c r="Q15" s="21"/>
      <c r="R15" s="21" t="str">
        <f>IF(SUBTOTAL(109,A15)=A15,"",416808)</f>
        <v/>
      </c>
      <c r="S15" s="21" t="str">
        <f>IF(SUBTOTAL(109,A15)=A15,"",409119)</f>
        <v/>
      </c>
      <c r="T15" s="21" t="str">
        <f>IF(SUBTOTAL(109,A15)=A15,"",411098)</f>
        <v/>
      </c>
      <c r="U15" s="21" t="str">
        <f>IF(SUBTOTAL(109,A15)=A15,"",434876)</f>
        <v/>
      </c>
      <c r="V15" s="21" t="str">
        <f>IF(SUBTOTAL(109,A15)=A15,"",458628)</f>
        <v/>
      </c>
      <c r="W15" s="21" t="str">
        <f>IF(SUBTOTAL(109,A15)=A15,"",496923)</f>
        <v/>
      </c>
      <c r="X15" s="21" t="str">
        <f>IF(SUBTOTAL(109,A15)=A15,"",527916)</f>
        <v/>
      </c>
      <c r="Y15" s="21" t="str">
        <f>IF(SUBTOTAL(109,A15)=A15,"",518565)</f>
        <v/>
      </c>
      <c r="Z15" s="21" t="str">
        <f>IF(SUBTOTAL(109,A15)=A15,"",508481)</f>
        <v/>
      </c>
      <c r="AA15" s="21" t="str">
        <f>IF(SUBTOTAL(109,A15)=A15,"",459585)</f>
        <v/>
      </c>
      <c r="AB15" s="21" t="str">
        <f>IF(SUBTOTAL(109,A15)=A15,"",429096)</f>
        <v/>
      </c>
      <c r="AC15" s="21" t="str">
        <f>IF(SUBTOTAL(109,A15)=A15,"",413901)</f>
        <v/>
      </c>
      <c r="AD15" s="21" t="str">
        <f>IF(SUBTOTAL(109,A15)=A15,"",376499)</f>
        <v/>
      </c>
      <c r="AE15" s="21" t="str">
        <f>IF(SUBTOTAL(109,A15)=A15,"",363078)</f>
        <v/>
      </c>
      <c r="AF15" s="21" t="str">
        <f>IF(SUBTOTAL(109,A15)=A15,"",356936)</f>
        <v/>
      </c>
      <c r="AG15" s="21" t="str">
        <f>IF(SUBTOTAL(109,A15)=A15,"",343764)</f>
        <v/>
      </c>
      <c r="AH15" s="21" t="str">
        <f>IF(SUBTOTAL(109,A15)=A15,"",344268)</f>
        <v/>
      </c>
      <c r="AI15" s="21" t="str">
        <f>IF(SUBTOTAL(109,A15)=A15,"",352019)</f>
        <v/>
      </c>
      <c r="AJ15" s="21" t="str">
        <f>IF(SUBTOTAL(109,A15)=A15,"",367515)</f>
        <v/>
      </c>
      <c r="AK15" s="21" t="str">
        <f>IF(SUBTOTAL(109,A15)=A15,"",377105)</f>
        <v/>
      </c>
      <c r="AL15" s="21" t="str">
        <f>IF(SUBTOTAL(109,A15)=A15,"",376185)</f>
        <v/>
      </c>
      <c r="AM15" s="21" t="str">
        <f>IF(SUBTOTAL(109,A15)=A15,"",382920)</f>
        <v/>
      </c>
      <c r="AN15" s="21" t="str">
        <f>IF(SUBTOTAL(109,A15)=A15,"",369442)</f>
        <v/>
      </c>
      <c r="AO15" s="21" t="str">
        <f>IF(SUBTOTAL(109,A15)=A15,"",342234)</f>
        <v/>
      </c>
      <c r="AP15" s="21" t="str">
        <f>IF(SUBTOTAL(109,A15)=A15,"",324045)</f>
        <v/>
      </c>
      <c r="AQ15" s="21" t="str">
        <f>IF(SUBTOTAL(109,A15)=A15,"",303645)</f>
        <v/>
      </c>
      <c r="AR15" s="21" t="str">
        <f>IF(SUBTOTAL(109,A15)=A15,"",284091)</f>
        <v/>
      </c>
      <c r="AS15" s="21" t="str">
        <f>IF(SUBTOTAL(109,A15)=A15,"",271455)</f>
        <v/>
      </c>
      <c r="AT15" s="21" t="str">
        <f>IF(SUBTOTAL(109,A15)=A15,"",263181)</f>
        <v/>
      </c>
      <c r="AU15" s="21" t="str">
        <f>IF(SUBTOTAL(109,A15)=A15,"",253625)</f>
        <v/>
      </c>
      <c r="AV15" s="21" t="str">
        <f>IF(SUBTOTAL(109,A15)=A15,"",237545)</f>
        <v/>
      </c>
      <c r="AW15" s="21" t="str">
        <f>IF(SUBTOTAL(109,A15)=A15,"",202106)</f>
        <v/>
      </c>
      <c r="AX15" s="21" t="str">
        <f>IF(SUBTOTAL(109,A15)=A15,"",205904)</f>
        <v/>
      </c>
      <c r="AY15" s="21" t="str">
        <f>IF(SUBTOTAL(109,A15)=A15,"",234664)</f>
        <v/>
      </c>
      <c r="AZ15" s="21" t="str">
        <f>IF(SUBTOTAL(109,A15)=A15,"",238463)</f>
        <v/>
      </c>
      <c r="BA15" s="21" t="str">
        <f>IF(SUBTOTAL(109,A15)=A15,"",272056)</f>
        <v/>
      </c>
      <c r="BB15" s="21" t="str">
        <f>IF(SUBTOTAL(109,A15)=A15,"",270589)</f>
        <v/>
      </c>
      <c r="BC15" s="21" t="str">
        <f>IF(SUBTOTAL(109,A15)=A15,"",250454.126)</f>
        <v/>
      </c>
      <c r="BD15" s="21" t="str">
        <f>IF(SUBTOTAL(109,A15)=A15,"",237812)</f>
        <v/>
      </c>
      <c r="BE15" s="21" t="str">
        <f>IF(SUBTOTAL(109,A15)=A15,"",226870.517)</f>
        <v/>
      </c>
      <c r="BF15" s="21" t="str">
        <f>IF(SUBTOTAL(109,A15)=A15,"",213946.862)</f>
        <v/>
      </c>
      <c r="BG15" s="21" t="str">
        <f>IF(SUBTOTAL(109,A15)=A15,"",209005.786)</f>
        <v/>
      </c>
      <c r="BH15" s="21" t="str">
        <f>IF(SUBTOTAL(109,A15)=A15,"",203535.105)</f>
        <v/>
      </c>
      <c r="BI15" s="21" t="str">
        <f>IF(SUBTOTAL(109,A15)=A15,"",202086.542)</f>
        <v/>
      </c>
      <c r="BJ15" s="21" t="str">
        <f>IF(SUBTOTAL(109,A15)=A15,"",189512.472)</f>
        <v/>
      </c>
      <c r="BK15" s="21" t="str">
        <f>IF(SUBTOTAL(109,A15)=A15,"",176522.24)</f>
        <v/>
      </c>
      <c r="BL15" s="21" t="str">
        <f>IF(SUBTOTAL(109,A15)=A15,"",160214.197)</f>
        <v/>
      </c>
      <c r="BM15" s="21" t="str">
        <f>IF(SUBTOTAL(109,A15)=A15,"",138158.469)</f>
        <v/>
      </c>
      <c r="BN15" s="21" t="str">
        <f>IF(SUBTOTAL(109,A15)=A15,"",128568.973)</f>
        <v/>
      </c>
      <c r="BO15" s="21" t="str">
        <f>IF(SUBTOTAL(109,A15)=A15,"",118715.533)</f>
        <v/>
      </c>
      <c r="BP15" s="21" t="str">
        <f>IF(SUBTOTAL(109,A15)=A15,"",110441.625)</f>
        <v/>
      </c>
      <c r="BQ15" s="21" t="str">
        <f>IF(SUBTOTAL(109,A15)=A15,"",101375.534)</f>
        <v/>
      </c>
      <c r="BR15" s="21" t="str">
        <f>IF(SUBTOTAL(109,A15)=A15,"",97408.771)</f>
        <v/>
      </c>
      <c r="BS15" s="21" t="str">
        <f>IF(SUBTOTAL(109,A15)=A15,"",89149.618)</f>
        <v/>
      </c>
      <c r="BT15" s="21" t="str">
        <f>IF(SUBTOTAL(109,A15)=A15,"",84900.032)</f>
        <v/>
      </c>
      <c r="BU15" s="21" t="str">
        <f>IF(SUBTOTAL(109,A15)=A15,"",80358.427)</f>
        <v/>
      </c>
      <c r="BV15" s="21" t="str">
        <f>IF(SUBTOTAL(109,A15)=A15,"",76273.066)</f>
        <v/>
      </c>
      <c r="BW15" s="21" t="str">
        <f>IF(SUBTOTAL(109,A15)=A15,"",78924.225)</f>
        <v/>
      </c>
      <c r="BX15" s="21" t="str">
        <f>IF(SUBTOTAL(109,A15)=A15,"",80384.72)</f>
        <v/>
      </c>
      <c r="BY15" s="21" t="str">
        <f>IF(SUBTOTAL(109,A15)=A15,"",78166.154)</f>
        <v/>
      </c>
      <c r="BZ15" s="21" t="str">
        <f>IF(SUBTOTAL(109,A15)=A15,"",77339.342)</f>
        <v/>
      </c>
      <c r="CA15" s="21" t="str">
        <f>IF(SUBTOTAL(109,A15)=A15,"",74141.286)</f>
        <v/>
      </c>
      <c r="CB15" s="21" t="str">
        <f>IF(SUBTOTAL(109,A15)=A15,"",69590.497)</f>
        <v/>
      </c>
      <c r="CC15" s="21" t="str">
        <f>IF(SUBTOTAL(109,A15)=A15,"",70131.755)</f>
        <v/>
      </c>
      <c r="CD15" s="21" t="str">
        <f>IF(SUBTOTAL(109,A15)=A15,"",65956.123)</f>
        <v/>
      </c>
      <c r="CE15" s="21" t="str">
        <f>IF(SUBTOTAL(109,A15)=A15,"",65131.747)</f>
        <v/>
      </c>
      <c r="CF15" s="21" t="str">
        <f>IF(SUBTOTAL(109,A15)=A15,"",60756.956)</f>
        <v/>
      </c>
      <c r="CG15" s="21" t="str">
        <f>IF(SUBTOTAL(109,A15)=A15,"",13.765)</f>
        <v/>
      </c>
      <c r="CH15" s="21" t="str">
        <f>IF(SUBTOTAL(109,A15)=A15,"",5.347)</f>
        <v/>
      </c>
      <c r="CI15" s="21" t="str">
        <f>IF(SUBTOTAL(109,A15)=A15,"",0)</f>
        <v/>
      </c>
      <c r="CK15" s="15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</row>
    <row r="16" spans="1:110" outlineLevel="2" x14ac:dyDescent="0.2">
      <c r="A16" s="14">
        <v>1</v>
      </c>
      <c r="C16" s="9" t="str">
        <f>"        Cost of Goods and Services"</f>
        <v xml:space="preserve">        Cost of Goods and Services</v>
      </c>
      <c r="D16" s="17">
        <f t="shared" si="0"/>
        <v>380012.5</v>
      </c>
      <c r="E16" s="17">
        <f t="shared" si="1"/>
        <v>396022.2794117647</v>
      </c>
      <c r="F16" s="17">
        <f t="shared" si="2"/>
        <v>237545</v>
      </c>
      <c r="G16" s="17">
        <f t="shared" si="3"/>
        <v>597471.75</v>
      </c>
      <c r="H16" s="17">
        <f t="shared" si="4"/>
        <v>346205.75</v>
      </c>
      <c r="I16" s="17">
        <f t="shared" si="5"/>
        <v>433431</v>
      </c>
      <c r="J16" s="17">
        <f t="shared" si="6"/>
        <v>80115.525194865389</v>
      </c>
      <c r="K16" s="18">
        <f t="shared" si="7"/>
        <v>0.20230055065049804</v>
      </c>
      <c r="L16" s="21"/>
      <c r="M16" s="21">
        <v>489562</v>
      </c>
      <c r="N16" s="21">
        <v>597471.75</v>
      </c>
      <c r="O16" s="21">
        <v>395403.5</v>
      </c>
      <c r="P16" s="21">
        <v>339595</v>
      </c>
      <c r="Q16" s="21">
        <v>417975.25</v>
      </c>
      <c r="R16" s="21">
        <v>416808</v>
      </c>
      <c r="S16" s="21">
        <v>409119</v>
      </c>
      <c r="T16" s="21">
        <v>411098</v>
      </c>
      <c r="U16" s="21">
        <v>434876</v>
      </c>
      <c r="V16" s="21">
        <v>458628</v>
      </c>
      <c r="W16" s="21">
        <v>496923</v>
      </c>
      <c r="X16" s="21">
        <v>527916</v>
      </c>
      <c r="Y16" s="21">
        <v>518565</v>
      </c>
      <c r="Z16" s="21">
        <v>508481</v>
      </c>
      <c r="AA16" s="21">
        <v>459585</v>
      </c>
      <c r="AB16" s="21">
        <v>429096</v>
      </c>
      <c r="AC16" s="21">
        <v>413901</v>
      </c>
      <c r="AD16" s="21">
        <v>376499</v>
      </c>
      <c r="AE16" s="21">
        <v>363078</v>
      </c>
      <c r="AF16" s="21">
        <v>356936</v>
      </c>
      <c r="AG16" s="21">
        <v>343764</v>
      </c>
      <c r="AH16" s="21">
        <v>344268</v>
      </c>
      <c r="AI16" s="21">
        <v>352019</v>
      </c>
      <c r="AJ16" s="21">
        <v>367515</v>
      </c>
      <c r="AK16" s="21">
        <v>377105</v>
      </c>
      <c r="AL16" s="21">
        <v>376185</v>
      </c>
      <c r="AM16" s="21">
        <v>382920</v>
      </c>
      <c r="AN16" s="21">
        <v>369442</v>
      </c>
      <c r="AO16" s="21">
        <v>342234</v>
      </c>
      <c r="AP16" s="21">
        <v>324045</v>
      </c>
      <c r="AQ16" s="21">
        <v>303645</v>
      </c>
      <c r="AR16" s="21">
        <v>284091</v>
      </c>
      <c r="AS16" s="21" t="s">
        <v>165</v>
      </c>
      <c r="AT16" s="21" t="s">
        <v>165</v>
      </c>
      <c r="AU16" s="21" t="s">
        <v>165</v>
      </c>
      <c r="AV16" s="21">
        <v>237545</v>
      </c>
      <c r="AW16" s="21" t="s">
        <v>165</v>
      </c>
      <c r="AX16" s="21" t="s">
        <v>165</v>
      </c>
      <c r="AY16" s="21" t="s">
        <v>165</v>
      </c>
      <c r="AZ16" s="21">
        <v>238463</v>
      </c>
      <c r="BA16" s="21" t="s">
        <v>165</v>
      </c>
      <c r="BB16" s="21" t="s">
        <v>165</v>
      </c>
      <c r="BC16" s="21" t="s">
        <v>165</v>
      </c>
      <c r="BD16" s="21" t="s">
        <v>165</v>
      </c>
      <c r="BE16" s="21" t="s">
        <v>165</v>
      </c>
      <c r="BF16" s="21" t="s">
        <v>165</v>
      </c>
      <c r="BG16" s="21" t="s">
        <v>165</v>
      </c>
      <c r="BH16" s="21" t="s">
        <v>165</v>
      </c>
      <c r="BI16" s="21" t="s">
        <v>165</v>
      </c>
      <c r="BJ16" s="21" t="s">
        <v>165</v>
      </c>
      <c r="BK16" s="21" t="s">
        <v>165</v>
      </c>
      <c r="BL16" s="21" t="s">
        <v>165</v>
      </c>
      <c r="BM16" s="21" t="s">
        <v>165</v>
      </c>
      <c r="BN16" s="21" t="s">
        <v>165</v>
      </c>
      <c r="BO16" s="21" t="s">
        <v>165</v>
      </c>
      <c r="BP16" s="21" t="s">
        <v>165</v>
      </c>
      <c r="BQ16" s="21" t="s">
        <v>165</v>
      </c>
      <c r="BR16" s="21" t="s">
        <v>165</v>
      </c>
      <c r="BS16" s="21" t="s">
        <v>165</v>
      </c>
      <c r="BT16" s="21" t="s">
        <v>165</v>
      </c>
      <c r="BU16" s="21" t="s">
        <v>165</v>
      </c>
      <c r="BV16" s="21" t="s">
        <v>165</v>
      </c>
      <c r="BW16" s="21" t="s">
        <v>165</v>
      </c>
      <c r="BX16" s="21" t="s">
        <v>165</v>
      </c>
      <c r="BY16" s="21" t="s">
        <v>165</v>
      </c>
      <c r="BZ16" s="21" t="s">
        <v>165</v>
      </c>
      <c r="CA16" s="21" t="s">
        <v>165</v>
      </c>
      <c r="CB16" s="21" t="s">
        <v>165</v>
      </c>
      <c r="CC16" s="21" t="s">
        <v>165</v>
      </c>
      <c r="CD16" s="21" t="s">
        <v>165</v>
      </c>
      <c r="CE16" s="21" t="s">
        <v>165</v>
      </c>
      <c r="CF16" s="21" t="s">
        <v>165</v>
      </c>
      <c r="CG16" s="21" t="s">
        <v>165</v>
      </c>
      <c r="CH16" s="21" t="s">
        <v>165</v>
      </c>
      <c r="CI16" s="21" t="s">
        <v>165</v>
      </c>
      <c r="CK16" s="15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</row>
    <row r="17" spans="1:110" outlineLevel="2" x14ac:dyDescent="0.2">
      <c r="A17" s="14">
        <v>1</v>
      </c>
      <c r="C17" s="10" t="str">
        <f>"        Total Cost of Revenue"</f>
        <v xml:space="preserve">        Total Cost of Revenue</v>
      </c>
      <c r="D17" s="29">
        <f t="shared" si="0"/>
        <v>250454.12599999999</v>
      </c>
      <c r="E17" s="29">
        <f t="shared" si="1"/>
        <v>256722.52416000003</v>
      </c>
      <c r="F17" s="29">
        <f t="shared" si="2"/>
        <v>0</v>
      </c>
      <c r="G17" s="29">
        <f t="shared" si="3"/>
        <v>597471.75</v>
      </c>
      <c r="H17" s="29">
        <f t="shared" si="4"/>
        <v>105908.57949999999</v>
      </c>
      <c r="I17" s="29">
        <f t="shared" si="5"/>
        <v>376342</v>
      </c>
      <c r="J17" s="29">
        <f t="shared" si="6"/>
        <v>151150.45162211708</v>
      </c>
      <c r="K17" s="30">
        <f t="shared" si="7"/>
        <v>0.58876973150947165</v>
      </c>
      <c r="L17" s="31"/>
      <c r="M17" s="31">
        <v>489562</v>
      </c>
      <c r="N17" s="31">
        <v>597471.75</v>
      </c>
      <c r="O17" s="31">
        <v>395403.5</v>
      </c>
      <c r="P17" s="31">
        <v>339595</v>
      </c>
      <c r="Q17" s="31">
        <v>417975.25</v>
      </c>
      <c r="R17" s="31">
        <v>416808</v>
      </c>
      <c r="S17" s="31">
        <v>409119</v>
      </c>
      <c r="T17" s="31">
        <v>411098</v>
      </c>
      <c r="U17" s="31">
        <v>434876</v>
      </c>
      <c r="V17" s="31">
        <v>458628</v>
      </c>
      <c r="W17" s="31">
        <v>496923</v>
      </c>
      <c r="X17" s="31">
        <v>527916</v>
      </c>
      <c r="Y17" s="31">
        <v>518565</v>
      </c>
      <c r="Z17" s="31">
        <v>508481</v>
      </c>
      <c r="AA17" s="31">
        <v>459585</v>
      </c>
      <c r="AB17" s="31">
        <v>429096</v>
      </c>
      <c r="AC17" s="31">
        <v>413901</v>
      </c>
      <c r="AD17" s="31">
        <v>376499</v>
      </c>
      <c r="AE17" s="31">
        <v>363078</v>
      </c>
      <c r="AF17" s="31">
        <v>356936</v>
      </c>
      <c r="AG17" s="31">
        <v>343764</v>
      </c>
      <c r="AH17" s="31">
        <v>344268</v>
      </c>
      <c r="AI17" s="31">
        <v>352019</v>
      </c>
      <c r="AJ17" s="31">
        <v>367515</v>
      </c>
      <c r="AK17" s="31">
        <v>377105</v>
      </c>
      <c r="AL17" s="31">
        <v>376185</v>
      </c>
      <c r="AM17" s="31">
        <v>382920</v>
      </c>
      <c r="AN17" s="31">
        <v>369442</v>
      </c>
      <c r="AO17" s="31">
        <v>342234</v>
      </c>
      <c r="AP17" s="31">
        <v>324045</v>
      </c>
      <c r="AQ17" s="31">
        <v>303645</v>
      </c>
      <c r="AR17" s="31">
        <v>284091</v>
      </c>
      <c r="AS17" s="31">
        <v>271455</v>
      </c>
      <c r="AT17" s="31">
        <v>263181</v>
      </c>
      <c r="AU17" s="31">
        <v>253625</v>
      </c>
      <c r="AV17" s="31">
        <v>237545</v>
      </c>
      <c r="AW17" s="31">
        <v>202106</v>
      </c>
      <c r="AX17" s="31">
        <v>205904</v>
      </c>
      <c r="AY17" s="31">
        <v>234664</v>
      </c>
      <c r="AZ17" s="31">
        <v>238463</v>
      </c>
      <c r="BA17" s="31">
        <v>272056</v>
      </c>
      <c r="BB17" s="31">
        <v>270589</v>
      </c>
      <c r="BC17" s="31">
        <v>250454.12599999999</v>
      </c>
      <c r="BD17" s="31">
        <v>237812</v>
      </c>
      <c r="BE17" s="31">
        <v>226870.51699999999</v>
      </c>
      <c r="BF17" s="31">
        <v>213946.86199999999</v>
      </c>
      <c r="BG17" s="31">
        <v>209005.78599999999</v>
      </c>
      <c r="BH17" s="31">
        <v>203535.10500000001</v>
      </c>
      <c r="BI17" s="31">
        <v>202086.54199999999</v>
      </c>
      <c r="BJ17" s="31">
        <v>189512.47200000001</v>
      </c>
      <c r="BK17" s="31">
        <v>176522.23999999999</v>
      </c>
      <c r="BL17" s="31">
        <v>160214.19699999999</v>
      </c>
      <c r="BM17" s="31">
        <v>138158.46900000001</v>
      </c>
      <c r="BN17" s="31">
        <v>128568.973</v>
      </c>
      <c r="BO17" s="31">
        <v>118715.533</v>
      </c>
      <c r="BP17" s="31">
        <v>110441.625</v>
      </c>
      <c r="BQ17" s="31">
        <v>101375.534</v>
      </c>
      <c r="BR17" s="31">
        <v>97408.770999999993</v>
      </c>
      <c r="BS17" s="31">
        <v>89149.618000000002</v>
      </c>
      <c r="BT17" s="31">
        <v>84900.032000000007</v>
      </c>
      <c r="BU17" s="31">
        <v>80358.426999999996</v>
      </c>
      <c r="BV17" s="31">
        <v>76273.066000000006</v>
      </c>
      <c r="BW17" s="31">
        <v>78924.225000000006</v>
      </c>
      <c r="BX17" s="31">
        <v>80384.72</v>
      </c>
      <c r="BY17" s="31">
        <v>78166.153999999995</v>
      </c>
      <c r="BZ17" s="31">
        <v>77339.342000000004</v>
      </c>
      <c r="CA17" s="31">
        <v>74141.285999999993</v>
      </c>
      <c r="CB17" s="31">
        <v>69590.497000000003</v>
      </c>
      <c r="CC17" s="31">
        <v>70131.755000000005</v>
      </c>
      <c r="CD17" s="31">
        <v>65956.123000000007</v>
      </c>
      <c r="CE17" s="31">
        <v>65131.747000000003</v>
      </c>
      <c r="CF17" s="31">
        <v>60756.955999999998</v>
      </c>
      <c r="CG17" s="31">
        <v>13.765000000000001</v>
      </c>
      <c r="CH17" s="31">
        <v>5.3470000000000004</v>
      </c>
      <c r="CI17" s="31">
        <v>0</v>
      </c>
      <c r="CK17" s="15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</row>
    <row r="18" spans="1:110" outlineLevel="1" x14ac:dyDescent="0.2">
      <c r="A18" s="14">
        <v>1</v>
      </c>
      <c r="C18" s="11" t="str">
        <f>"    Total Gross Profit"</f>
        <v xml:space="preserve">    Total Gross Profit</v>
      </c>
      <c r="D18" s="29">
        <f t="shared" si="0"/>
        <v>110037.2785</v>
      </c>
      <c r="E18" s="29">
        <f t="shared" si="1"/>
        <v>146036.09406756755</v>
      </c>
      <c r="F18" s="29">
        <f t="shared" si="2"/>
        <v>8.02</v>
      </c>
      <c r="G18" s="29">
        <f t="shared" si="3"/>
        <v>447047</v>
      </c>
      <c r="H18" s="29">
        <f t="shared" si="4"/>
        <v>51376.805500000002</v>
      </c>
      <c r="I18" s="29">
        <f t="shared" si="5"/>
        <v>212935</v>
      </c>
      <c r="J18" s="29">
        <f t="shared" si="6"/>
        <v>106935.32954010602</v>
      </c>
      <c r="K18" s="30">
        <f t="shared" si="7"/>
        <v>0.73225273671472957</v>
      </c>
      <c r="L18" s="29"/>
      <c r="M18" s="29">
        <v>374564</v>
      </c>
      <c r="N18" s="29">
        <v>447047</v>
      </c>
      <c r="O18" s="29">
        <v>191626.25</v>
      </c>
      <c r="P18" s="29">
        <v>153411.5</v>
      </c>
      <c r="Q18" s="29">
        <v>211389.5</v>
      </c>
      <c r="R18" s="29">
        <v>213129</v>
      </c>
      <c r="S18" s="29">
        <v>207542</v>
      </c>
      <c r="T18" s="29">
        <v>195752</v>
      </c>
      <c r="U18" s="29">
        <v>229135</v>
      </c>
      <c r="V18" s="29">
        <v>281529</v>
      </c>
      <c r="W18" s="29">
        <v>328335</v>
      </c>
      <c r="X18" s="29">
        <v>375272</v>
      </c>
      <c r="Y18" s="29">
        <v>376554</v>
      </c>
      <c r="Z18" s="29">
        <v>363901</v>
      </c>
      <c r="AA18" s="29">
        <v>322511</v>
      </c>
      <c r="AB18" s="29">
        <v>293812</v>
      </c>
      <c r="AC18" s="29">
        <v>268887</v>
      </c>
      <c r="AD18" s="29">
        <v>226053</v>
      </c>
      <c r="AE18" s="29">
        <v>204678</v>
      </c>
      <c r="AF18" s="29">
        <v>194926</v>
      </c>
      <c r="AG18" s="29">
        <v>197526</v>
      </c>
      <c r="AH18" s="29">
        <v>212353</v>
      </c>
      <c r="AI18" s="29">
        <v>235450</v>
      </c>
      <c r="AJ18" s="29">
        <v>259105</v>
      </c>
      <c r="AK18" s="29">
        <v>257807</v>
      </c>
      <c r="AL18" s="29">
        <v>249088</v>
      </c>
      <c r="AM18" s="29">
        <v>239619</v>
      </c>
      <c r="AN18" s="29">
        <v>218072</v>
      </c>
      <c r="AO18" s="29">
        <v>196406</v>
      </c>
      <c r="AP18" s="29">
        <v>176478</v>
      </c>
      <c r="AQ18" s="29">
        <v>152617</v>
      </c>
      <c r="AR18" s="29">
        <v>127906</v>
      </c>
      <c r="AS18" s="29">
        <v>112366</v>
      </c>
      <c r="AT18" s="29">
        <v>101753</v>
      </c>
      <c r="AU18" s="29">
        <v>102575</v>
      </c>
      <c r="AV18" s="29">
        <v>104688</v>
      </c>
      <c r="AW18" s="29">
        <v>94008</v>
      </c>
      <c r="AX18" s="29">
        <v>101943</v>
      </c>
      <c r="AY18" s="29">
        <v>116457</v>
      </c>
      <c r="AZ18" s="29">
        <v>119463</v>
      </c>
      <c r="BA18" s="29">
        <v>129858</v>
      </c>
      <c r="BB18" s="29">
        <v>124065</v>
      </c>
      <c r="BC18" s="29">
        <v>107708.557</v>
      </c>
      <c r="BD18" s="29">
        <v>97143</v>
      </c>
      <c r="BE18" s="29">
        <v>91655.845000000001</v>
      </c>
      <c r="BF18" s="29">
        <v>87431.183000000005</v>
      </c>
      <c r="BG18" s="29">
        <v>90541.865999999995</v>
      </c>
      <c r="BH18" s="29">
        <v>92374.576000000001</v>
      </c>
      <c r="BI18" s="29">
        <v>93515.856</v>
      </c>
      <c r="BJ18" s="29">
        <v>93892.067999999999</v>
      </c>
      <c r="BK18" s="29">
        <v>86868.505999999994</v>
      </c>
      <c r="BL18" s="29">
        <v>76337.835000000006</v>
      </c>
      <c r="BM18" s="29">
        <v>67919.001999999993</v>
      </c>
      <c r="BN18" s="29">
        <v>62196.101000000002</v>
      </c>
      <c r="BO18" s="29">
        <v>56686.224999999999</v>
      </c>
      <c r="BP18" s="29">
        <v>49606.999000000003</v>
      </c>
      <c r="BQ18" s="29">
        <v>42803.319000000003</v>
      </c>
      <c r="BR18" s="29">
        <v>39278.476999999999</v>
      </c>
      <c r="BS18" s="29">
        <v>41122.506999999998</v>
      </c>
      <c r="BT18" s="29">
        <v>40888.017999999996</v>
      </c>
      <c r="BU18" s="29">
        <v>42116.904999999999</v>
      </c>
      <c r="BV18" s="29">
        <v>42558.233</v>
      </c>
      <c r="BW18" s="29">
        <v>39539.875999999997</v>
      </c>
      <c r="BX18" s="29">
        <v>39129.915000000001</v>
      </c>
      <c r="BY18" s="29">
        <v>36173.660000000003</v>
      </c>
      <c r="BZ18" s="29">
        <v>35000.934999999998</v>
      </c>
      <c r="CA18" s="29">
        <v>32432.217000000001</v>
      </c>
      <c r="CB18" s="29">
        <v>30380.717000000001</v>
      </c>
      <c r="CC18" s="29">
        <v>29665.492999999999</v>
      </c>
      <c r="CD18" s="29">
        <v>27473.001</v>
      </c>
      <c r="CE18" s="29">
        <v>24745.973999999998</v>
      </c>
      <c r="CF18" s="29">
        <v>19798.072</v>
      </c>
      <c r="CG18" s="29">
        <v>20.753</v>
      </c>
      <c r="CH18" s="29">
        <v>8.02</v>
      </c>
      <c r="CI18" s="29" t="s">
        <v>165</v>
      </c>
      <c r="CK18" s="15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</row>
    <row r="19" spans="1:110" x14ac:dyDescent="0.2">
      <c r="A19" s="14">
        <v>1</v>
      </c>
      <c r="C19" s="11" t="str">
        <f>IF(SUBTOTAL(109,A19)=A19,"Operating (Income)/Expenses","Operating (Income)/Expenses")</f>
        <v>Operating (Income)/Expenses</v>
      </c>
      <c r="D19" s="27" t="str">
        <f t="shared" si="0"/>
        <v/>
      </c>
      <c r="E19" s="27" t="str">
        <f t="shared" si="1"/>
        <v/>
      </c>
      <c r="F19" s="27" t="str">
        <f t="shared" si="2"/>
        <v/>
      </c>
      <c r="G19" s="27" t="str">
        <f t="shared" si="3"/>
        <v/>
      </c>
      <c r="H19" s="27" t="str">
        <f t="shared" si="4"/>
        <v/>
      </c>
      <c r="I19" s="27" t="str">
        <f t="shared" si="5"/>
        <v/>
      </c>
      <c r="J19" s="27" t="str">
        <f t="shared" si="6"/>
        <v/>
      </c>
      <c r="K19" s="28" t="str">
        <f t="shared" si="7"/>
        <v/>
      </c>
      <c r="L19" s="27"/>
      <c r="M19" s="27" t="str">
        <f>IF(SUBTOTAL(109,A19)=A19,"",122911)</f>
        <v/>
      </c>
      <c r="N19" s="27"/>
      <c r="O19" s="27"/>
      <c r="P19" s="27"/>
      <c r="Q19" s="27"/>
      <c r="R19" s="27" t="str">
        <f>IF(SUBTOTAL(109,A19)=A19,"",166070)</f>
        <v/>
      </c>
      <c r="S19" s="27" t="str">
        <f>IF(SUBTOTAL(109,A19)=A19,"",163819)</f>
        <v/>
      </c>
      <c r="T19" s="27" t="str">
        <f>IF(SUBTOTAL(109,A19)=A19,"",168704)</f>
        <v/>
      </c>
      <c r="U19" s="27" t="str">
        <f>IF(SUBTOTAL(109,A19)=A19,"",173452)</f>
        <v/>
      </c>
      <c r="V19" s="27" t="str">
        <f>IF(SUBTOTAL(109,A19)=A19,"",181480)</f>
        <v/>
      </c>
      <c r="W19" s="27" t="str">
        <f>IF(SUBTOTAL(109,A19)=A19,"",184124)</f>
        <v/>
      </c>
      <c r="X19" s="27" t="str">
        <f>IF(SUBTOTAL(109,A19)=A19,"",175333)</f>
        <v/>
      </c>
      <c r="Y19" s="27" t="str">
        <f>IF(SUBTOTAL(109,A19)=A19,"",164770)</f>
        <v/>
      </c>
      <c r="Z19" s="27" t="str">
        <f>IF(SUBTOTAL(109,A19)=A19,"",152181)</f>
        <v/>
      </c>
      <c r="AA19" s="27" t="str">
        <f>IF(SUBTOTAL(109,A19)=A19,"",141161)</f>
        <v/>
      </c>
      <c r="AB19" s="27" t="str">
        <f>IF(SUBTOTAL(109,A19)=A19,"",135169)</f>
        <v/>
      </c>
      <c r="AC19" s="27" t="str">
        <f>IF(SUBTOTAL(109,A19)=A19,"",129570)</f>
        <v/>
      </c>
      <c r="AD19" s="27" t="str">
        <f>IF(SUBTOTAL(109,A19)=A19,"",121272)</f>
        <v/>
      </c>
      <c r="AE19" s="27" t="str">
        <f>IF(SUBTOTAL(109,A19)=A19,"",110906)</f>
        <v/>
      </c>
      <c r="AF19" s="27" t="str">
        <f>IF(SUBTOTAL(109,A19)=A19,"",105298)</f>
        <v/>
      </c>
      <c r="AG19" s="27" t="str">
        <f>IF(SUBTOTAL(109,A19)=A19,"",102388)</f>
        <v/>
      </c>
      <c r="AH19" s="27" t="str">
        <f>IF(SUBTOTAL(109,A19)=A19,"",101704)</f>
        <v/>
      </c>
      <c r="AI19" s="27" t="str">
        <f>IF(SUBTOTAL(109,A19)=A19,"",106801)</f>
        <v/>
      </c>
      <c r="AJ19" s="27" t="str">
        <f>IF(SUBTOTAL(109,A19)=A19,"",108117)</f>
        <v/>
      </c>
      <c r="AK19" s="27" t="str">
        <f>IF(SUBTOTAL(109,A19)=A19,"",103033)</f>
        <v/>
      </c>
      <c r="AL19" s="27" t="str">
        <f>IF(SUBTOTAL(109,A19)=A19,"",97386)</f>
        <v/>
      </c>
      <c r="AM19" s="27" t="str">
        <f>IF(SUBTOTAL(109,A19)=A19,"",90067)</f>
        <v/>
      </c>
      <c r="AN19" s="27" t="str">
        <f>IF(SUBTOTAL(109,A19)=A19,"",85238)</f>
        <v/>
      </c>
      <c r="AO19" s="27" t="str">
        <f>IF(SUBTOTAL(109,A19)=A19,"",84771)</f>
        <v/>
      </c>
      <c r="AP19" s="27" t="str">
        <f>IF(SUBTOTAL(109,A19)=A19,"",82605)</f>
        <v/>
      </c>
      <c r="AQ19" s="27" t="str">
        <f>IF(SUBTOTAL(109,A19)=A19,"",81936)</f>
        <v/>
      </c>
      <c r="AR19" s="27" t="str">
        <f>IF(SUBTOTAL(109,A19)=A19,"",82990)</f>
        <v/>
      </c>
      <c r="AS19" s="27" t="str">
        <f>IF(SUBTOTAL(109,A19)=A19,"",85125)</f>
        <v/>
      </c>
      <c r="AT19" s="27" t="str">
        <f>IF(SUBTOTAL(109,A19)=A19,"",86736)</f>
        <v/>
      </c>
      <c r="AU19" s="27" t="str">
        <f>IF(SUBTOTAL(109,A19)=A19,"",86177)</f>
        <v/>
      </c>
      <c r="AV19" s="27" t="str">
        <f>IF(SUBTOTAL(109,A19)=A19,"",86897)</f>
        <v/>
      </c>
      <c r="AW19" s="27" t="str">
        <f>IF(SUBTOTAL(109,A19)=A19,"",77586)</f>
        <v/>
      </c>
      <c r="AX19" s="27" t="str">
        <f>IF(SUBTOTAL(109,A19)=A19,"",79345)</f>
        <v/>
      </c>
      <c r="AY19" s="27" t="str">
        <f>IF(SUBTOTAL(109,A19)=A19,"",86110)</f>
        <v/>
      </c>
      <c r="AZ19" s="27" t="str">
        <f>IF(SUBTOTAL(109,A19)=A19,"",79391)</f>
        <v/>
      </c>
      <c r="BA19" s="27" t="str">
        <f>IF(SUBTOTAL(109,A19)=A19,"",84332)</f>
        <v/>
      </c>
      <c r="BB19" s="27" t="str">
        <f>IF(SUBTOTAL(109,A19)=A19,"",78251)</f>
        <v/>
      </c>
      <c r="BC19" s="27" t="str">
        <f>IF(SUBTOTAL(109,A19)=A19,"",170307.101)</f>
        <v/>
      </c>
      <c r="BD19" s="27" t="str">
        <f>IF(SUBTOTAL(109,A19)=A19,"",72267)</f>
        <v/>
      </c>
      <c r="BE19" s="27" t="str">
        <f>IF(SUBTOTAL(109,A19)=A19,"",71369.83)</f>
        <v/>
      </c>
      <c r="BF19" s="27" t="str">
        <f>IF(SUBTOTAL(109,A19)=A19,"",168913.862)</f>
        <v/>
      </c>
      <c r="BG19" s="27" t="str">
        <f>IF(SUBTOTAL(109,A19)=A19,"",69962.394)</f>
        <v/>
      </c>
      <c r="BH19" s="27" t="str">
        <f>IF(SUBTOTAL(109,A19)=A19,"",68235.058)</f>
        <v/>
      </c>
      <c r="BI19" s="27" t="str">
        <f>IF(SUBTOTAL(109,A19)=A19,"",67280.609)</f>
        <v/>
      </c>
      <c r="BJ19" s="27" t="str">
        <f>IF(SUBTOTAL(109,A19)=A19,"",64348.239)</f>
        <v/>
      </c>
      <c r="BK19" s="27" t="str">
        <f>IF(SUBTOTAL(109,A19)=A19,"",58513.816)</f>
        <v/>
      </c>
      <c r="BL19" s="27" t="str">
        <f>IF(SUBTOTAL(109,A19)=A19,"",51909.173)</f>
        <v/>
      </c>
      <c r="BM19" s="27" t="str">
        <f>IF(SUBTOTAL(109,A19)=A19,"",46461.905)</f>
        <v/>
      </c>
      <c r="BN19" s="27" t="str">
        <f>IF(SUBTOTAL(109,A19)=A19,"",42479.238)</f>
        <v/>
      </c>
      <c r="BO19" s="27" t="str">
        <f>IF(SUBTOTAL(109,A19)=A19,"",41075.743)</f>
        <v/>
      </c>
      <c r="BP19" s="27" t="str">
        <f>IF(SUBTOTAL(109,A19)=A19,"",35062.68)</f>
        <v/>
      </c>
      <c r="BQ19" s="27" t="str">
        <f>IF(SUBTOTAL(109,A19)=A19,"",31410.683)</f>
        <v/>
      </c>
      <c r="BR19" s="27" t="str">
        <f>IF(SUBTOTAL(109,A19)=A19,"",29120.115)</f>
        <v/>
      </c>
      <c r="BS19" s="27" t="str">
        <f>IF(SUBTOTAL(109,A19)=A19,"",27913.132)</f>
        <v/>
      </c>
      <c r="BT19" s="27" t="str">
        <f>IF(SUBTOTAL(109,A19)=A19,"",29707.027)</f>
        <v/>
      </c>
      <c r="BU19" s="27" t="str">
        <f>IF(SUBTOTAL(109,A19)=A19,"",31081.459)</f>
        <v/>
      </c>
      <c r="BV19" s="27" t="str">
        <f>IF(SUBTOTAL(109,A19)=A19,"",33320.254)</f>
        <v/>
      </c>
      <c r="BW19" s="27" t="str">
        <f>IF(SUBTOTAL(109,A19)=A19,"",33289.111)</f>
        <v/>
      </c>
      <c r="BX19" s="27" t="str">
        <f>IF(SUBTOTAL(109,A19)=A19,"",33318.295)</f>
        <v/>
      </c>
      <c r="BY19" s="27" t="str">
        <f>IF(SUBTOTAL(109,A19)=A19,"",33339.861)</f>
        <v/>
      </c>
      <c r="BZ19" s="27" t="str">
        <f>IF(SUBTOTAL(109,A19)=A19,"",30057.187)</f>
        <v/>
      </c>
      <c r="CA19" s="27" t="str">
        <f>IF(SUBTOTAL(109,A19)=A19,"",28298.12)</f>
        <v/>
      </c>
      <c r="CB19" s="27" t="str">
        <f>IF(SUBTOTAL(109,A19)=A19,"",27658.16)</f>
        <v/>
      </c>
      <c r="CC19" s="27" t="str">
        <f>IF(SUBTOTAL(109,A19)=A19,"",30449.823)</f>
        <v/>
      </c>
      <c r="CD19" s="27" t="str">
        <f>IF(SUBTOTAL(109,A19)=A19,"",27083.259)</f>
        <v/>
      </c>
      <c r="CE19" s="27" t="str">
        <f>IF(SUBTOTAL(109,A19)=A19,"",24587.38)</f>
        <v/>
      </c>
      <c r="CF19" s="27" t="str">
        <f>IF(SUBTOTAL(109,A19)=A19,"",23317.853)</f>
        <v/>
      </c>
      <c r="CG19" s="27" t="str">
        <f>IF(SUBTOTAL(109,A19)=A19,"",2482.661)</f>
        <v/>
      </c>
      <c r="CH19" s="27" t="str">
        <f>IF(SUBTOTAL(109,A19)=A19,"",2550.09)</f>
        <v/>
      </c>
      <c r="CI19" s="27" t="str">
        <f>IF(SUBTOTAL(109,A19)=A19,"",1243.04)</f>
        <v/>
      </c>
      <c r="CK19" s="15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</row>
    <row r="20" spans="1:110" outlineLevel="1" x14ac:dyDescent="0.2">
      <c r="A20" s="14">
        <v>1</v>
      </c>
      <c r="C20" s="9" t="str">
        <f>IF(SUBTOTAL(109,A20)=A20,"    Selling, General and Administrative Expenses","    Selling, General and Administrative Expenses")</f>
        <v xml:space="preserve">    Selling, General and Administrative Expenses</v>
      </c>
      <c r="D20" s="17" t="str">
        <f t="shared" si="0"/>
        <v/>
      </c>
      <c r="E20" s="17" t="str">
        <f t="shared" si="1"/>
        <v/>
      </c>
      <c r="F20" s="17" t="str">
        <f t="shared" si="2"/>
        <v/>
      </c>
      <c r="G20" s="17" t="str">
        <f t="shared" si="3"/>
        <v/>
      </c>
      <c r="H20" s="17" t="str">
        <f t="shared" si="4"/>
        <v/>
      </c>
      <c r="I20" s="17" t="str">
        <f t="shared" si="5"/>
        <v/>
      </c>
      <c r="J20" s="17" t="str">
        <f t="shared" si="6"/>
        <v/>
      </c>
      <c r="K20" s="18" t="str">
        <f t="shared" si="7"/>
        <v/>
      </c>
      <c r="L20" s="21"/>
      <c r="M20" s="21" t="str">
        <f>IF(SUBTOTAL(109,A20)=A20,"",115649)</f>
        <v/>
      </c>
      <c r="N20" s="21"/>
      <c r="O20" s="21"/>
      <c r="P20" s="21"/>
      <c r="Q20" s="21"/>
      <c r="R20" s="21" t="str">
        <f>IF(SUBTOTAL(109,A20)=A20,"",154179)</f>
        <v/>
      </c>
      <c r="S20" s="21" t="str">
        <f>IF(SUBTOTAL(109,A20)=A20,"",152434)</f>
        <v/>
      </c>
      <c r="T20" s="21" t="str">
        <f>IF(SUBTOTAL(109,A20)=A20,"",157343)</f>
        <v/>
      </c>
      <c r="U20" s="21" t="str">
        <f>IF(SUBTOTAL(109,A20)=A20,"",162148)</f>
        <v/>
      </c>
      <c r="V20" s="21" t="str">
        <f>IF(SUBTOTAL(109,A20)=A20,"",170560)</f>
        <v/>
      </c>
      <c r="W20" s="21" t="str">
        <f>IF(SUBTOTAL(109,A20)=A20,"",173252)</f>
        <v/>
      </c>
      <c r="X20" s="21" t="str">
        <f>IF(SUBTOTAL(109,A20)=A20,"",165095)</f>
        <v/>
      </c>
      <c r="Y20" s="21" t="str">
        <f>IF(SUBTOTAL(109,A20)=A20,"",154763)</f>
        <v/>
      </c>
      <c r="Z20" s="21" t="str">
        <f>IF(SUBTOTAL(109,A20)=A20,"",142416)</f>
        <v/>
      </c>
      <c r="AA20" s="21" t="str">
        <f>IF(SUBTOTAL(109,A20)=A20,"",131400)</f>
        <v/>
      </c>
      <c r="AB20" s="21" t="str">
        <f>IF(SUBTOTAL(109,A20)=A20,"",125164)</f>
        <v/>
      </c>
      <c r="AC20" s="21" t="str">
        <f>IF(SUBTOTAL(109,A20)=A20,"",119845)</f>
        <v/>
      </c>
      <c r="AD20" s="21" t="str">
        <f>IF(SUBTOTAL(109,A20)=A20,"",112167)</f>
        <v/>
      </c>
      <c r="AE20" s="21" t="str">
        <f>IF(SUBTOTAL(109,A20)=A20,"",103023)</f>
        <v/>
      </c>
      <c r="AF20" s="21" t="str">
        <f>IF(SUBTOTAL(109,A20)=A20,"",98355)</f>
        <v/>
      </c>
      <c r="AG20" s="21" t="str">
        <f>IF(SUBTOTAL(109,A20)=A20,"",96029)</f>
        <v/>
      </c>
      <c r="AH20" s="21" t="str">
        <f>IF(SUBTOTAL(109,A20)=A20,"",95790)</f>
        <v/>
      </c>
      <c r="AI20" s="21" t="str">
        <f>IF(SUBTOTAL(109,A20)=A20,"",101054)</f>
        <v/>
      </c>
      <c r="AJ20" s="21" t="str">
        <f>IF(SUBTOTAL(109,A20)=A20,"",102469)</f>
        <v/>
      </c>
      <c r="AK20" s="21" t="str">
        <f>IF(SUBTOTAL(109,A20)=A20,"",97516)</f>
        <v/>
      </c>
      <c r="AL20" s="21" t="str">
        <f>IF(SUBTOTAL(109,A20)=A20,"",92372)</f>
        <v/>
      </c>
      <c r="AM20" s="21" t="str">
        <f>IF(SUBTOTAL(109,A20)=A20,"",85091)</f>
        <v/>
      </c>
      <c r="AN20" s="21" t="str">
        <f>IF(SUBTOTAL(109,A20)=A20,"",80448)</f>
        <v/>
      </c>
      <c r="AO20" s="21" t="str">
        <f>IF(SUBTOTAL(109,A20)=A20,"",80406)</f>
        <v/>
      </c>
      <c r="AP20" s="21" t="str">
        <f>IF(SUBTOTAL(109,A20)=A20,"",78201)</f>
        <v/>
      </c>
      <c r="AQ20" s="21" t="str">
        <f>IF(SUBTOTAL(109,A20)=A20,"",77558)</f>
        <v/>
      </c>
      <c r="AR20" s="21" t="str">
        <f>IF(SUBTOTAL(109,A20)=A20,"",78446)</f>
        <v/>
      </c>
      <c r="AS20" s="21" t="str">
        <f>IF(SUBTOTAL(109,A20)=A20,"",80290)</f>
        <v/>
      </c>
      <c r="AT20" s="21" t="str">
        <f>IF(SUBTOTAL(109,A20)=A20,"",81686)</f>
        <v/>
      </c>
      <c r="AU20" s="21" t="str">
        <f>IF(SUBTOTAL(109,A20)=A20,"",81455)</f>
        <v/>
      </c>
      <c r="AV20" s="21" t="str">
        <f>IF(SUBTOTAL(109,A20)=A20,"",82534)</f>
        <v/>
      </c>
      <c r="AW20" s="21" t="str">
        <f>IF(SUBTOTAL(109,A20)=A20,"",73389)</f>
        <v/>
      </c>
      <c r="AX20" s="21" t="str">
        <f>IF(SUBTOTAL(109,A20)=A20,"",75189)</f>
        <v/>
      </c>
      <c r="AY20" s="21" t="str">
        <f>IF(SUBTOTAL(109,A20)=A20,"",81737)</f>
        <v/>
      </c>
      <c r="AZ20" s="21" t="str">
        <f>IF(SUBTOTAL(109,A20)=A20,"",75206)</f>
        <v/>
      </c>
      <c r="BA20" s="21" t="str">
        <f>IF(SUBTOTAL(109,A20)=A20,"",80432)</f>
        <v/>
      </c>
      <c r="BB20" s="21" t="str">
        <f>IF(SUBTOTAL(109,A20)=A20,"",74817)</f>
        <v/>
      </c>
      <c r="BC20" s="21" t="str">
        <f>IF(SUBTOTAL(109,A20)=A20,"",69053.842)</f>
        <v/>
      </c>
      <c r="BD20" s="21" t="str">
        <f>IF(SUBTOTAL(109,A20)=A20,"",69361)</f>
        <v/>
      </c>
      <c r="BE20" s="21" t="str">
        <f>IF(SUBTOTAL(109,A20)=A20,"",68740.527)</f>
        <v/>
      </c>
      <c r="BF20" s="21" t="str">
        <f>IF(SUBTOTAL(109,A20)=A20,"",68221.133)</f>
        <v/>
      </c>
      <c r="BG20" s="21" t="str">
        <f>IF(SUBTOTAL(109,A20)=A20,"",67653.456)</f>
        <v/>
      </c>
      <c r="BH20" s="21" t="str">
        <f>IF(SUBTOTAL(109,A20)=A20,"",66288.546)</f>
        <v/>
      </c>
      <c r="BI20" s="21" t="str">
        <f>IF(SUBTOTAL(109,A20)=A20,"",65459.052)</f>
        <v/>
      </c>
      <c r="BJ20" s="21" t="str">
        <f>IF(SUBTOTAL(109,A20)=A20,"",62741.714)</f>
        <v/>
      </c>
      <c r="BK20" s="21" t="str">
        <f>IF(SUBTOTAL(109,A20)=A20,"",57021.585)</f>
        <v/>
      </c>
      <c r="BL20" s="21" t="str">
        <f>IF(SUBTOTAL(109,A20)=A20,"",50661.385)</f>
        <v/>
      </c>
      <c r="BM20" s="21" t="str">
        <f>IF(SUBTOTAL(109,A20)=A20,"",45492.359)</f>
        <v/>
      </c>
      <c r="BN20" s="21" t="str">
        <f>IF(SUBTOTAL(109,A20)=A20,"",41742.048)</f>
        <v/>
      </c>
      <c r="BO20" s="21" t="str">
        <f>IF(SUBTOTAL(109,A20)=A20,"",40598.701)</f>
        <v/>
      </c>
      <c r="BP20" s="21" t="str">
        <f>IF(SUBTOTAL(109,A20)=A20,"",37801.702)</f>
        <v/>
      </c>
      <c r="BQ20" s="21" t="str">
        <f>IF(SUBTOTAL(109,A20)=A20,"",34223.954)</f>
        <v/>
      </c>
      <c r="BR20" s="21" t="str">
        <f>IF(SUBTOTAL(109,A20)=A20,"",31942.34)</f>
        <v/>
      </c>
      <c r="BS20" s="21" t="str">
        <f>IF(SUBTOTAL(109,A20)=A20,"",30799.199)</f>
        <v/>
      </c>
      <c r="BT20" s="21" t="str">
        <f>IF(SUBTOTAL(109,A20)=A20,"",29507.985)</f>
        <v/>
      </c>
      <c r="BU20" s="21" t="str">
        <f>IF(SUBTOTAL(109,A20)=A20,"",30896.942)</f>
        <v/>
      </c>
      <c r="BV20" s="21" t="str">
        <f>IF(SUBTOTAL(109,A20)=A20,"",33184.81)</f>
        <v/>
      </c>
      <c r="BW20" s="21" t="str">
        <f>IF(SUBTOTAL(109,A20)=A20,"",33022.706)</f>
        <v/>
      </c>
      <c r="BX20" s="21" t="str">
        <f>IF(SUBTOTAL(109,A20)=A20,"",32760.411)</f>
        <v/>
      </c>
      <c r="BY20" s="21" t="str">
        <f>IF(SUBTOTAL(109,A20)=A20,"",32632.311)</f>
        <v/>
      </c>
      <c r="BZ20" s="21" t="str">
        <f>IF(SUBTOTAL(109,A20)=A20,"",29174.156)</f>
        <v/>
      </c>
      <c r="CA20" s="21" t="str">
        <f>IF(SUBTOTAL(109,A20)=A20,"",27477.89)</f>
        <v/>
      </c>
      <c r="CB20" s="21" t="str">
        <f>IF(SUBTOTAL(109,A20)=A20,"",26752.618)</f>
        <v/>
      </c>
      <c r="CC20" s="21" t="str">
        <f>IF(SUBTOTAL(109,A20)=A20,"",26954.498)</f>
        <v/>
      </c>
      <c r="CD20" s="21" t="str">
        <f>IF(SUBTOTAL(109,A20)=A20,"",23885.614)</f>
        <v/>
      </c>
      <c r="CE20" s="21" t="str">
        <f>IF(SUBTOTAL(109,A20)=A20,"",21355.499)</f>
        <v/>
      </c>
      <c r="CF20" s="21" t="str">
        <f>IF(SUBTOTAL(109,A20)=A20,"",20137.664)</f>
        <v/>
      </c>
      <c r="CG20" s="21" t="str">
        <f>IF(SUBTOTAL(109,A20)=A20,"",2468.723)</f>
        <v/>
      </c>
      <c r="CH20" s="21" t="str">
        <f>IF(SUBTOTAL(109,A20)=A20,"",2550.09)</f>
        <v/>
      </c>
      <c r="CI20" s="21" t="str">
        <f>IF(SUBTOTAL(109,A20)=A20,"",1243.04)</f>
        <v/>
      </c>
      <c r="CK20" s="15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</row>
    <row r="21" spans="1:110" outlineLevel="2" x14ac:dyDescent="0.2">
      <c r="A21" s="14">
        <v>1</v>
      </c>
      <c r="C21" s="9" t="str">
        <f>"        General and Administrative Expenses"</f>
        <v xml:space="preserve">        General and Administrative Expenses</v>
      </c>
      <c r="D21" s="17">
        <f t="shared" si="0"/>
        <v>67140</v>
      </c>
      <c r="E21" s="17">
        <f t="shared" si="1"/>
        <v>73330.858108108107</v>
      </c>
      <c r="F21" s="17">
        <f t="shared" si="2"/>
        <v>40983</v>
      </c>
      <c r="G21" s="17">
        <f t="shared" si="3"/>
        <v>121390</v>
      </c>
      <c r="H21" s="17">
        <f t="shared" si="4"/>
        <v>50630</v>
      </c>
      <c r="I21" s="17">
        <f t="shared" si="5"/>
        <v>96731</v>
      </c>
      <c r="J21" s="17">
        <f t="shared" si="6"/>
        <v>23664.751149633899</v>
      </c>
      <c r="K21" s="18">
        <f t="shared" si="7"/>
        <v>0.32271204456309666</v>
      </c>
      <c r="L21" s="21"/>
      <c r="M21" s="21">
        <v>72493</v>
      </c>
      <c r="N21" s="21">
        <v>77464</v>
      </c>
      <c r="O21" s="21">
        <v>62820.25</v>
      </c>
      <c r="P21" s="21">
        <v>72359</v>
      </c>
      <c r="Q21" s="21">
        <v>100794.5</v>
      </c>
      <c r="R21" s="21">
        <v>98536</v>
      </c>
      <c r="S21" s="21">
        <v>96731</v>
      </c>
      <c r="T21" s="21">
        <v>101538</v>
      </c>
      <c r="U21" s="21">
        <v>106373</v>
      </c>
      <c r="V21" s="21">
        <v>115874</v>
      </c>
      <c r="W21" s="21">
        <v>121390</v>
      </c>
      <c r="X21" s="21">
        <v>115757</v>
      </c>
      <c r="Y21" s="21">
        <v>108993</v>
      </c>
      <c r="Z21" s="21">
        <v>100193</v>
      </c>
      <c r="AA21" s="21">
        <v>89167</v>
      </c>
      <c r="AB21" s="21">
        <v>82907</v>
      </c>
      <c r="AC21" s="21">
        <v>77436</v>
      </c>
      <c r="AD21" s="21">
        <v>71176</v>
      </c>
      <c r="AE21" s="21">
        <v>65717</v>
      </c>
      <c r="AF21" s="21">
        <v>62322</v>
      </c>
      <c r="AG21" s="21">
        <v>59780</v>
      </c>
      <c r="AH21" s="21">
        <v>60707</v>
      </c>
      <c r="AI21" s="21">
        <v>67140</v>
      </c>
      <c r="AJ21" s="21">
        <v>68954</v>
      </c>
      <c r="AK21" s="21">
        <v>66526</v>
      </c>
      <c r="AL21" s="21">
        <v>61947</v>
      </c>
      <c r="AM21" s="21">
        <v>54270</v>
      </c>
      <c r="AN21" s="21">
        <v>50336</v>
      </c>
      <c r="AO21" s="21">
        <v>50630</v>
      </c>
      <c r="AP21" s="21">
        <v>48719</v>
      </c>
      <c r="AQ21" s="21">
        <v>47518</v>
      </c>
      <c r="AR21" s="21">
        <v>47119</v>
      </c>
      <c r="AS21" s="21" t="s">
        <v>165</v>
      </c>
      <c r="AT21" s="21" t="s">
        <v>165</v>
      </c>
      <c r="AU21" s="21" t="s">
        <v>165</v>
      </c>
      <c r="AV21" s="21">
        <v>47954</v>
      </c>
      <c r="AW21" s="21" t="s">
        <v>165</v>
      </c>
      <c r="AX21" s="21" t="s">
        <v>165</v>
      </c>
      <c r="AY21" s="21" t="s">
        <v>165</v>
      </c>
      <c r="AZ21" s="21">
        <v>44437</v>
      </c>
      <c r="BA21" s="21">
        <v>50169</v>
      </c>
      <c r="BB21" s="21">
        <v>46012</v>
      </c>
      <c r="BC21" s="21" t="s">
        <v>165</v>
      </c>
      <c r="BD21" s="21">
        <v>40983</v>
      </c>
      <c r="BE21" s="21" t="s">
        <v>165</v>
      </c>
      <c r="BF21" s="21" t="s">
        <v>165</v>
      </c>
      <c r="BG21" s="21" t="s">
        <v>165</v>
      </c>
      <c r="BH21" s="21" t="s">
        <v>165</v>
      </c>
      <c r="BI21" s="21" t="s">
        <v>165</v>
      </c>
      <c r="BJ21" s="21" t="s">
        <v>165</v>
      </c>
      <c r="BK21" s="21" t="s">
        <v>165</v>
      </c>
      <c r="BL21" s="21" t="s">
        <v>165</v>
      </c>
      <c r="BM21" s="21" t="s">
        <v>165</v>
      </c>
      <c r="BN21" s="21" t="s">
        <v>165</v>
      </c>
      <c r="BO21" s="21" t="s">
        <v>165</v>
      </c>
      <c r="BP21" s="21" t="s">
        <v>165</v>
      </c>
      <c r="BQ21" s="21" t="s">
        <v>165</v>
      </c>
      <c r="BR21" s="21" t="s">
        <v>165</v>
      </c>
      <c r="BS21" s="21" t="s">
        <v>165</v>
      </c>
      <c r="BT21" s="21" t="s">
        <v>165</v>
      </c>
      <c r="BU21" s="21" t="s">
        <v>165</v>
      </c>
      <c r="BV21" s="21" t="s">
        <v>165</v>
      </c>
      <c r="BW21" s="21" t="s">
        <v>165</v>
      </c>
      <c r="BX21" s="21" t="s">
        <v>165</v>
      </c>
      <c r="BY21" s="21" t="s">
        <v>165</v>
      </c>
      <c r="BZ21" s="21" t="s">
        <v>165</v>
      </c>
      <c r="CA21" s="21" t="s">
        <v>165</v>
      </c>
      <c r="CB21" s="21" t="s">
        <v>165</v>
      </c>
      <c r="CC21" s="21" t="s">
        <v>165</v>
      </c>
      <c r="CD21" s="21" t="s">
        <v>165</v>
      </c>
      <c r="CE21" s="21" t="s">
        <v>165</v>
      </c>
      <c r="CF21" s="21" t="s">
        <v>165</v>
      </c>
      <c r="CG21" s="21" t="s">
        <v>165</v>
      </c>
      <c r="CH21" s="21" t="s">
        <v>165</v>
      </c>
      <c r="CI21" s="21" t="s">
        <v>165</v>
      </c>
      <c r="CK21" s="15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</row>
    <row r="22" spans="1:110" outlineLevel="2" x14ac:dyDescent="0.2">
      <c r="A22" s="14">
        <v>1</v>
      </c>
      <c r="C22" s="9" t="str">
        <f>"        Selling and Marketing Expenses"</f>
        <v xml:space="preserve">        Selling and Marketing Expenses</v>
      </c>
      <c r="D22" s="17">
        <f t="shared" si="0"/>
        <v>36033</v>
      </c>
      <c r="E22" s="17">
        <f t="shared" si="1"/>
        <v>39313.736486486487</v>
      </c>
      <c r="F22" s="17">
        <f t="shared" si="2"/>
        <v>28378</v>
      </c>
      <c r="G22" s="17">
        <f t="shared" si="3"/>
        <v>55805</v>
      </c>
      <c r="H22" s="17">
        <f t="shared" si="4"/>
        <v>30821</v>
      </c>
      <c r="I22" s="17">
        <f t="shared" si="5"/>
        <v>43156</v>
      </c>
      <c r="J22" s="17">
        <f t="shared" si="6"/>
        <v>9343.6120809118693</v>
      </c>
      <c r="K22" s="18">
        <f t="shared" si="7"/>
        <v>0.23766787174054538</v>
      </c>
      <c r="L22" s="21"/>
      <c r="M22" s="21">
        <v>43156</v>
      </c>
      <c r="N22" s="21">
        <v>43035.25</v>
      </c>
      <c r="O22" s="21">
        <v>35977.75</v>
      </c>
      <c r="P22" s="21">
        <v>34144.75</v>
      </c>
      <c r="Q22" s="21">
        <v>55731.5</v>
      </c>
      <c r="R22" s="21">
        <v>55643</v>
      </c>
      <c r="S22" s="21">
        <v>55703</v>
      </c>
      <c r="T22" s="21">
        <v>55805</v>
      </c>
      <c r="U22" s="21">
        <v>55775</v>
      </c>
      <c r="V22" s="21">
        <v>54686</v>
      </c>
      <c r="W22" s="21">
        <v>51862</v>
      </c>
      <c r="X22" s="21">
        <v>49338</v>
      </c>
      <c r="Y22" s="21">
        <v>45770</v>
      </c>
      <c r="Z22" s="21">
        <v>42223</v>
      </c>
      <c r="AA22" s="21">
        <v>42233</v>
      </c>
      <c r="AB22" s="21">
        <v>42257</v>
      </c>
      <c r="AC22" s="21">
        <v>42409</v>
      </c>
      <c r="AD22" s="21">
        <v>40991</v>
      </c>
      <c r="AE22" s="21">
        <v>37306</v>
      </c>
      <c r="AF22" s="21">
        <v>36033</v>
      </c>
      <c r="AG22" s="21">
        <v>36249</v>
      </c>
      <c r="AH22" s="21">
        <v>35083</v>
      </c>
      <c r="AI22" s="21">
        <v>33914</v>
      </c>
      <c r="AJ22" s="21">
        <v>33515</v>
      </c>
      <c r="AK22" s="21">
        <v>30990</v>
      </c>
      <c r="AL22" s="21">
        <v>30425</v>
      </c>
      <c r="AM22" s="21">
        <v>30821</v>
      </c>
      <c r="AN22" s="21">
        <v>30112</v>
      </c>
      <c r="AO22" s="21">
        <v>29776</v>
      </c>
      <c r="AP22" s="21">
        <v>29482</v>
      </c>
      <c r="AQ22" s="21">
        <v>30040</v>
      </c>
      <c r="AR22" s="21">
        <v>31327</v>
      </c>
      <c r="AS22" s="21" t="s">
        <v>165</v>
      </c>
      <c r="AT22" s="21" t="s">
        <v>165</v>
      </c>
      <c r="AU22" s="21" t="s">
        <v>165</v>
      </c>
      <c r="AV22" s="21">
        <v>34580</v>
      </c>
      <c r="AW22" s="21" t="s">
        <v>165</v>
      </c>
      <c r="AX22" s="21" t="s">
        <v>165</v>
      </c>
      <c r="AY22" s="21" t="s">
        <v>165</v>
      </c>
      <c r="AZ22" s="21">
        <v>30769</v>
      </c>
      <c r="BA22" s="21">
        <v>30263</v>
      </c>
      <c r="BB22" s="21">
        <v>28805</v>
      </c>
      <c r="BC22" s="21" t="s">
        <v>165</v>
      </c>
      <c r="BD22" s="21">
        <v>28378</v>
      </c>
      <c r="BE22" s="21" t="s">
        <v>165</v>
      </c>
      <c r="BF22" s="21" t="s">
        <v>165</v>
      </c>
      <c r="BG22" s="21" t="s">
        <v>165</v>
      </c>
      <c r="BH22" s="21" t="s">
        <v>165</v>
      </c>
      <c r="BI22" s="21" t="s">
        <v>165</v>
      </c>
      <c r="BJ22" s="21" t="s">
        <v>165</v>
      </c>
      <c r="BK22" s="21" t="s">
        <v>165</v>
      </c>
      <c r="BL22" s="21" t="s">
        <v>165</v>
      </c>
      <c r="BM22" s="21" t="s">
        <v>165</v>
      </c>
      <c r="BN22" s="21" t="s">
        <v>165</v>
      </c>
      <c r="BO22" s="21" t="s">
        <v>165</v>
      </c>
      <c r="BP22" s="21" t="s">
        <v>165</v>
      </c>
      <c r="BQ22" s="21" t="s">
        <v>165</v>
      </c>
      <c r="BR22" s="21" t="s">
        <v>165</v>
      </c>
      <c r="BS22" s="21" t="s">
        <v>165</v>
      </c>
      <c r="BT22" s="21" t="s">
        <v>165</v>
      </c>
      <c r="BU22" s="21" t="s">
        <v>165</v>
      </c>
      <c r="BV22" s="21" t="s">
        <v>165</v>
      </c>
      <c r="BW22" s="21" t="s">
        <v>165</v>
      </c>
      <c r="BX22" s="21" t="s">
        <v>165</v>
      </c>
      <c r="BY22" s="21" t="s">
        <v>165</v>
      </c>
      <c r="BZ22" s="21" t="s">
        <v>165</v>
      </c>
      <c r="CA22" s="21" t="s">
        <v>165</v>
      </c>
      <c r="CB22" s="21" t="s">
        <v>165</v>
      </c>
      <c r="CC22" s="21" t="s">
        <v>165</v>
      </c>
      <c r="CD22" s="21" t="s">
        <v>165</v>
      </c>
      <c r="CE22" s="21" t="s">
        <v>165</v>
      </c>
      <c r="CF22" s="21" t="s">
        <v>165</v>
      </c>
      <c r="CG22" s="21" t="s">
        <v>165</v>
      </c>
      <c r="CH22" s="21" t="s">
        <v>165</v>
      </c>
      <c r="CI22" s="21" t="s">
        <v>165</v>
      </c>
      <c r="CK22" s="15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</row>
    <row r="23" spans="1:110" outlineLevel="2" x14ac:dyDescent="0.2">
      <c r="A23" s="14">
        <v>1</v>
      </c>
      <c r="C23" s="10" t="str">
        <f>"        Total Selling, General and Administrative Expenses"</f>
        <v xml:space="preserve">        Total Selling, General and Administrative Expenses</v>
      </c>
      <c r="D23" s="29">
        <f t="shared" si="0"/>
        <v>77558</v>
      </c>
      <c r="E23" s="29">
        <f t="shared" si="1"/>
        <v>78053.899999999994</v>
      </c>
      <c r="F23" s="29">
        <f t="shared" si="2"/>
        <v>1243.04</v>
      </c>
      <c r="G23" s="29">
        <f t="shared" si="3"/>
        <v>173252</v>
      </c>
      <c r="H23" s="29">
        <f t="shared" si="4"/>
        <v>36012.827999999994</v>
      </c>
      <c r="I23" s="29">
        <f t="shared" si="5"/>
        <v>101761.5</v>
      </c>
      <c r="J23" s="29">
        <f t="shared" si="6"/>
        <v>44365.785928488171</v>
      </c>
      <c r="K23" s="30">
        <f t="shared" si="7"/>
        <v>0.56839934876397169</v>
      </c>
      <c r="L23" s="31"/>
      <c r="M23" s="31">
        <v>115649</v>
      </c>
      <c r="N23" s="31">
        <v>120499.25</v>
      </c>
      <c r="O23" s="31">
        <v>98798</v>
      </c>
      <c r="P23" s="31">
        <v>106503.75</v>
      </c>
      <c r="Q23" s="31">
        <v>156526</v>
      </c>
      <c r="R23" s="31">
        <v>154179</v>
      </c>
      <c r="S23" s="31">
        <v>152434</v>
      </c>
      <c r="T23" s="31">
        <v>157343</v>
      </c>
      <c r="U23" s="31">
        <v>162148</v>
      </c>
      <c r="V23" s="31">
        <v>170560</v>
      </c>
      <c r="W23" s="31">
        <v>173252</v>
      </c>
      <c r="X23" s="31">
        <v>165095</v>
      </c>
      <c r="Y23" s="31">
        <v>154763</v>
      </c>
      <c r="Z23" s="31">
        <v>142416</v>
      </c>
      <c r="AA23" s="31">
        <v>131400</v>
      </c>
      <c r="AB23" s="31">
        <v>125164</v>
      </c>
      <c r="AC23" s="31">
        <v>119845</v>
      </c>
      <c r="AD23" s="31">
        <v>112167</v>
      </c>
      <c r="AE23" s="31">
        <v>103023</v>
      </c>
      <c r="AF23" s="31">
        <v>98355</v>
      </c>
      <c r="AG23" s="31">
        <v>96029</v>
      </c>
      <c r="AH23" s="31">
        <v>95790</v>
      </c>
      <c r="AI23" s="31">
        <v>101054</v>
      </c>
      <c r="AJ23" s="31">
        <v>102469</v>
      </c>
      <c r="AK23" s="31">
        <v>97516</v>
      </c>
      <c r="AL23" s="31">
        <v>92372</v>
      </c>
      <c r="AM23" s="31">
        <v>85091</v>
      </c>
      <c r="AN23" s="31">
        <v>80448</v>
      </c>
      <c r="AO23" s="31">
        <v>80406</v>
      </c>
      <c r="AP23" s="31">
        <v>78201</v>
      </c>
      <c r="AQ23" s="31">
        <v>77558</v>
      </c>
      <c r="AR23" s="31">
        <v>78446</v>
      </c>
      <c r="AS23" s="31">
        <v>80290</v>
      </c>
      <c r="AT23" s="31">
        <v>81686</v>
      </c>
      <c r="AU23" s="31">
        <v>81455</v>
      </c>
      <c r="AV23" s="31">
        <v>82534</v>
      </c>
      <c r="AW23" s="31">
        <v>73389</v>
      </c>
      <c r="AX23" s="31">
        <v>75189</v>
      </c>
      <c r="AY23" s="31">
        <v>81737</v>
      </c>
      <c r="AZ23" s="31">
        <v>75206</v>
      </c>
      <c r="BA23" s="31">
        <v>80432</v>
      </c>
      <c r="BB23" s="31">
        <v>74817</v>
      </c>
      <c r="BC23" s="31">
        <v>69053.842000000004</v>
      </c>
      <c r="BD23" s="31">
        <v>69361</v>
      </c>
      <c r="BE23" s="31">
        <v>68740.527000000002</v>
      </c>
      <c r="BF23" s="31">
        <v>68221.133000000002</v>
      </c>
      <c r="BG23" s="31">
        <v>67653.456000000006</v>
      </c>
      <c r="BH23" s="31">
        <v>66288.546000000002</v>
      </c>
      <c r="BI23" s="31">
        <v>65459.052000000003</v>
      </c>
      <c r="BJ23" s="31">
        <v>62741.714</v>
      </c>
      <c r="BK23" s="31">
        <v>57021.584999999999</v>
      </c>
      <c r="BL23" s="31">
        <v>50661.385000000002</v>
      </c>
      <c r="BM23" s="31">
        <v>45492.358999999997</v>
      </c>
      <c r="BN23" s="31">
        <v>41742.048000000003</v>
      </c>
      <c r="BO23" s="31">
        <v>40598.701000000001</v>
      </c>
      <c r="BP23" s="31">
        <v>37801.701999999997</v>
      </c>
      <c r="BQ23" s="31">
        <v>34223.953999999998</v>
      </c>
      <c r="BR23" s="31">
        <v>31942.34</v>
      </c>
      <c r="BS23" s="31">
        <v>30799.199000000001</v>
      </c>
      <c r="BT23" s="31">
        <v>29507.985000000001</v>
      </c>
      <c r="BU23" s="31">
        <v>30896.941999999999</v>
      </c>
      <c r="BV23" s="31">
        <v>33184.81</v>
      </c>
      <c r="BW23" s="31">
        <v>33022.705999999998</v>
      </c>
      <c r="BX23" s="31">
        <v>32760.411</v>
      </c>
      <c r="BY23" s="31">
        <v>32632.311000000002</v>
      </c>
      <c r="BZ23" s="31">
        <v>29174.155999999999</v>
      </c>
      <c r="CA23" s="31">
        <v>27477.89</v>
      </c>
      <c r="CB23" s="31">
        <v>26752.617999999999</v>
      </c>
      <c r="CC23" s="31">
        <v>26954.498</v>
      </c>
      <c r="CD23" s="31">
        <v>23885.614000000001</v>
      </c>
      <c r="CE23" s="31">
        <v>21355.499</v>
      </c>
      <c r="CF23" s="31">
        <v>20137.664000000001</v>
      </c>
      <c r="CG23" s="31">
        <v>2468.723</v>
      </c>
      <c r="CH23" s="31">
        <v>2550.09</v>
      </c>
      <c r="CI23" s="31">
        <v>1243.04</v>
      </c>
      <c r="CK23" s="15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</row>
    <row r="24" spans="1:110" outlineLevel="1" x14ac:dyDescent="0.2">
      <c r="A24" s="14">
        <v>1</v>
      </c>
      <c r="C24" s="9" t="str">
        <f>"    Research and Development Expenses"</f>
        <v xml:space="preserve">    Research and Development Expenses</v>
      </c>
      <c r="D24" s="17">
        <f t="shared" si="0"/>
        <v>4364</v>
      </c>
      <c r="E24" s="17">
        <f t="shared" si="1"/>
        <v>4579.5532500000027</v>
      </c>
      <c r="F24" s="17">
        <f t="shared" si="2"/>
        <v>135.44399999999999</v>
      </c>
      <c r="G24" s="17">
        <f t="shared" si="3"/>
        <v>11891</v>
      </c>
      <c r="H24" s="17">
        <f t="shared" si="4"/>
        <v>953.54500000000007</v>
      </c>
      <c r="I24" s="17">
        <f t="shared" si="5"/>
        <v>7022.75</v>
      </c>
      <c r="J24" s="17">
        <f t="shared" si="6"/>
        <v>3680.0374890506278</v>
      </c>
      <c r="K24" s="18">
        <f t="shared" si="7"/>
        <v>0.80358001930660494</v>
      </c>
      <c r="L24" s="21"/>
      <c r="M24" s="21">
        <v>7262</v>
      </c>
      <c r="N24" s="21">
        <v>7378.5</v>
      </c>
      <c r="O24" s="21">
        <v>6580.25</v>
      </c>
      <c r="P24" s="21">
        <v>8528.25</v>
      </c>
      <c r="Q24" s="21">
        <v>11485.25</v>
      </c>
      <c r="R24" s="21">
        <v>11891</v>
      </c>
      <c r="S24" s="21">
        <v>11385</v>
      </c>
      <c r="T24" s="21">
        <v>11361</v>
      </c>
      <c r="U24" s="21">
        <v>11304</v>
      </c>
      <c r="V24" s="21">
        <v>10920</v>
      </c>
      <c r="W24" s="21">
        <v>10872</v>
      </c>
      <c r="X24" s="21">
        <v>10238</v>
      </c>
      <c r="Y24" s="21">
        <v>10007</v>
      </c>
      <c r="Z24" s="21">
        <v>9765</v>
      </c>
      <c r="AA24" s="21">
        <v>9761</v>
      </c>
      <c r="AB24" s="21">
        <v>10005</v>
      </c>
      <c r="AC24" s="21">
        <v>9725</v>
      </c>
      <c r="AD24" s="21">
        <v>9105</v>
      </c>
      <c r="AE24" s="21">
        <v>7883</v>
      </c>
      <c r="AF24" s="21">
        <v>6943</v>
      </c>
      <c r="AG24" s="21">
        <v>6359</v>
      </c>
      <c r="AH24" s="21">
        <v>5914</v>
      </c>
      <c r="AI24" s="21">
        <v>5747</v>
      </c>
      <c r="AJ24" s="21">
        <v>5648</v>
      </c>
      <c r="AK24" s="21">
        <v>5517</v>
      </c>
      <c r="AL24" s="21">
        <v>5014</v>
      </c>
      <c r="AM24" s="21">
        <v>4976</v>
      </c>
      <c r="AN24" s="21">
        <v>4790</v>
      </c>
      <c r="AO24" s="21">
        <v>4365</v>
      </c>
      <c r="AP24" s="21">
        <v>4404</v>
      </c>
      <c r="AQ24" s="21">
        <v>4378</v>
      </c>
      <c r="AR24" s="21">
        <v>4544</v>
      </c>
      <c r="AS24" s="21">
        <v>4835</v>
      </c>
      <c r="AT24" s="21">
        <v>5050</v>
      </c>
      <c r="AU24" s="21">
        <v>4722</v>
      </c>
      <c r="AV24" s="21">
        <v>4363</v>
      </c>
      <c r="AW24" s="21">
        <v>4197</v>
      </c>
      <c r="AX24" s="21">
        <v>4156</v>
      </c>
      <c r="AY24" s="21">
        <v>4373</v>
      </c>
      <c r="AZ24" s="21">
        <v>4185</v>
      </c>
      <c r="BA24" s="21">
        <v>3900</v>
      </c>
      <c r="BB24" s="21">
        <v>3434</v>
      </c>
      <c r="BC24" s="21">
        <v>3010.0709999999999</v>
      </c>
      <c r="BD24" s="21">
        <v>2906</v>
      </c>
      <c r="BE24" s="21">
        <v>2629.3029999999999</v>
      </c>
      <c r="BF24" s="21">
        <v>2449.5410000000002</v>
      </c>
      <c r="BG24" s="21">
        <v>2308.9380000000001</v>
      </c>
      <c r="BH24" s="21">
        <v>1946.5119999999999</v>
      </c>
      <c r="BI24" s="21">
        <v>1821.557</v>
      </c>
      <c r="BJ24" s="21">
        <v>1606.5250000000001</v>
      </c>
      <c r="BK24" s="21">
        <v>1492.231</v>
      </c>
      <c r="BL24" s="21">
        <v>1247.788</v>
      </c>
      <c r="BM24" s="21">
        <v>969.54600000000005</v>
      </c>
      <c r="BN24" s="21">
        <v>737.19</v>
      </c>
      <c r="BO24" s="21">
        <v>477.04199999999997</v>
      </c>
      <c r="BP24" s="21">
        <v>348.78800000000001</v>
      </c>
      <c r="BQ24" s="21">
        <v>274.53899999999999</v>
      </c>
      <c r="BR24" s="21">
        <v>265.58499999999998</v>
      </c>
      <c r="BS24" s="21">
        <v>201.74299999999999</v>
      </c>
      <c r="BT24" s="21">
        <v>199.042</v>
      </c>
      <c r="BU24" s="21">
        <v>184.517</v>
      </c>
      <c r="BV24" s="21">
        <v>135.44399999999999</v>
      </c>
      <c r="BW24" s="21">
        <v>266.40499999999997</v>
      </c>
      <c r="BX24" s="21">
        <v>557.88400000000001</v>
      </c>
      <c r="BY24" s="21">
        <v>707.55</v>
      </c>
      <c r="BZ24" s="21">
        <v>883.03099999999995</v>
      </c>
      <c r="CA24" s="21">
        <v>820.23</v>
      </c>
      <c r="CB24" s="21">
        <v>905.54200000000003</v>
      </c>
      <c r="CC24" s="21">
        <v>995.32500000000005</v>
      </c>
      <c r="CD24" s="21">
        <v>697.64499999999998</v>
      </c>
      <c r="CE24" s="21">
        <v>731.88099999999997</v>
      </c>
      <c r="CF24" s="21">
        <v>680.18899999999996</v>
      </c>
      <c r="CG24" s="21" t="s">
        <v>165</v>
      </c>
      <c r="CH24" s="21" t="s">
        <v>165</v>
      </c>
      <c r="CI24" s="21" t="s">
        <v>165</v>
      </c>
      <c r="CK24" s="15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</row>
    <row r="25" spans="1:110" outlineLevel="1" x14ac:dyDescent="0.2">
      <c r="A25" s="14">
        <v>1</v>
      </c>
      <c r="C25" s="9" t="str">
        <f>"    Other (Income)/Expense, Operating"</f>
        <v xml:space="preserve">    Other (Income)/Expense, Operating</v>
      </c>
      <c r="D25" s="17">
        <f t="shared" si="0"/>
        <v>-293.9050000000002</v>
      </c>
      <c r="E25" s="17">
        <f t="shared" si="1"/>
        <v>-293.90499999999997</v>
      </c>
      <c r="F25" s="17">
        <f t="shared" si="2"/>
        <v>-3087.81</v>
      </c>
      <c r="G25" s="17">
        <f t="shared" si="3"/>
        <v>2500</v>
      </c>
      <c r="H25" s="17">
        <f t="shared" si="4"/>
        <v>-1690.8575000000001</v>
      </c>
      <c r="I25" s="17">
        <f t="shared" si="5"/>
        <v>1103.0475000000001</v>
      </c>
      <c r="J25" s="17">
        <f t="shared" si="6"/>
        <v>3951.1783429820021</v>
      </c>
      <c r="K25" s="18">
        <f t="shared" si="7"/>
        <v>-13.443726180167069</v>
      </c>
      <c r="L25" s="21"/>
      <c r="M25" s="21" t="s">
        <v>165</v>
      </c>
      <c r="N25" s="21"/>
      <c r="O25" s="21"/>
      <c r="P25" s="21"/>
      <c r="Q25" s="21"/>
      <c r="R25" s="21" t="s">
        <v>165</v>
      </c>
      <c r="S25" s="21" t="s">
        <v>165</v>
      </c>
      <c r="T25" s="21" t="s">
        <v>165</v>
      </c>
      <c r="U25" s="21" t="s">
        <v>165</v>
      </c>
      <c r="V25" s="21" t="s">
        <v>165</v>
      </c>
      <c r="W25" s="21" t="s">
        <v>165</v>
      </c>
      <c r="X25" s="21" t="s">
        <v>165</v>
      </c>
      <c r="Y25" s="21" t="s">
        <v>165</v>
      </c>
      <c r="Z25" s="21" t="s">
        <v>165</v>
      </c>
      <c r="AA25" s="21" t="s">
        <v>165</v>
      </c>
      <c r="AB25" s="21" t="s">
        <v>165</v>
      </c>
      <c r="AC25" s="21" t="s">
        <v>165</v>
      </c>
      <c r="AD25" s="21" t="s">
        <v>165</v>
      </c>
      <c r="AE25" s="21" t="s">
        <v>165</v>
      </c>
      <c r="AF25" s="21" t="s">
        <v>165</v>
      </c>
      <c r="AG25" s="21" t="s">
        <v>165</v>
      </c>
      <c r="AH25" s="21" t="s">
        <v>165</v>
      </c>
      <c r="AI25" s="21" t="s">
        <v>165</v>
      </c>
      <c r="AJ25" s="21" t="s">
        <v>165</v>
      </c>
      <c r="AK25" s="21" t="s">
        <v>165</v>
      </c>
      <c r="AL25" s="21" t="s">
        <v>165</v>
      </c>
      <c r="AM25" s="21" t="s">
        <v>165</v>
      </c>
      <c r="AN25" s="21" t="s">
        <v>165</v>
      </c>
      <c r="AO25" s="21" t="s">
        <v>165</v>
      </c>
      <c r="AP25" s="21" t="s">
        <v>165</v>
      </c>
      <c r="AQ25" s="21" t="s">
        <v>165</v>
      </c>
      <c r="AR25" s="21" t="s">
        <v>165</v>
      </c>
      <c r="AS25" s="21" t="s">
        <v>165</v>
      </c>
      <c r="AT25" s="21" t="s">
        <v>165</v>
      </c>
      <c r="AU25" s="21" t="s">
        <v>165</v>
      </c>
      <c r="AV25" s="21" t="s">
        <v>165</v>
      </c>
      <c r="AW25" s="21" t="s">
        <v>165</v>
      </c>
      <c r="AX25" s="21" t="s">
        <v>165</v>
      </c>
      <c r="AY25" s="21" t="s">
        <v>165</v>
      </c>
      <c r="AZ25" s="21" t="s">
        <v>165</v>
      </c>
      <c r="BA25" s="21" t="s">
        <v>165</v>
      </c>
      <c r="BB25" s="21" t="s">
        <v>165</v>
      </c>
      <c r="BC25" s="21" t="s">
        <v>165</v>
      </c>
      <c r="BD25" s="21" t="s">
        <v>165</v>
      </c>
      <c r="BE25" s="21" t="s">
        <v>165</v>
      </c>
      <c r="BF25" s="21" t="s">
        <v>165</v>
      </c>
      <c r="BG25" s="21" t="s">
        <v>165</v>
      </c>
      <c r="BH25" s="21" t="s">
        <v>165</v>
      </c>
      <c r="BI25" s="21" t="s">
        <v>165</v>
      </c>
      <c r="BJ25" s="21" t="s">
        <v>165</v>
      </c>
      <c r="BK25" s="21" t="s">
        <v>165</v>
      </c>
      <c r="BL25" s="21" t="s">
        <v>165</v>
      </c>
      <c r="BM25" s="21" t="s">
        <v>165</v>
      </c>
      <c r="BN25" s="21" t="s">
        <v>165</v>
      </c>
      <c r="BO25" s="21" t="s">
        <v>165</v>
      </c>
      <c r="BP25" s="21">
        <v>-3087.81</v>
      </c>
      <c r="BQ25" s="21" t="s">
        <v>165</v>
      </c>
      <c r="BR25" s="21" t="s">
        <v>165</v>
      </c>
      <c r="BS25" s="21" t="s">
        <v>165</v>
      </c>
      <c r="BT25" s="21" t="s">
        <v>165</v>
      </c>
      <c r="BU25" s="21" t="s">
        <v>165</v>
      </c>
      <c r="BV25" s="21" t="s">
        <v>165</v>
      </c>
      <c r="BW25" s="21" t="s">
        <v>165</v>
      </c>
      <c r="BX25" s="21" t="s">
        <v>165</v>
      </c>
      <c r="BY25" s="21" t="s">
        <v>165</v>
      </c>
      <c r="BZ25" s="21" t="s">
        <v>165</v>
      </c>
      <c r="CA25" s="21" t="s">
        <v>165</v>
      </c>
      <c r="CB25" s="21" t="s">
        <v>165</v>
      </c>
      <c r="CC25" s="21" t="s">
        <v>165</v>
      </c>
      <c r="CD25" s="21" t="s">
        <v>165</v>
      </c>
      <c r="CE25" s="21" t="s">
        <v>165</v>
      </c>
      <c r="CF25" s="21">
        <v>2500</v>
      </c>
      <c r="CG25" s="21" t="s">
        <v>165</v>
      </c>
      <c r="CH25" s="21" t="s">
        <v>165</v>
      </c>
      <c r="CI25" s="21" t="s">
        <v>165</v>
      </c>
      <c r="CK25" s="15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</row>
    <row r="26" spans="1:110" outlineLevel="1" x14ac:dyDescent="0.2">
      <c r="A26" s="14">
        <v>1</v>
      </c>
      <c r="C26" s="11" t="str">
        <f>"    Total Operating (Income)/Expenses"</f>
        <v xml:space="preserve">    Total Operating (Income)/Expenses</v>
      </c>
      <c r="D26" s="29">
        <f t="shared" si="0"/>
        <v>82990</v>
      </c>
      <c r="E26" s="29">
        <f t="shared" si="1"/>
        <v>85038.925439999992</v>
      </c>
      <c r="F26" s="29">
        <f t="shared" si="2"/>
        <v>1243.04</v>
      </c>
      <c r="G26" s="29">
        <f t="shared" si="3"/>
        <v>184124</v>
      </c>
      <c r="H26" s="29">
        <f t="shared" si="4"/>
        <v>34201.270499999999</v>
      </c>
      <c r="I26" s="29">
        <f t="shared" si="5"/>
        <v>112969</v>
      </c>
      <c r="J26" s="29">
        <f t="shared" si="6"/>
        <v>49982.687824957437</v>
      </c>
      <c r="K26" s="30">
        <f t="shared" si="7"/>
        <v>0.58776245779614411</v>
      </c>
      <c r="L26" s="29"/>
      <c r="M26" s="29">
        <v>122911</v>
      </c>
      <c r="N26" s="29">
        <v>127877.75</v>
      </c>
      <c r="O26" s="29">
        <v>105378.25</v>
      </c>
      <c r="P26" s="29">
        <v>115032</v>
      </c>
      <c r="Q26" s="29">
        <v>168011.25</v>
      </c>
      <c r="R26" s="29">
        <v>166070</v>
      </c>
      <c r="S26" s="29">
        <v>163819</v>
      </c>
      <c r="T26" s="29">
        <v>168704</v>
      </c>
      <c r="U26" s="29">
        <v>173452</v>
      </c>
      <c r="V26" s="29">
        <v>181480</v>
      </c>
      <c r="W26" s="29">
        <v>184124</v>
      </c>
      <c r="X26" s="29">
        <v>175333</v>
      </c>
      <c r="Y26" s="29">
        <v>164770</v>
      </c>
      <c r="Z26" s="29">
        <v>152181</v>
      </c>
      <c r="AA26" s="29">
        <v>141161</v>
      </c>
      <c r="AB26" s="29">
        <v>135169</v>
      </c>
      <c r="AC26" s="29">
        <v>129570</v>
      </c>
      <c r="AD26" s="29">
        <v>121272</v>
      </c>
      <c r="AE26" s="29">
        <v>110906</v>
      </c>
      <c r="AF26" s="29">
        <v>105298</v>
      </c>
      <c r="AG26" s="29">
        <v>102388</v>
      </c>
      <c r="AH26" s="29">
        <v>101704</v>
      </c>
      <c r="AI26" s="29">
        <v>106801</v>
      </c>
      <c r="AJ26" s="29">
        <v>108117</v>
      </c>
      <c r="AK26" s="29">
        <v>103033</v>
      </c>
      <c r="AL26" s="29">
        <v>97386</v>
      </c>
      <c r="AM26" s="29">
        <v>90067</v>
      </c>
      <c r="AN26" s="29">
        <v>85238</v>
      </c>
      <c r="AO26" s="29">
        <v>84771</v>
      </c>
      <c r="AP26" s="29">
        <v>82605</v>
      </c>
      <c r="AQ26" s="29">
        <v>81936</v>
      </c>
      <c r="AR26" s="29">
        <v>82990</v>
      </c>
      <c r="AS26" s="29">
        <v>85125</v>
      </c>
      <c r="AT26" s="29">
        <v>86736</v>
      </c>
      <c r="AU26" s="29">
        <v>86177</v>
      </c>
      <c r="AV26" s="29">
        <v>86897</v>
      </c>
      <c r="AW26" s="29">
        <v>77586</v>
      </c>
      <c r="AX26" s="29">
        <v>79345</v>
      </c>
      <c r="AY26" s="29">
        <v>86110</v>
      </c>
      <c r="AZ26" s="29">
        <v>79391</v>
      </c>
      <c r="BA26" s="29">
        <v>84332</v>
      </c>
      <c r="BB26" s="29">
        <v>78251</v>
      </c>
      <c r="BC26" s="29">
        <v>170307.101</v>
      </c>
      <c r="BD26" s="29">
        <v>72267</v>
      </c>
      <c r="BE26" s="29">
        <v>71369.83</v>
      </c>
      <c r="BF26" s="29">
        <v>168913.86199999999</v>
      </c>
      <c r="BG26" s="29">
        <v>69962.394</v>
      </c>
      <c r="BH26" s="29">
        <v>68235.058000000005</v>
      </c>
      <c r="BI26" s="29">
        <v>67280.608999999997</v>
      </c>
      <c r="BJ26" s="29">
        <v>64348.239000000001</v>
      </c>
      <c r="BK26" s="29">
        <v>58513.815999999999</v>
      </c>
      <c r="BL26" s="29">
        <v>51909.173000000003</v>
      </c>
      <c r="BM26" s="29">
        <v>46461.904999999999</v>
      </c>
      <c r="BN26" s="29">
        <v>42479.237999999998</v>
      </c>
      <c r="BO26" s="29">
        <v>41075.743000000002</v>
      </c>
      <c r="BP26" s="29">
        <v>35062.68</v>
      </c>
      <c r="BQ26" s="29">
        <v>31410.683000000001</v>
      </c>
      <c r="BR26" s="29">
        <v>29120.115000000002</v>
      </c>
      <c r="BS26" s="29">
        <v>27913.132000000001</v>
      </c>
      <c r="BT26" s="29">
        <v>29707.026999999998</v>
      </c>
      <c r="BU26" s="29">
        <v>31081.458999999999</v>
      </c>
      <c r="BV26" s="29">
        <v>33320.254000000001</v>
      </c>
      <c r="BW26" s="29">
        <v>33289.110999999997</v>
      </c>
      <c r="BX26" s="29">
        <v>33318.294999999998</v>
      </c>
      <c r="BY26" s="29">
        <v>33339.860999999997</v>
      </c>
      <c r="BZ26" s="29">
        <v>30057.187000000002</v>
      </c>
      <c r="CA26" s="29">
        <v>28298.12</v>
      </c>
      <c r="CB26" s="29">
        <v>27658.16</v>
      </c>
      <c r="CC26" s="29">
        <v>30449.823</v>
      </c>
      <c r="CD26" s="29">
        <v>27083.258999999998</v>
      </c>
      <c r="CE26" s="29">
        <v>24587.38</v>
      </c>
      <c r="CF26" s="29">
        <v>23317.852999999999</v>
      </c>
      <c r="CG26" s="29">
        <v>2482.6610000000001</v>
      </c>
      <c r="CH26" s="29">
        <v>2550.09</v>
      </c>
      <c r="CI26" s="29">
        <v>1243.04</v>
      </c>
      <c r="CK26" s="15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</row>
    <row r="27" spans="1:110" x14ac:dyDescent="0.2">
      <c r="A27" s="14">
        <v>1</v>
      </c>
      <c r="C27" s="11" t="str">
        <f>"Total Operating Profit/(Loss)"</f>
        <v>Total Operating Profit/(Loss)</v>
      </c>
      <c r="D27" s="27">
        <f t="shared" si="0"/>
        <v>27241</v>
      </c>
      <c r="E27" s="27">
        <f t="shared" si="1"/>
        <v>59050.020706666648</v>
      </c>
      <c r="F27" s="27">
        <f t="shared" si="2"/>
        <v>-81482.679000000004</v>
      </c>
      <c r="G27" s="27">
        <f t="shared" si="3"/>
        <v>319169.25</v>
      </c>
      <c r="H27" s="27">
        <f t="shared" si="4"/>
        <v>11286.8135</v>
      </c>
      <c r="I27" s="27">
        <f t="shared" si="5"/>
        <v>97593.5</v>
      </c>
      <c r="J27" s="27">
        <f t="shared" si="6"/>
        <v>72676.691870384879</v>
      </c>
      <c r="K27" s="28">
        <f t="shared" si="7"/>
        <v>1.2307648837484624</v>
      </c>
      <c r="L27" s="27"/>
      <c r="M27" s="27">
        <v>251653</v>
      </c>
      <c r="N27" s="27">
        <v>319169.25</v>
      </c>
      <c r="O27" s="27">
        <v>86248</v>
      </c>
      <c r="P27" s="27">
        <v>38379.5</v>
      </c>
      <c r="Q27" s="27">
        <v>43378.25</v>
      </c>
      <c r="R27" s="27">
        <v>47059</v>
      </c>
      <c r="S27" s="27">
        <v>43723</v>
      </c>
      <c r="T27" s="27">
        <v>27048</v>
      </c>
      <c r="U27" s="27">
        <v>55683</v>
      </c>
      <c r="V27" s="27">
        <v>100049</v>
      </c>
      <c r="W27" s="27">
        <v>144211</v>
      </c>
      <c r="X27" s="27">
        <v>199939</v>
      </c>
      <c r="Y27" s="27">
        <v>211784</v>
      </c>
      <c r="Z27" s="27">
        <v>211720</v>
      </c>
      <c r="AA27" s="27">
        <v>181350</v>
      </c>
      <c r="AB27" s="27">
        <v>158643</v>
      </c>
      <c r="AC27" s="27">
        <v>139317</v>
      </c>
      <c r="AD27" s="27">
        <v>104781</v>
      </c>
      <c r="AE27" s="27">
        <v>93772</v>
      </c>
      <c r="AF27" s="27">
        <v>89628</v>
      </c>
      <c r="AG27" s="27">
        <v>95138</v>
      </c>
      <c r="AH27" s="27">
        <v>110649</v>
      </c>
      <c r="AI27" s="27">
        <v>128649</v>
      </c>
      <c r="AJ27" s="27">
        <v>150988</v>
      </c>
      <c r="AK27" s="27">
        <v>154774</v>
      </c>
      <c r="AL27" s="27">
        <v>151702</v>
      </c>
      <c r="AM27" s="27">
        <v>149552</v>
      </c>
      <c r="AN27" s="27">
        <v>132834</v>
      </c>
      <c r="AO27" s="27">
        <v>111635</v>
      </c>
      <c r="AP27" s="27">
        <v>93873</v>
      </c>
      <c r="AQ27" s="27">
        <v>70681</v>
      </c>
      <c r="AR27" s="27">
        <v>44916</v>
      </c>
      <c r="AS27" s="27">
        <v>27241</v>
      </c>
      <c r="AT27" s="27">
        <v>15017</v>
      </c>
      <c r="AU27" s="27">
        <v>16398</v>
      </c>
      <c r="AV27" s="27">
        <v>17791</v>
      </c>
      <c r="AW27" s="27">
        <v>16422</v>
      </c>
      <c r="AX27" s="27">
        <v>22598</v>
      </c>
      <c r="AY27" s="27">
        <v>30347</v>
      </c>
      <c r="AZ27" s="27">
        <v>40072</v>
      </c>
      <c r="BA27" s="27">
        <v>45526</v>
      </c>
      <c r="BB27" s="27">
        <v>45814</v>
      </c>
      <c r="BC27" s="27">
        <v>-62598.544000000002</v>
      </c>
      <c r="BD27" s="27">
        <v>24876</v>
      </c>
      <c r="BE27" s="27">
        <v>20286.014999999999</v>
      </c>
      <c r="BF27" s="27">
        <v>-81482.679000000004</v>
      </c>
      <c r="BG27" s="27">
        <v>20579.472000000002</v>
      </c>
      <c r="BH27" s="27">
        <v>24139.518</v>
      </c>
      <c r="BI27" s="27">
        <v>26235.246999999999</v>
      </c>
      <c r="BJ27" s="27">
        <v>29543.829000000002</v>
      </c>
      <c r="BK27" s="27">
        <v>28354.69</v>
      </c>
      <c r="BL27" s="27">
        <v>24428.662</v>
      </c>
      <c r="BM27" s="27">
        <v>21457.097000000002</v>
      </c>
      <c r="BN27" s="27">
        <v>19716.863000000001</v>
      </c>
      <c r="BO27" s="27">
        <v>15610.482</v>
      </c>
      <c r="BP27" s="27">
        <v>14544.319</v>
      </c>
      <c r="BQ27" s="27">
        <v>11392.636</v>
      </c>
      <c r="BR27" s="27">
        <v>10158.361999999999</v>
      </c>
      <c r="BS27" s="27">
        <v>13209.375</v>
      </c>
      <c r="BT27" s="27">
        <v>11180.991</v>
      </c>
      <c r="BU27" s="27">
        <v>11035.446</v>
      </c>
      <c r="BV27" s="27">
        <v>9237.9789999999994</v>
      </c>
      <c r="BW27" s="27">
        <v>6250.7650000000003</v>
      </c>
      <c r="BX27" s="27">
        <v>5811.62</v>
      </c>
      <c r="BY27" s="27">
        <v>2833.799</v>
      </c>
      <c r="BZ27" s="27">
        <v>4943.7479999999996</v>
      </c>
      <c r="CA27" s="27">
        <v>4134.0969999999998</v>
      </c>
      <c r="CB27" s="27">
        <v>2722.5569999999998</v>
      </c>
      <c r="CC27" s="27">
        <v>-784.33</v>
      </c>
      <c r="CD27" s="27">
        <v>389.74200000000002</v>
      </c>
      <c r="CE27" s="27">
        <v>158.59399999999999</v>
      </c>
      <c r="CF27" s="27">
        <v>-3519.7809999999999</v>
      </c>
      <c r="CG27" s="27">
        <v>-2461.9079999999999</v>
      </c>
      <c r="CH27" s="27">
        <v>-2542.0700000000002</v>
      </c>
      <c r="CI27" s="27">
        <v>-1243.04</v>
      </c>
      <c r="CK27" s="15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</row>
    <row r="28" spans="1:110" x14ac:dyDescent="0.2">
      <c r="A28" s="14">
        <v>1</v>
      </c>
      <c r="C28" s="11" t="str">
        <f>IF(SUBTOTAL(109,A28)=A28,"Non-Operating Income/(Expenses)","Non-Operating Income/(Expenses), Total")</f>
        <v>Non-Operating Income/(Expenses)</v>
      </c>
      <c r="D28" s="27" t="str">
        <f t="shared" si="0"/>
        <v/>
      </c>
      <c r="E28" s="27" t="str">
        <f t="shared" si="1"/>
        <v/>
      </c>
      <c r="F28" s="27" t="str">
        <f t="shared" si="2"/>
        <v/>
      </c>
      <c r="G28" s="27" t="str">
        <f t="shared" si="3"/>
        <v/>
      </c>
      <c r="H28" s="27" t="str">
        <f t="shared" si="4"/>
        <v/>
      </c>
      <c r="I28" s="27" t="str">
        <f t="shared" si="5"/>
        <v/>
      </c>
      <c r="J28" s="27" t="str">
        <f t="shared" si="6"/>
        <v/>
      </c>
      <c r="K28" s="28" t="str">
        <f t="shared" si="7"/>
        <v/>
      </c>
      <c r="L28" s="27"/>
      <c r="M28" s="27" t="str">
        <f>IF(SUBTOTAL(109,A28)=A28,"",733)</f>
        <v/>
      </c>
      <c r="N28" s="27"/>
      <c r="O28" s="27"/>
      <c r="P28" s="27"/>
      <c r="Q28" s="27"/>
      <c r="R28" s="27" t="str">
        <f>IF(SUBTOTAL(109,A28)=A28,"",-9655)</f>
        <v/>
      </c>
      <c r="S28" s="27" t="str">
        <f>IF(SUBTOTAL(109,A28)=A28,"",-10357)</f>
        <v/>
      </c>
      <c r="T28" s="27" t="str">
        <f>IF(SUBTOTAL(109,A28)=A28,"",-9431)</f>
        <v/>
      </c>
      <c r="U28" s="27" t="str">
        <f>IF(SUBTOTAL(109,A28)=A28,"",-9439)</f>
        <v/>
      </c>
      <c r="V28" s="27" t="str">
        <f>IF(SUBTOTAL(109,A28)=A28,"",-8474)</f>
        <v/>
      </c>
      <c r="W28" s="27" t="str">
        <f>IF(SUBTOTAL(109,A28)=A28,"",-7713)</f>
        <v/>
      </c>
      <c r="X28" s="27" t="str">
        <f>IF(SUBTOTAL(109,A28)=A28,"",-8633)</f>
        <v/>
      </c>
      <c r="Y28" s="27" t="str">
        <f>IF(SUBTOTAL(109,A28)=A28,"",-8123)</f>
        <v/>
      </c>
      <c r="Z28" s="27" t="str">
        <f>IF(SUBTOTAL(109,A28)=A28,"",-8260)</f>
        <v/>
      </c>
      <c r="AA28" s="27" t="str">
        <f>IF(SUBTOTAL(109,A28)=A28,"",-8355)</f>
        <v/>
      </c>
      <c r="AB28" s="27" t="str">
        <f>IF(SUBTOTAL(109,A28)=A28,"",-13550)</f>
        <v/>
      </c>
      <c r="AC28" s="27" t="str">
        <f>IF(SUBTOTAL(109,A28)=A28,"",-14681)</f>
        <v/>
      </c>
      <c r="AD28" s="27" t="str">
        <f>IF(SUBTOTAL(109,A28)=A28,"",-15533)</f>
        <v/>
      </c>
      <c r="AE28" s="27" t="str">
        <f>IF(SUBTOTAL(109,A28)=A28,"",-16136)</f>
        <v/>
      </c>
      <c r="AF28" s="27" t="str">
        <f>IF(SUBTOTAL(109,A28)=A28,"",-10896)</f>
        <v/>
      </c>
      <c r="AG28" s="27" t="str">
        <f>IF(SUBTOTAL(109,A28)=A28,"",-11761)</f>
        <v/>
      </c>
      <c r="AH28" s="27" t="str">
        <f>IF(SUBTOTAL(109,A28)=A28,"",-10569)</f>
        <v/>
      </c>
      <c r="AI28" s="27" t="str">
        <f>IF(SUBTOTAL(109,A28)=A28,"",-9666)</f>
        <v/>
      </c>
      <c r="AJ28" s="27" t="str">
        <f>IF(SUBTOTAL(109,A28)=A28,"",-14266)</f>
        <v/>
      </c>
      <c r="AK28" s="27" t="str">
        <f>IF(SUBTOTAL(109,A28)=A28,"",-11458)</f>
        <v/>
      </c>
      <c r="AL28" s="27" t="str">
        <f>IF(SUBTOTAL(109,A28)=A28,"",-10906)</f>
        <v/>
      </c>
      <c r="AM28" s="27" t="str">
        <f>IF(SUBTOTAL(109,A28)=A28,"",-9874)</f>
        <v/>
      </c>
      <c r="AN28" s="27" t="str">
        <f>IF(SUBTOTAL(109,A28)=A28,"",-4928)</f>
        <v/>
      </c>
      <c r="AO28" s="27" t="str">
        <f>IF(SUBTOTAL(109,A28)=A28,"",-4897)</f>
        <v/>
      </c>
      <c r="AP28" s="27" t="str">
        <f>IF(SUBTOTAL(109,A28)=A28,"",-4931)</f>
        <v/>
      </c>
      <c r="AQ28" s="27" t="str">
        <f>IF(SUBTOTAL(109,A28)=A28,"",-6019)</f>
        <v/>
      </c>
      <c r="AR28" s="27" t="str">
        <f>IF(SUBTOTAL(109,A28)=A28,"",-5901)</f>
        <v/>
      </c>
      <c r="AS28" s="27" t="str">
        <f>IF(SUBTOTAL(109,A28)=A28,"",-6925)</f>
        <v/>
      </c>
      <c r="AT28" s="27" t="str">
        <f>IF(SUBTOTAL(109,A28)=A28,"",-7326)</f>
        <v/>
      </c>
      <c r="AU28" s="27" t="str">
        <f>IF(SUBTOTAL(109,A28)=A28,"",-5415)</f>
        <v/>
      </c>
      <c r="AV28" s="27" t="str">
        <f>IF(SUBTOTAL(109,A28)=A28,"",-4257)</f>
        <v/>
      </c>
      <c r="AW28" s="27" t="str">
        <f>IF(SUBTOTAL(109,A28)=A28,"",-14159)</f>
        <v/>
      </c>
      <c r="AX28" s="27" t="str">
        <f>IF(SUBTOTAL(109,A28)=A28,"",-12699)</f>
        <v/>
      </c>
      <c r="AY28" s="27" t="str">
        <f>IF(SUBTOTAL(109,A28)=A28,"",-4047)</f>
        <v/>
      </c>
      <c r="AZ28" s="27" t="str">
        <f>IF(SUBTOTAL(109,A28)=A28,"",-4001)</f>
        <v/>
      </c>
      <c r="BA28" s="27" t="str">
        <f>IF(SUBTOTAL(109,A28)=A28,"",7268)</f>
        <v/>
      </c>
      <c r="BB28" s="27" t="str">
        <f>IF(SUBTOTAL(109,A28)=A28,"",6607)</f>
        <v/>
      </c>
      <c r="BC28" s="27" t="str">
        <f>IF(SUBTOTAL(109,A28)=A28,"",-98734.719)</f>
        <v/>
      </c>
      <c r="BD28" s="27" t="str">
        <f>IF(SUBTOTAL(109,A28)=A28,"",-104001)</f>
        <v/>
      </c>
      <c r="BE28" s="27" t="str">
        <f>IF(SUBTOTAL(109,A28)=A28,"",-103399.191)</f>
        <v/>
      </c>
      <c r="BF28" s="27" t="str">
        <f>IF(SUBTOTAL(109,A28)=A28,"",-100709.334)</f>
        <v/>
      </c>
      <c r="BG28" s="27" t="str">
        <f>IF(SUBTOTAL(109,A28)=A28,"",-1326.196)</f>
        <v/>
      </c>
      <c r="BH28" s="27" t="str">
        <f>IF(SUBTOTAL(109,A28)=A28,"",-723.01)</f>
        <v/>
      </c>
      <c r="BI28" s="27" t="str">
        <f>IF(SUBTOTAL(109,A28)=A28,"",-295.72)</f>
        <v/>
      </c>
      <c r="BJ28" s="27" t="str">
        <f>IF(SUBTOTAL(109,A28)=A28,"",8.504)</f>
        <v/>
      </c>
      <c r="BK28" s="27" t="str">
        <f>IF(SUBTOTAL(109,A28)=A28,"",-410.489)</f>
        <v/>
      </c>
      <c r="BL28" s="27" t="str">
        <f>IF(SUBTOTAL(109,A28)=A28,"",-497.06)</f>
        <v/>
      </c>
      <c r="BM28" s="27" t="str">
        <f>IF(SUBTOTAL(109,A28)=A28,"",-470.139)</f>
        <v/>
      </c>
      <c r="BN28" s="27" t="str">
        <f>IF(SUBTOTAL(109,A28)=A28,"",194.589)</f>
        <v/>
      </c>
      <c r="BO28" s="27" t="str">
        <f>IF(SUBTOTAL(109,A28)=A28,"",578.949)</f>
        <v/>
      </c>
      <c r="BP28" s="27" t="str">
        <f>IF(SUBTOTAL(109,A28)=A28,"",3833.387)</f>
        <v/>
      </c>
      <c r="BQ28" s="27" t="str">
        <f>IF(SUBTOTAL(109,A28)=A28,"",3456.432)</f>
        <v/>
      </c>
      <c r="BR28" s="27" t="str">
        <f>IF(SUBTOTAL(109,A28)=A28,"",2981.808)</f>
        <v/>
      </c>
      <c r="BS28" s="27" t="str">
        <f>IF(SUBTOTAL(109,A28)=A28,"",2695.335)</f>
        <v/>
      </c>
      <c r="BT28" s="27" t="str">
        <f>IF(SUBTOTAL(109,A28)=A28,"",-120.373)</f>
        <v/>
      </c>
      <c r="BU28" s="27" t="str">
        <f>IF(SUBTOTAL(109,A28)=A28,"",-1314.643)</f>
        <v/>
      </c>
      <c r="BV28" s="27" t="str">
        <f>IF(SUBTOTAL(109,A28)=A28,"",-1911.8)</f>
        <v/>
      </c>
      <c r="BW28" s="27" t="str">
        <f>IF(SUBTOTAL(109,A28)=A28,"",-1309.277)</f>
        <v/>
      </c>
      <c r="BX28" s="27" t="str">
        <f>IF(SUBTOTAL(109,A28)=A28,"",-2303.89)</f>
        <v/>
      </c>
      <c r="BY28" s="27" t="str">
        <f>IF(SUBTOTAL(109,A28)=A28,"",160.217)</f>
        <v/>
      </c>
      <c r="BZ28" s="27" t="str">
        <f>IF(SUBTOTAL(109,A28)=A28,"",1550.271)</f>
        <v/>
      </c>
      <c r="CA28" s="27" t="str">
        <f>IF(SUBTOTAL(109,A28)=A28,"",1426.573)</f>
        <v/>
      </c>
      <c r="CB28" s="27" t="str">
        <f>IF(SUBTOTAL(109,A28)=A28,"",1789.114)</f>
        <v/>
      </c>
      <c r="CC28" s="27" t="str">
        <f>IF(SUBTOTAL(109,A28)=A28,"","")</f>
        <v/>
      </c>
      <c r="CD28" s="27" t="str">
        <f>IF(SUBTOTAL(109,A28)=A28,"","")</f>
        <v/>
      </c>
      <c r="CE28" s="27" t="str">
        <f>IF(SUBTOTAL(109,A28)=A28,"","")</f>
        <v/>
      </c>
      <c r="CF28" s="27" t="str">
        <f>IF(SUBTOTAL(109,A28)=A28,"",-2547.2)</f>
        <v/>
      </c>
      <c r="CG28" s="27" t="str">
        <f>IF(SUBTOTAL(109,A28)=A28,"","")</f>
        <v/>
      </c>
      <c r="CH28" s="27" t="str">
        <f>IF(SUBTOTAL(109,A28)=A28,"","")</f>
        <v/>
      </c>
      <c r="CI28" s="27" t="str">
        <f>IF(SUBTOTAL(109,A28)=A28,"","")</f>
        <v/>
      </c>
      <c r="CK28" s="15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</row>
    <row r="29" spans="1:110" outlineLevel="1" x14ac:dyDescent="0.2">
      <c r="A29" s="14">
        <v>1</v>
      </c>
      <c r="C29" s="9" t="str">
        <f>IF(SUBTOTAL(109,A29)=A29,"    Net Finance (Income)/Expense","    Total Net Finance (Income)/Expense")</f>
        <v xml:space="preserve">    Net Finance (Income)/Expense</v>
      </c>
      <c r="D29" s="17" t="str">
        <f t="shared" si="0"/>
        <v/>
      </c>
      <c r="E29" s="17" t="str">
        <f t="shared" si="1"/>
        <v/>
      </c>
      <c r="F29" s="17" t="str">
        <f t="shared" si="2"/>
        <v/>
      </c>
      <c r="G29" s="17" t="str">
        <f t="shared" si="3"/>
        <v/>
      </c>
      <c r="H29" s="17" t="str">
        <f t="shared" si="4"/>
        <v/>
      </c>
      <c r="I29" s="17" t="str">
        <f t="shared" si="5"/>
        <v/>
      </c>
      <c r="J29" s="17" t="str">
        <f t="shared" si="6"/>
        <v/>
      </c>
      <c r="K29" s="18" t="str">
        <f t="shared" si="7"/>
        <v/>
      </c>
      <c r="L29" s="21"/>
      <c r="M29" s="21" t="str">
        <f>IF(SUBTOTAL(109,A29)=A29,"",2135)</f>
        <v/>
      </c>
      <c r="N29" s="21"/>
      <c r="O29" s="21"/>
      <c r="P29" s="21"/>
      <c r="Q29" s="21"/>
      <c r="R29" s="21" t="str">
        <f>IF(SUBTOTAL(109,A29)=A29,"",10088)</f>
        <v/>
      </c>
      <c r="S29" s="21" t="str">
        <f>IF(SUBTOTAL(109,A29)=A29,"",10778)</f>
        <v/>
      </c>
      <c r="T29" s="21" t="str">
        <f>IF(SUBTOTAL(109,A29)=A29,"",11168)</f>
        <v/>
      </c>
      <c r="U29" s="21" t="str">
        <f>IF(SUBTOTAL(109,A29)=A29,"",10806)</f>
        <v/>
      </c>
      <c r="V29" s="21" t="str">
        <f>IF(SUBTOTAL(109,A29)=A29,"",9746)</f>
        <v/>
      </c>
      <c r="W29" s="21" t="str">
        <f>IF(SUBTOTAL(109,A29)=A29,"",8958)</f>
        <v/>
      </c>
      <c r="X29" s="21" t="str">
        <f>IF(SUBTOTAL(109,A29)=A29,"",8581)</f>
        <v/>
      </c>
      <c r="Y29" s="21" t="str">
        <f>IF(SUBTOTAL(109,A29)=A29,"",8081)</f>
        <v/>
      </c>
      <c r="Z29" s="21" t="str">
        <f>IF(SUBTOTAL(109,A29)=A29,"",8220)</f>
        <v/>
      </c>
      <c r="AA29" s="21" t="str">
        <f>IF(SUBTOTAL(109,A29)=A29,"",8340)</f>
        <v/>
      </c>
      <c r="AB29" s="21" t="str">
        <f>IF(SUBTOTAL(109,A29)=A29,"",13528)</f>
        <v/>
      </c>
      <c r="AC29" s="21" t="str">
        <f>IF(SUBTOTAL(109,A29)=A29,"",14704)</f>
        <v/>
      </c>
      <c r="AD29" s="21" t="str">
        <f>IF(SUBTOTAL(109,A29)=A29,"",15577)</f>
        <v/>
      </c>
      <c r="AE29" s="21" t="str">
        <f>IF(SUBTOTAL(109,A29)=A29,"",16175)</f>
        <v/>
      </c>
      <c r="AF29" s="21" t="str">
        <f>IF(SUBTOTAL(109,A29)=A29,"",10935)</f>
        <v/>
      </c>
      <c r="AG29" s="21" t="str">
        <f>IF(SUBTOTAL(109,A29)=A29,"",9571)</f>
        <v/>
      </c>
      <c r="AH29" s="21" t="str">
        <f>IF(SUBTOTAL(109,A29)=A29,"",8357)</f>
        <v/>
      </c>
      <c r="AI29" s="21" t="str">
        <f>IF(SUBTOTAL(109,A29)=A29,"",7501)</f>
        <v/>
      </c>
      <c r="AJ29" s="21" t="str">
        <f>IF(SUBTOTAL(109,A29)=A29,"",12112)</f>
        <v/>
      </c>
      <c r="AK29" s="21" t="str">
        <f>IF(SUBTOTAL(109,A29)=A29,"",11493)</f>
        <v/>
      </c>
      <c r="AL29" s="21" t="str">
        <f>IF(SUBTOTAL(109,A29)=A29,"",10947)</f>
        <v/>
      </c>
      <c r="AM29" s="21" t="str">
        <f>IF(SUBTOTAL(109,A29)=A29,"",9918)</f>
        <v/>
      </c>
      <c r="AN29" s="21" t="str">
        <f>IF(SUBTOTAL(109,A29)=A29,"",4967)</f>
        <v/>
      </c>
      <c r="AO29" s="21" t="str">
        <f>IF(SUBTOTAL(109,A29)=A29,"",4952)</f>
        <v/>
      </c>
      <c r="AP29" s="21" t="str">
        <f>IF(SUBTOTAL(109,A29)=A29,"",4994)</f>
        <v/>
      </c>
      <c r="AQ29" s="21" t="str">
        <f>IF(SUBTOTAL(109,A29)=A29,"",6063)</f>
        <v/>
      </c>
      <c r="AR29" s="21" t="str">
        <f>IF(SUBTOTAL(109,A29)=A29,"",5979)</f>
        <v/>
      </c>
      <c r="AS29" s="21" t="str">
        <f>IF(SUBTOTAL(109,A29)=A29,"",6523)</f>
        <v/>
      </c>
      <c r="AT29" s="21" t="str">
        <f>IF(SUBTOTAL(109,A29)=A29,"",6453)</f>
        <v/>
      </c>
      <c r="AU29" s="21" t="str">
        <f>IF(SUBTOTAL(109,A29)=A29,"",5194)</f>
        <v/>
      </c>
      <c r="AV29" s="21" t="str">
        <f>IF(SUBTOTAL(109,A29)=A29,"",4485)</f>
        <v/>
      </c>
      <c r="AW29" s="21" t="str">
        <f>IF(SUBTOTAL(109,A29)=A29,"",3258)</f>
        <v/>
      </c>
      <c r="AX29" s="21" t="str">
        <f>IF(SUBTOTAL(109,A29)=A29,"",3238)</f>
        <v/>
      </c>
      <c r="AY29" s="21" t="str">
        <f>IF(SUBTOTAL(109,A29)=A29,"",3726)</f>
        <v/>
      </c>
      <c r="AZ29" s="21" t="str">
        <f>IF(SUBTOTAL(109,A29)=A29,"",3872)</f>
        <v/>
      </c>
      <c r="BA29" s="21" t="str">
        <f>IF(SUBTOTAL(109,A29)=A29,"",4550)</f>
        <v/>
      </c>
      <c r="BB29" s="21" t="str">
        <f>IF(SUBTOTAL(109,A29)=A29,"",4600)</f>
        <v/>
      </c>
      <c r="BC29" s="21" t="str">
        <f>IF(SUBTOTAL(109,A29)=A29,"","")</f>
        <v/>
      </c>
      <c r="BD29" s="21" t="str">
        <f>IF(SUBTOTAL(109,A29)=A29,"",5597)</f>
        <v/>
      </c>
      <c r="BE29" s="21" t="str">
        <f>IF(SUBTOTAL(109,A29)=A29,"","")</f>
        <v/>
      </c>
      <c r="BF29" s="21" t="str">
        <f>IF(SUBTOTAL(109,A29)=A29,"","")</f>
        <v/>
      </c>
      <c r="BG29" s="21" t="str">
        <f>IF(SUBTOTAL(109,A29)=A29,"","")</f>
        <v/>
      </c>
      <c r="BH29" s="21" t="str">
        <f>IF(SUBTOTAL(109,A29)=A29,"","")</f>
        <v/>
      </c>
      <c r="BI29" s="21" t="str">
        <f>IF(SUBTOTAL(109,A29)=A29,"","")</f>
        <v/>
      </c>
      <c r="BJ29" s="21" t="str">
        <f>IF(SUBTOTAL(109,A29)=A29,"","")</f>
        <v/>
      </c>
      <c r="BK29" s="21" t="str">
        <f>IF(SUBTOTAL(109,A29)=A29,"","")</f>
        <v/>
      </c>
      <c r="BL29" s="21" t="str">
        <f>IF(SUBTOTAL(109,A29)=A29,"","")</f>
        <v/>
      </c>
      <c r="BM29" s="21" t="str">
        <f>IF(SUBTOTAL(109,A29)=A29,"","")</f>
        <v/>
      </c>
      <c r="BN29" s="21" t="str">
        <f>IF(SUBTOTAL(109,A29)=A29,"","")</f>
        <v/>
      </c>
      <c r="BO29" s="21" t="str">
        <f>IF(SUBTOTAL(109,A29)=A29,"","")</f>
        <v/>
      </c>
      <c r="BP29" s="21" t="str">
        <f>IF(SUBTOTAL(109,A29)=A29,"","")</f>
        <v/>
      </c>
      <c r="BQ29" s="21" t="str">
        <f>IF(SUBTOTAL(109,A29)=A29,"","")</f>
        <v/>
      </c>
      <c r="BR29" s="21" t="str">
        <f>IF(SUBTOTAL(109,A29)=A29,"","")</f>
        <v/>
      </c>
      <c r="BS29" s="21" t="str">
        <f>IF(SUBTOTAL(109,A29)=A29,"","")</f>
        <v/>
      </c>
      <c r="BT29" s="21" t="str">
        <f>IF(SUBTOTAL(109,A29)=A29,"","")</f>
        <v/>
      </c>
      <c r="BU29" s="21" t="str">
        <f>IF(SUBTOTAL(109,A29)=A29,"","")</f>
        <v/>
      </c>
      <c r="BV29" s="21" t="str">
        <f>IF(SUBTOTAL(109,A29)=A29,"","")</f>
        <v/>
      </c>
      <c r="BW29" s="21" t="str">
        <f>IF(SUBTOTAL(109,A29)=A29,"","")</f>
        <v/>
      </c>
      <c r="BX29" s="21" t="str">
        <f>IF(SUBTOTAL(109,A29)=A29,"","")</f>
        <v/>
      </c>
      <c r="BY29" s="21" t="str">
        <f>IF(SUBTOTAL(109,A29)=A29,"","")</f>
        <v/>
      </c>
      <c r="BZ29" s="21" t="str">
        <f>IF(SUBTOTAL(109,A29)=A29,"","")</f>
        <v/>
      </c>
      <c r="CA29" s="21" t="str">
        <f>IF(SUBTOTAL(109,A29)=A29,"","")</f>
        <v/>
      </c>
      <c r="CB29" s="21" t="str">
        <f>IF(SUBTOTAL(109,A29)=A29,"","")</f>
        <v/>
      </c>
      <c r="CC29" s="21" t="str">
        <f>IF(SUBTOTAL(109,A29)=A29,"","")</f>
        <v/>
      </c>
      <c r="CD29" s="21" t="str">
        <f>IF(SUBTOTAL(109,A29)=A29,"","")</f>
        <v/>
      </c>
      <c r="CE29" s="21" t="str">
        <f>IF(SUBTOTAL(109,A29)=A29,"","")</f>
        <v/>
      </c>
      <c r="CF29" s="21" t="str">
        <f>IF(SUBTOTAL(109,A29)=A29,"","")</f>
        <v/>
      </c>
      <c r="CG29" s="21" t="str">
        <f>IF(SUBTOTAL(109,A29)=A29,"","")</f>
        <v/>
      </c>
      <c r="CH29" s="21" t="str">
        <f>IF(SUBTOTAL(109,A29)=A29,"","")</f>
        <v/>
      </c>
      <c r="CI29" s="21" t="str">
        <f>IF(SUBTOTAL(109,A29)=A29,"","")</f>
        <v/>
      </c>
      <c r="CK29" s="15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 outlineLevel="2" x14ac:dyDescent="0.2">
      <c r="A30" s="14">
        <v>1</v>
      </c>
      <c r="C30" s="9" t="str">
        <f>IF(SUBTOTAL(109,A30)=A30,"        Net Interest (Income)/Expense","        Net Interest (Income)/Expense")</f>
        <v xml:space="preserve">        Net Interest (Income)/Expense</v>
      </c>
      <c r="D30" s="17" t="str">
        <f t="shared" si="0"/>
        <v/>
      </c>
      <c r="E30" s="17" t="str">
        <f t="shared" si="1"/>
        <v/>
      </c>
      <c r="F30" s="17" t="str">
        <f t="shared" si="2"/>
        <v/>
      </c>
      <c r="G30" s="17" t="str">
        <f t="shared" si="3"/>
        <v/>
      </c>
      <c r="H30" s="17" t="str">
        <f t="shared" si="4"/>
        <v/>
      </c>
      <c r="I30" s="17" t="str">
        <f t="shared" si="5"/>
        <v/>
      </c>
      <c r="J30" s="17" t="str">
        <f t="shared" si="6"/>
        <v/>
      </c>
      <c r="K30" s="18" t="str">
        <f t="shared" si="7"/>
        <v/>
      </c>
      <c r="L30" s="21"/>
      <c r="M30" s="21" t="str">
        <f>IF(SUBTOTAL(109,A30)=A30,"",2135)</f>
        <v/>
      </c>
      <c r="N30" s="21"/>
      <c r="O30" s="21"/>
      <c r="P30" s="21"/>
      <c r="Q30" s="21"/>
      <c r="R30" s="21" t="str">
        <f>IF(SUBTOTAL(109,A30)=A30,"",10088)</f>
        <v/>
      </c>
      <c r="S30" s="21" t="str">
        <f>IF(SUBTOTAL(109,A30)=A30,"",10778)</f>
        <v/>
      </c>
      <c r="T30" s="21" t="str">
        <f>IF(SUBTOTAL(109,A30)=A30,"",11168)</f>
        <v/>
      </c>
      <c r="U30" s="21" t="str">
        <f>IF(SUBTOTAL(109,A30)=A30,"",10806)</f>
        <v/>
      </c>
      <c r="V30" s="21" t="str">
        <f>IF(SUBTOTAL(109,A30)=A30,"",9746)</f>
        <v/>
      </c>
      <c r="W30" s="21" t="str">
        <f>IF(SUBTOTAL(109,A30)=A30,"",8958)</f>
        <v/>
      </c>
      <c r="X30" s="21" t="str">
        <f>IF(SUBTOTAL(109,A30)=A30,"",8581)</f>
        <v/>
      </c>
      <c r="Y30" s="21" t="str">
        <f>IF(SUBTOTAL(109,A30)=A30,"",8081)</f>
        <v/>
      </c>
      <c r="Z30" s="21" t="str">
        <f>IF(SUBTOTAL(109,A30)=A30,"",8220)</f>
        <v/>
      </c>
      <c r="AA30" s="21" t="str">
        <f>IF(SUBTOTAL(109,A30)=A30,"",8340)</f>
        <v/>
      </c>
      <c r="AB30" s="21" t="str">
        <f>IF(SUBTOTAL(109,A30)=A30,"",13528)</f>
        <v/>
      </c>
      <c r="AC30" s="21" t="str">
        <f>IF(SUBTOTAL(109,A30)=A30,"",14704)</f>
        <v/>
      </c>
      <c r="AD30" s="21" t="str">
        <f>IF(SUBTOTAL(109,A30)=A30,"",15577)</f>
        <v/>
      </c>
      <c r="AE30" s="21" t="str">
        <f>IF(SUBTOTAL(109,A30)=A30,"",16175)</f>
        <v/>
      </c>
      <c r="AF30" s="21" t="str">
        <f>IF(SUBTOTAL(109,A30)=A30,"",10935)</f>
        <v/>
      </c>
      <c r="AG30" s="21" t="str">
        <f>IF(SUBTOTAL(109,A30)=A30,"",9571)</f>
        <v/>
      </c>
      <c r="AH30" s="21" t="str">
        <f>IF(SUBTOTAL(109,A30)=A30,"",8357)</f>
        <v/>
      </c>
      <c r="AI30" s="21" t="str">
        <f>IF(SUBTOTAL(109,A30)=A30,"",7501)</f>
        <v/>
      </c>
      <c r="AJ30" s="21" t="str">
        <f>IF(SUBTOTAL(109,A30)=A30,"",12112)</f>
        <v/>
      </c>
      <c r="AK30" s="21" t="str">
        <f>IF(SUBTOTAL(109,A30)=A30,"",11493)</f>
        <v/>
      </c>
      <c r="AL30" s="21" t="str">
        <f>IF(SUBTOTAL(109,A30)=A30,"",10947)</f>
        <v/>
      </c>
      <c r="AM30" s="21" t="str">
        <f>IF(SUBTOTAL(109,A30)=A30,"",9918)</f>
        <v/>
      </c>
      <c r="AN30" s="21" t="str">
        <f>IF(SUBTOTAL(109,A30)=A30,"",4967)</f>
        <v/>
      </c>
      <c r="AO30" s="21" t="str">
        <f>IF(SUBTOTAL(109,A30)=A30,"",4952)</f>
        <v/>
      </c>
      <c r="AP30" s="21" t="str">
        <f>IF(SUBTOTAL(109,A30)=A30,"",4994)</f>
        <v/>
      </c>
      <c r="AQ30" s="21" t="str">
        <f>IF(SUBTOTAL(109,A30)=A30,"",6063)</f>
        <v/>
      </c>
      <c r="AR30" s="21" t="str">
        <f>IF(SUBTOTAL(109,A30)=A30,"",5979)</f>
        <v/>
      </c>
      <c r="AS30" s="21" t="str">
        <f>IF(SUBTOTAL(109,A30)=A30,"",6523)</f>
        <v/>
      </c>
      <c r="AT30" s="21" t="str">
        <f>IF(SUBTOTAL(109,A30)=A30,"",6453)</f>
        <v/>
      </c>
      <c r="AU30" s="21" t="str">
        <f>IF(SUBTOTAL(109,A30)=A30,"",5194)</f>
        <v/>
      </c>
      <c r="AV30" s="21" t="str">
        <f>IF(SUBTOTAL(109,A30)=A30,"",4485)</f>
        <v/>
      </c>
      <c r="AW30" s="21" t="str">
        <f>IF(SUBTOTAL(109,A30)=A30,"",3258)</f>
        <v/>
      </c>
      <c r="AX30" s="21" t="str">
        <f>IF(SUBTOTAL(109,A30)=A30,"",3238)</f>
        <v/>
      </c>
      <c r="AY30" s="21" t="str">
        <f>IF(SUBTOTAL(109,A30)=A30,"",3726)</f>
        <v/>
      </c>
      <c r="AZ30" s="21" t="str">
        <f>IF(SUBTOTAL(109,A30)=A30,"",3872)</f>
        <v/>
      </c>
      <c r="BA30" s="21" t="str">
        <f>IF(SUBTOTAL(109,A30)=A30,"",4550)</f>
        <v/>
      </c>
      <c r="BB30" s="21" t="str">
        <f>IF(SUBTOTAL(109,A30)=A30,"",4600)</f>
        <v/>
      </c>
      <c r="BC30" s="21" t="str">
        <f>IF(SUBTOTAL(109,A30)=A30,"","")</f>
        <v/>
      </c>
      <c r="BD30" s="21" t="str">
        <f>IF(SUBTOTAL(109,A30)=A30,"",5597)</f>
        <v/>
      </c>
      <c r="BE30" s="21" t="str">
        <f>IF(SUBTOTAL(109,A30)=A30,"","")</f>
        <v/>
      </c>
      <c r="BF30" s="21" t="str">
        <f>IF(SUBTOTAL(109,A30)=A30,"","")</f>
        <v/>
      </c>
      <c r="BG30" s="21" t="str">
        <f>IF(SUBTOTAL(109,A30)=A30,"","")</f>
        <v/>
      </c>
      <c r="BH30" s="21" t="str">
        <f>IF(SUBTOTAL(109,A30)=A30,"","")</f>
        <v/>
      </c>
      <c r="BI30" s="21" t="str">
        <f>IF(SUBTOTAL(109,A30)=A30,"","")</f>
        <v/>
      </c>
      <c r="BJ30" s="21" t="str">
        <f>IF(SUBTOTAL(109,A30)=A30,"","")</f>
        <v/>
      </c>
      <c r="BK30" s="21" t="str">
        <f>IF(SUBTOTAL(109,A30)=A30,"","")</f>
        <v/>
      </c>
      <c r="BL30" s="21" t="str">
        <f>IF(SUBTOTAL(109,A30)=A30,"","")</f>
        <v/>
      </c>
      <c r="BM30" s="21" t="str">
        <f>IF(SUBTOTAL(109,A30)=A30,"","")</f>
        <v/>
      </c>
      <c r="BN30" s="21" t="str">
        <f>IF(SUBTOTAL(109,A30)=A30,"","")</f>
        <v/>
      </c>
      <c r="BO30" s="21" t="str">
        <f>IF(SUBTOTAL(109,A30)=A30,"","")</f>
        <v/>
      </c>
      <c r="BP30" s="21" t="str">
        <f>IF(SUBTOTAL(109,A30)=A30,"","")</f>
        <v/>
      </c>
      <c r="BQ30" s="21" t="str">
        <f>IF(SUBTOTAL(109,A30)=A30,"","")</f>
        <v/>
      </c>
      <c r="BR30" s="21" t="str">
        <f>IF(SUBTOTAL(109,A30)=A30,"","")</f>
        <v/>
      </c>
      <c r="BS30" s="21" t="str">
        <f>IF(SUBTOTAL(109,A30)=A30,"","")</f>
        <v/>
      </c>
      <c r="BT30" s="21" t="str">
        <f>IF(SUBTOTAL(109,A30)=A30,"","")</f>
        <v/>
      </c>
      <c r="BU30" s="21" t="str">
        <f>IF(SUBTOTAL(109,A30)=A30,"","")</f>
        <v/>
      </c>
      <c r="BV30" s="21" t="str">
        <f>IF(SUBTOTAL(109,A30)=A30,"","")</f>
        <v/>
      </c>
      <c r="BW30" s="21" t="str">
        <f>IF(SUBTOTAL(109,A30)=A30,"","")</f>
        <v/>
      </c>
      <c r="BX30" s="21" t="str">
        <f>IF(SUBTOTAL(109,A30)=A30,"","")</f>
        <v/>
      </c>
      <c r="BY30" s="21" t="str">
        <f>IF(SUBTOTAL(109,A30)=A30,"","")</f>
        <v/>
      </c>
      <c r="BZ30" s="21" t="str">
        <f>IF(SUBTOTAL(109,A30)=A30,"","")</f>
        <v/>
      </c>
      <c r="CA30" s="21" t="str">
        <f>IF(SUBTOTAL(109,A30)=A30,"","")</f>
        <v/>
      </c>
      <c r="CB30" s="21" t="str">
        <f>IF(SUBTOTAL(109,A30)=A30,"","")</f>
        <v/>
      </c>
      <c r="CC30" s="21" t="str">
        <f>IF(SUBTOTAL(109,A30)=A30,"","")</f>
        <v/>
      </c>
      <c r="CD30" s="21" t="str">
        <f>IF(SUBTOTAL(109,A30)=A30,"","")</f>
        <v/>
      </c>
      <c r="CE30" s="21" t="str">
        <f>IF(SUBTOTAL(109,A30)=A30,"","")</f>
        <v/>
      </c>
      <c r="CF30" s="21" t="str">
        <f>IF(SUBTOTAL(109,A30)=A30,"","")</f>
        <v/>
      </c>
      <c r="CG30" s="21" t="str">
        <f>IF(SUBTOTAL(109,A30)=A30,"","")</f>
        <v/>
      </c>
      <c r="CH30" s="21" t="str">
        <f>IF(SUBTOTAL(109,A30)=A30,"","")</f>
        <v/>
      </c>
      <c r="CI30" s="21" t="str">
        <f>IF(SUBTOTAL(109,A30)=A30,"","")</f>
        <v/>
      </c>
      <c r="CK30" s="15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</row>
    <row r="31" spans="1:110" outlineLevel="3" x14ac:dyDescent="0.2">
      <c r="A31" s="14">
        <v>1</v>
      </c>
      <c r="C31" s="9" t="str">
        <f>"            Interest Expense Net of Capitalized Interest"</f>
        <v xml:space="preserve">            Interest Expense Net of Capitalized Interest</v>
      </c>
      <c r="D31" s="17">
        <f t="shared" si="0"/>
        <v>7484</v>
      </c>
      <c r="E31" s="17">
        <f t="shared" si="1"/>
        <v>7439.7844827586205</v>
      </c>
      <c r="F31" s="17">
        <f t="shared" si="2"/>
        <v>2135</v>
      </c>
      <c r="G31" s="17">
        <f t="shared" si="3"/>
        <v>12261</v>
      </c>
      <c r="H31" s="17">
        <f t="shared" si="4"/>
        <v>4965</v>
      </c>
      <c r="I31" s="17">
        <f t="shared" si="5"/>
        <v>9861</v>
      </c>
      <c r="J31" s="17">
        <f t="shared" si="6"/>
        <v>2730.5570776172431</v>
      </c>
      <c r="K31" s="18">
        <f t="shared" si="7"/>
        <v>0.36702099152807333</v>
      </c>
      <c r="L31" s="21"/>
      <c r="M31" s="21">
        <v>2135</v>
      </c>
      <c r="N31" s="21">
        <v>3899.75</v>
      </c>
      <c r="O31" s="21">
        <v>10223</v>
      </c>
      <c r="P31" s="21">
        <v>9790</v>
      </c>
      <c r="Q31" s="21">
        <v>11168</v>
      </c>
      <c r="R31" s="21" t="s">
        <v>165</v>
      </c>
      <c r="S31" s="21" t="s">
        <v>165</v>
      </c>
      <c r="T31" s="21">
        <v>11168</v>
      </c>
      <c r="U31" s="21" t="s">
        <v>165</v>
      </c>
      <c r="V31" s="21" t="s">
        <v>165</v>
      </c>
      <c r="W31" s="21" t="s">
        <v>165</v>
      </c>
      <c r="X31" s="21" t="s">
        <v>165</v>
      </c>
      <c r="Y31" s="21" t="s">
        <v>165</v>
      </c>
      <c r="Z31" s="21" t="s">
        <v>165</v>
      </c>
      <c r="AA31" s="21" t="s">
        <v>165</v>
      </c>
      <c r="AB31" s="21" t="s">
        <v>165</v>
      </c>
      <c r="AC31" s="21" t="s">
        <v>165</v>
      </c>
      <c r="AD31" s="21" t="s">
        <v>165</v>
      </c>
      <c r="AE31" s="21" t="s">
        <v>165</v>
      </c>
      <c r="AF31" s="21" t="s">
        <v>165</v>
      </c>
      <c r="AG31" s="21">
        <v>9861</v>
      </c>
      <c r="AH31" s="21">
        <v>8440</v>
      </c>
      <c r="AI31" s="21">
        <v>7572</v>
      </c>
      <c r="AJ31" s="21">
        <v>12261</v>
      </c>
      <c r="AK31" s="21">
        <v>11700</v>
      </c>
      <c r="AL31" s="21">
        <v>11169</v>
      </c>
      <c r="AM31" s="21">
        <v>10467</v>
      </c>
      <c r="AN31" s="21">
        <v>5781</v>
      </c>
      <c r="AO31" s="21">
        <v>6011</v>
      </c>
      <c r="AP31" s="21">
        <v>6400</v>
      </c>
      <c r="AQ31" s="21">
        <v>7533</v>
      </c>
      <c r="AR31" s="21">
        <v>7484</v>
      </c>
      <c r="AS31" s="21">
        <v>8068</v>
      </c>
      <c r="AT31" s="21">
        <v>7893</v>
      </c>
      <c r="AU31" s="21">
        <v>6527</v>
      </c>
      <c r="AV31" s="21">
        <v>5683</v>
      </c>
      <c r="AW31" s="21">
        <v>4724</v>
      </c>
      <c r="AX31" s="21">
        <v>4506</v>
      </c>
      <c r="AY31" s="21">
        <v>4662</v>
      </c>
      <c r="AZ31" s="21">
        <v>4822</v>
      </c>
      <c r="BA31" s="21">
        <v>4965</v>
      </c>
      <c r="BB31" s="21">
        <v>4949</v>
      </c>
      <c r="BC31" s="21" t="s">
        <v>165</v>
      </c>
      <c r="BD31" s="21">
        <v>5892</v>
      </c>
      <c r="BE31" s="21" t="s">
        <v>165</v>
      </c>
      <c r="BF31" s="21" t="s">
        <v>165</v>
      </c>
      <c r="BG31" s="21" t="s">
        <v>165</v>
      </c>
      <c r="BH31" s="21" t="s">
        <v>165</v>
      </c>
      <c r="BI31" s="21" t="s">
        <v>165</v>
      </c>
      <c r="BJ31" s="21" t="s">
        <v>165</v>
      </c>
      <c r="BK31" s="21" t="s">
        <v>165</v>
      </c>
      <c r="BL31" s="21" t="s">
        <v>165</v>
      </c>
      <c r="BM31" s="21" t="s">
        <v>165</v>
      </c>
      <c r="BN31" s="21" t="s">
        <v>165</v>
      </c>
      <c r="BO31" s="21" t="s">
        <v>165</v>
      </c>
      <c r="BP31" s="21" t="s">
        <v>165</v>
      </c>
      <c r="BQ31" s="21" t="s">
        <v>165</v>
      </c>
      <c r="BR31" s="21" t="s">
        <v>165</v>
      </c>
      <c r="BS31" s="21" t="s">
        <v>165</v>
      </c>
      <c r="BT31" s="21" t="s">
        <v>165</v>
      </c>
      <c r="BU31" s="21" t="s">
        <v>165</v>
      </c>
      <c r="BV31" s="21" t="s">
        <v>165</v>
      </c>
      <c r="BW31" s="21" t="s">
        <v>165</v>
      </c>
      <c r="BX31" s="21" t="s">
        <v>165</v>
      </c>
      <c r="BY31" s="21" t="s">
        <v>165</v>
      </c>
      <c r="BZ31" s="21" t="s">
        <v>165</v>
      </c>
      <c r="CA31" s="21" t="s">
        <v>165</v>
      </c>
      <c r="CB31" s="21" t="s">
        <v>165</v>
      </c>
      <c r="CC31" s="21" t="s">
        <v>165</v>
      </c>
      <c r="CD31" s="21" t="s">
        <v>165</v>
      </c>
      <c r="CE31" s="21" t="s">
        <v>165</v>
      </c>
      <c r="CF31" s="21" t="s">
        <v>165</v>
      </c>
      <c r="CG31" s="21" t="s">
        <v>165</v>
      </c>
      <c r="CH31" s="21" t="s">
        <v>165</v>
      </c>
      <c r="CI31" s="21" t="s">
        <v>165</v>
      </c>
      <c r="CK31" s="15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</row>
    <row r="32" spans="1:110" outlineLevel="3" x14ac:dyDescent="0.2">
      <c r="A32" s="14">
        <v>1</v>
      </c>
      <c r="C32" s="9" t="str">
        <f>"            Interest Income"</f>
        <v xml:space="preserve">            Interest Income</v>
      </c>
      <c r="D32" s="17">
        <f t="shared" si="0"/>
        <v>936</v>
      </c>
      <c r="E32" s="17">
        <f t="shared" si="1"/>
        <v>826.95652173913038</v>
      </c>
      <c r="F32" s="17">
        <f t="shared" si="2"/>
        <v>71</v>
      </c>
      <c r="G32" s="17">
        <f t="shared" si="3"/>
        <v>1545</v>
      </c>
      <c r="H32" s="17">
        <f t="shared" si="4"/>
        <v>292.5</v>
      </c>
      <c r="I32" s="17">
        <f t="shared" si="5"/>
        <v>1369.5</v>
      </c>
      <c r="J32" s="17">
        <f t="shared" si="6"/>
        <v>546.02842735361389</v>
      </c>
      <c r="K32" s="18">
        <f t="shared" si="7"/>
        <v>0.66028674180510627</v>
      </c>
      <c r="L32" s="21"/>
      <c r="M32" s="21" t="s">
        <v>165</v>
      </c>
      <c r="N32" s="21"/>
      <c r="O32" s="21"/>
      <c r="P32" s="21"/>
      <c r="Q32" s="21"/>
      <c r="R32" s="21" t="s">
        <v>165</v>
      </c>
      <c r="S32" s="21" t="s">
        <v>165</v>
      </c>
      <c r="T32" s="21" t="s">
        <v>165</v>
      </c>
      <c r="U32" s="21" t="s">
        <v>165</v>
      </c>
      <c r="V32" s="21" t="s">
        <v>165</v>
      </c>
      <c r="W32" s="21" t="s">
        <v>165</v>
      </c>
      <c r="X32" s="21" t="s">
        <v>165</v>
      </c>
      <c r="Y32" s="21" t="s">
        <v>165</v>
      </c>
      <c r="Z32" s="21" t="s">
        <v>165</v>
      </c>
      <c r="AA32" s="21" t="s">
        <v>165</v>
      </c>
      <c r="AB32" s="21" t="s">
        <v>165</v>
      </c>
      <c r="AC32" s="21" t="s">
        <v>165</v>
      </c>
      <c r="AD32" s="21" t="s">
        <v>165</v>
      </c>
      <c r="AE32" s="21" t="s">
        <v>165</v>
      </c>
      <c r="AF32" s="21" t="s">
        <v>165</v>
      </c>
      <c r="AG32" s="21">
        <v>290</v>
      </c>
      <c r="AH32" s="21">
        <v>83</v>
      </c>
      <c r="AI32" s="21">
        <v>71</v>
      </c>
      <c r="AJ32" s="21">
        <v>149</v>
      </c>
      <c r="AK32" s="21">
        <v>207</v>
      </c>
      <c r="AL32" s="21">
        <v>222</v>
      </c>
      <c r="AM32" s="21">
        <v>549</v>
      </c>
      <c r="AN32" s="21">
        <v>814</v>
      </c>
      <c r="AO32" s="21">
        <v>1059</v>
      </c>
      <c r="AP32" s="21">
        <v>1406</v>
      </c>
      <c r="AQ32" s="21">
        <v>1470</v>
      </c>
      <c r="AR32" s="21">
        <v>1505</v>
      </c>
      <c r="AS32" s="21">
        <v>1545</v>
      </c>
      <c r="AT32" s="21">
        <v>1440</v>
      </c>
      <c r="AU32" s="21">
        <v>1333</v>
      </c>
      <c r="AV32" s="21">
        <v>1198</v>
      </c>
      <c r="AW32" s="21">
        <v>1466</v>
      </c>
      <c r="AX32" s="21">
        <v>1268</v>
      </c>
      <c r="AY32" s="21">
        <v>936</v>
      </c>
      <c r="AZ32" s="21">
        <v>950</v>
      </c>
      <c r="BA32" s="21">
        <v>415</v>
      </c>
      <c r="BB32" s="21">
        <v>349</v>
      </c>
      <c r="BC32" s="21" t="s">
        <v>165</v>
      </c>
      <c r="BD32" s="21">
        <v>295</v>
      </c>
      <c r="BE32" s="21" t="s">
        <v>165</v>
      </c>
      <c r="BF32" s="21" t="s">
        <v>165</v>
      </c>
      <c r="BG32" s="21" t="s">
        <v>165</v>
      </c>
      <c r="BH32" s="21" t="s">
        <v>165</v>
      </c>
      <c r="BI32" s="21" t="s">
        <v>165</v>
      </c>
      <c r="BJ32" s="21" t="s">
        <v>165</v>
      </c>
      <c r="BK32" s="21" t="s">
        <v>165</v>
      </c>
      <c r="BL32" s="21" t="s">
        <v>165</v>
      </c>
      <c r="BM32" s="21" t="s">
        <v>165</v>
      </c>
      <c r="BN32" s="21" t="s">
        <v>165</v>
      </c>
      <c r="BO32" s="21" t="s">
        <v>165</v>
      </c>
      <c r="BP32" s="21" t="s">
        <v>165</v>
      </c>
      <c r="BQ32" s="21" t="s">
        <v>165</v>
      </c>
      <c r="BR32" s="21" t="s">
        <v>165</v>
      </c>
      <c r="BS32" s="21" t="s">
        <v>165</v>
      </c>
      <c r="BT32" s="21" t="s">
        <v>165</v>
      </c>
      <c r="BU32" s="21" t="s">
        <v>165</v>
      </c>
      <c r="BV32" s="21" t="s">
        <v>165</v>
      </c>
      <c r="BW32" s="21" t="s">
        <v>165</v>
      </c>
      <c r="BX32" s="21" t="s">
        <v>165</v>
      </c>
      <c r="BY32" s="21" t="s">
        <v>165</v>
      </c>
      <c r="BZ32" s="21" t="s">
        <v>165</v>
      </c>
      <c r="CA32" s="21" t="s">
        <v>165</v>
      </c>
      <c r="CB32" s="21" t="s">
        <v>165</v>
      </c>
      <c r="CC32" s="21" t="s">
        <v>165</v>
      </c>
      <c r="CD32" s="21" t="s">
        <v>165</v>
      </c>
      <c r="CE32" s="21" t="s">
        <v>165</v>
      </c>
      <c r="CF32" s="21" t="s">
        <v>165</v>
      </c>
      <c r="CG32" s="21" t="s">
        <v>165</v>
      </c>
      <c r="CH32" s="21" t="s">
        <v>165</v>
      </c>
      <c r="CI32" s="21" t="s">
        <v>165</v>
      </c>
      <c r="CK32" s="15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</row>
    <row r="33" spans="1:110" outlineLevel="3" x14ac:dyDescent="0.2">
      <c r="A33" s="14">
        <v>1</v>
      </c>
      <c r="C33" s="10" t="str">
        <f>"            Total Net Interest (Income)/Expense"</f>
        <v xml:space="preserve">            Total Net Interest (Income)/Expense</v>
      </c>
      <c r="D33" s="29">
        <f t="shared" si="0"/>
        <v>8340</v>
      </c>
      <c r="E33" s="29">
        <f t="shared" si="1"/>
        <v>8176.5988372093025</v>
      </c>
      <c r="F33" s="29">
        <f t="shared" si="2"/>
        <v>2135</v>
      </c>
      <c r="G33" s="29">
        <f t="shared" si="3"/>
        <v>16175</v>
      </c>
      <c r="H33" s="29">
        <f t="shared" si="4"/>
        <v>4980.5</v>
      </c>
      <c r="I33" s="29">
        <f t="shared" si="5"/>
        <v>10744</v>
      </c>
      <c r="J33" s="29">
        <f t="shared" si="6"/>
        <v>3538.4046774117805</v>
      </c>
      <c r="K33" s="30">
        <f t="shared" si="7"/>
        <v>0.43274774118910408</v>
      </c>
      <c r="L33" s="31"/>
      <c r="M33" s="31">
        <v>2135</v>
      </c>
      <c r="N33" s="31">
        <v>3899.75</v>
      </c>
      <c r="O33" s="31">
        <v>10552.25</v>
      </c>
      <c r="P33" s="31">
        <v>10261.75</v>
      </c>
      <c r="Q33" s="31">
        <v>10710</v>
      </c>
      <c r="R33" s="31">
        <v>10088</v>
      </c>
      <c r="S33" s="31">
        <v>10778</v>
      </c>
      <c r="T33" s="31">
        <v>11168</v>
      </c>
      <c r="U33" s="31">
        <v>10806</v>
      </c>
      <c r="V33" s="31">
        <v>9746</v>
      </c>
      <c r="W33" s="31">
        <v>8958</v>
      </c>
      <c r="X33" s="31">
        <v>8581</v>
      </c>
      <c r="Y33" s="31">
        <v>8081</v>
      </c>
      <c r="Z33" s="31">
        <v>8220</v>
      </c>
      <c r="AA33" s="31">
        <v>8340</v>
      </c>
      <c r="AB33" s="31">
        <v>13528</v>
      </c>
      <c r="AC33" s="31">
        <v>14704</v>
      </c>
      <c r="AD33" s="31">
        <v>15577</v>
      </c>
      <c r="AE33" s="31">
        <v>16175</v>
      </c>
      <c r="AF33" s="31">
        <v>10935</v>
      </c>
      <c r="AG33" s="31">
        <v>9571</v>
      </c>
      <c r="AH33" s="31">
        <v>8357</v>
      </c>
      <c r="AI33" s="31">
        <v>7501</v>
      </c>
      <c r="AJ33" s="31">
        <v>12112</v>
      </c>
      <c r="AK33" s="31">
        <v>11493</v>
      </c>
      <c r="AL33" s="31">
        <v>10947</v>
      </c>
      <c r="AM33" s="31">
        <v>9918</v>
      </c>
      <c r="AN33" s="31">
        <v>4967</v>
      </c>
      <c r="AO33" s="31">
        <v>4952</v>
      </c>
      <c r="AP33" s="31">
        <v>4994</v>
      </c>
      <c r="AQ33" s="31">
        <v>6063</v>
      </c>
      <c r="AR33" s="31">
        <v>5979</v>
      </c>
      <c r="AS33" s="31">
        <v>6523</v>
      </c>
      <c r="AT33" s="31">
        <v>6453</v>
      </c>
      <c r="AU33" s="31">
        <v>5194</v>
      </c>
      <c r="AV33" s="31">
        <v>4485</v>
      </c>
      <c r="AW33" s="31">
        <v>3258</v>
      </c>
      <c r="AX33" s="31">
        <v>3238</v>
      </c>
      <c r="AY33" s="31">
        <v>3726</v>
      </c>
      <c r="AZ33" s="31">
        <v>3872</v>
      </c>
      <c r="BA33" s="31">
        <v>4550</v>
      </c>
      <c r="BB33" s="31">
        <v>4600</v>
      </c>
      <c r="BC33" s="31" t="s">
        <v>165</v>
      </c>
      <c r="BD33" s="31">
        <v>5597</v>
      </c>
      <c r="BE33" s="31" t="s">
        <v>165</v>
      </c>
      <c r="BF33" s="31" t="s">
        <v>165</v>
      </c>
      <c r="BG33" s="31" t="s">
        <v>165</v>
      </c>
      <c r="BH33" s="31" t="s">
        <v>165</v>
      </c>
      <c r="BI33" s="31" t="s">
        <v>165</v>
      </c>
      <c r="BJ33" s="31" t="s">
        <v>165</v>
      </c>
      <c r="BK33" s="31" t="s">
        <v>165</v>
      </c>
      <c r="BL33" s="31" t="s">
        <v>165</v>
      </c>
      <c r="BM33" s="31" t="s">
        <v>165</v>
      </c>
      <c r="BN33" s="31" t="s">
        <v>165</v>
      </c>
      <c r="BO33" s="31" t="s">
        <v>165</v>
      </c>
      <c r="BP33" s="31" t="s">
        <v>165</v>
      </c>
      <c r="BQ33" s="31" t="s">
        <v>165</v>
      </c>
      <c r="BR33" s="31" t="s">
        <v>165</v>
      </c>
      <c r="BS33" s="31" t="s">
        <v>165</v>
      </c>
      <c r="BT33" s="31" t="s">
        <v>165</v>
      </c>
      <c r="BU33" s="31" t="s">
        <v>165</v>
      </c>
      <c r="BV33" s="31" t="s">
        <v>165</v>
      </c>
      <c r="BW33" s="31" t="s">
        <v>165</v>
      </c>
      <c r="BX33" s="31" t="s">
        <v>165</v>
      </c>
      <c r="BY33" s="31" t="s">
        <v>165</v>
      </c>
      <c r="BZ33" s="31" t="s">
        <v>165</v>
      </c>
      <c r="CA33" s="31" t="s">
        <v>165</v>
      </c>
      <c r="CB33" s="31" t="s">
        <v>165</v>
      </c>
      <c r="CC33" s="31" t="s">
        <v>165</v>
      </c>
      <c r="CD33" s="31" t="s">
        <v>165</v>
      </c>
      <c r="CE33" s="31" t="s">
        <v>165</v>
      </c>
      <c r="CF33" s="31" t="s">
        <v>165</v>
      </c>
      <c r="CG33" s="31" t="s">
        <v>165</v>
      </c>
      <c r="CH33" s="31" t="s">
        <v>165</v>
      </c>
      <c r="CI33" s="31" t="s">
        <v>165</v>
      </c>
      <c r="CK33" s="15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</row>
    <row r="34" spans="1:110" outlineLevel="2" x14ac:dyDescent="0.2">
      <c r="A34" s="14">
        <v>1</v>
      </c>
      <c r="C34" s="10" t="str">
        <f>"        Total Net Finance (Income)/Expense"</f>
        <v xml:space="preserve">        Total Net Finance (Income)/Expense</v>
      </c>
      <c r="D34" s="29">
        <f t="shared" si="0"/>
        <v>8340</v>
      </c>
      <c r="E34" s="29">
        <f t="shared" si="1"/>
        <v>8176.5988372093025</v>
      </c>
      <c r="F34" s="29">
        <f t="shared" si="2"/>
        <v>2135</v>
      </c>
      <c r="G34" s="29">
        <f t="shared" si="3"/>
        <v>16175</v>
      </c>
      <c r="H34" s="29">
        <f t="shared" si="4"/>
        <v>4980.5</v>
      </c>
      <c r="I34" s="29">
        <f t="shared" si="5"/>
        <v>10744</v>
      </c>
      <c r="J34" s="29">
        <f t="shared" si="6"/>
        <v>3538.4046774117805</v>
      </c>
      <c r="K34" s="30">
        <f t="shared" si="7"/>
        <v>0.43274774118910408</v>
      </c>
      <c r="L34" s="31"/>
      <c r="M34" s="31">
        <v>2135</v>
      </c>
      <c r="N34" s="31">
        <v>3899.75</v>
      </c>
      <c r="O34" s="31">
        <v>10552.25</v>
      </c>
      <c r="P34" s="31">
        <v>10261.75</v>
      </c>
      <c r="Q34" s="31">
        <v>10710</v>
      </c>
      <c r="R34" s="31">
        <v>10088</v>
      </c>
      <c r="S34" s="31">
        <v>10778</v>
      </c>
      <c r="T34" s="31">
        <v>11168</v>
      </c>
      <c r="U34" s="31">
        <v>10806</v>
      </c>
      <c r="V34" s="31">
        <v>9746</v>
      </c>
      <c r="W34" s="31">
        <v>8958</v>
      </c>
      <c r="X34" s="31">
        <v>8581</v>
      </c>
      <c r="Y34" s="31">
        <v>8081</v>
      </c>
      <c r="Z34" s="31">
        <v>8220</v>
      </c>
      <c r="AA34" s="31">
        <v>8340</v>
      </c>
      <c r="AB34" s="31">
        <v>13528</v>
      </c>
      <c r="AC34" s="31">
        <v>14704</v>
      </c>
      <c r="AD34" s="31">
        <v>15577</v>
      </c>
      <c r="AE34" s="31">
        <v>16175</v>
      </c>
      <c r="AF34" s="31">
        <v>10935</v>
      </c>
      <c r="AG34" s="31">
        <v>9571</v>
      </c>
      <c r="AH34" s="31">
        <v>8357</v>
      </c>
      <c r="AI34" s="31">
        <v>7501</v>
      </c>
      <c r="AJ34" s="31">
        <v>12112</v>
      </c>
      <c r="AK34" s="31">
        <v>11493</v>
      </c>
      <c r="AL34" s="31">
        <v>10947</v>
      </c>
      <c r="AM34" s="31">
        <v>9918</v>
      </c>
      <c r="AN34" s="31">
        <v>4967</v>
      </c>
      <c r="AO34" s="31">
        <v>4952</v>
      </c>
      <c r="AP34" s="31">
        <v>4994</v>
      </c>
      <c r="AQ34" s="31">
        <v>6063</v>
      </c>
      <c r="AR34" s="31">
        <v>5979</v>
      </c>
      <c r="AS34" s="31">
        <v>6523</v>
      </c>
      <c r="AT34" s="31">
        <v>6453</v>
      </c>
      <c r="AU34" s="31">
        <v>5194</v>
      </c>
      <c r="AV34" s="31">
        <v>4485</v>
      </c>
      <c r="AW34" s="31">
        <v>3258</v>
      </c>
      <c r="AX34" s="31">
        <v>3238</v>
      </c>
      <c r="AY34" s="31">
        <v>3726</v>
      </c>
      <c r="AZ34" s="31">
        <v>3872</v>
      </c>
      <c r="BA34" s="31">
        <v>4550</v>
      </c>
      <c r="BB34" s="31">
        <v>4600</v>
      </c>
      <c r="BC34" s="31" t="s">
        <v>165</v>
      </c>
      <c r="BD34" s="31">
        <v>5597</v>
      </c>
      <c r="BE34" s="31" t="s">
        <v>165</v>
      </c>
      <c r="BF34" s="31" t="s">
        <v>165</v>
      </c>
      <c r="BG34" s="31" t="s">
        <v>165</v>
      </c>
      <c r="BH34" s="31" t="s">
        <v>165</v>
      </c>
      <c r="BI34" s="31" t="s">
        <v>165</v>
      </c>
      <c r="BJ34" s="31" t="s">
        <v>165</v>
      </c>
      <c r="BK34" s="31" t="s">
        <v>165</v>
      </c>
      <c r="BL34" s="31" t="s">
        <v>165</v>
      </c>
      <c r="BM34" s="31" t="s">
        <v>165</v>
      </c>
      <c r="BN34" s="31" t="s">
        <v>165</v>
      </c>
      <c r="BO34" s="31" t="s">
        <v>165</v>
      </c>
      <c r="BP34" s="31" t="s">
        <v>165</v>
      </c>
      <c r="BQ34" s="31" t="s">
        <v>165</v>
      </c>
      <c r="BR34" s="31" t="s">
        <v>165</v>
      </c>
      <c r="BS34" s="31" t="s">
        <v>165</v>
      </c>
      <c r="BT34" s="31" t="s">
        <v>165</v>
      </c>
      <c r="BU34" s="31" t="s">
        <v>165</v>
      </c>
      <c r="BV34" s="31" t="s">
        <v>165</v>
      </c>
      <c r="BW34" s="31" t="s">
        <v>165</v>
      </c>
      <c r="BX34" s="31" t="s">
        <v>165</v>
      </c>
      <c r="BY34" s="31" t="s">
        <v>165</v>
      </c>
      <c r="BZ34" s="31" t="s">
        <v>165</v>
      </c>
      <c r="CA34" s="31" t="s">
        <v>165</v>
      </c>
      <c r="CB34" s="31" t="s">
        <v>165</v>
      </c>
      <c r="CC34" s="31" t="s">
        <v>165</v>
      </c>
      <c r="CD34" s="31" t="s">
        <v>165</v>
      </c>
      <c r="CE34" s="31" t="s">
        <v>165</v>
      </c>
      <c r="CF34" s="31" t="s">
        <v>165</v>
      </c>
      <c r="CG34" s="31" t="s">
        <v>165</v>
      </c>
      <c r="CH34" s="31" t="s">
        <v>165</v>
      </c>
      <c r="CI34" s="31" t="s">
        <v>165</v>
      </c>
      <c r="CK34" s="15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</row>
    <row r="35" spans="1:110" outlineLevel="1" x14ac:dyDescent="0.2">
      <c r="A35" s="14">
        <v>1</v>
      </c>
      <c r="C35" s="9" t="str">
        <f>IF(SUBTOTAL(109,A35)=A35,"    Irregular (Income)/Expenses","    Irregular (Income)/Expenses")</f>
        <v xml:space="preserve">    Irregular (Income)/Expenses</v>
      </c>
      <c r="D35" s="17" t="str">
        <f t="shared" si="0"/>
        <v/>
      </c>
      <c r="E35" s="17" t="str">
        <f t="shared" si="1"/>
        <v/>
      </c>
      <c r="F35" s="17" t="str">
        <f t="shared" si="2"/>
        <v/>
      </c>
      <c r="G35" s="17" t="str">
        <f t="shared" si="3"/>
        <v/>
      </c>
      <c r="H35" s="17" t="str">
        <f t="shared" si="4"/>
        <v/>
      </c>
      <c r="I35" s="17" t="str">
        <f t="shared" si="5"/>
        <v/>
      </c>
      <c r="J35" s="17" t="str">
        <f t="shared" si="6"/>
        <v/>
      </c>
      <c r="K35" s="18" t="str">
        <f t="shared" si="7"/>
        <v/>
      </c>
      <c r="L35" s="21"/>
      <c r="M35" s="21" t="str">
        <f>IF(SUBTOTAL(109,A35)=A35,"","")</f>
        <v/>
      </c>
      <c r="N35" s="21"/>
      <c r="O35" s="21"/>
      <c r="P35" s="21"/>
      <c r="Q35" s="21"/>
      <c r="R35" s="21" t="str">
        <f>IF(SUBTOTAL(109,A35)=A35,"",0)</f>
        <v/>
      </c>
      <c r="S35" s="21" t="str">
        <f>IF(SUBTOTAL(109,A35)=A35,"",0)</f>
        <v/>
      </c>
      <c r="T35" s="21" t="str">
        <f>IF(SUBTOTAL(109,A35)=A35,"",0)</f>
        <v/>
      </c>
      <c r="U35" s="21" t="str">
        <f>IF(SUBTOTAL(109,A35)=A35,"",0)</f>
        <v/>
      </c>
      <c r="V35" s="21" t="str">
        <f>IF(SUBTOTAL(109,A35)=A35,"",0)</f>
        <v/>
      </c>
      <c r="W35" s="21" t="str">
        <f>IF(SUBTOTAL(109,A35)=A35,"",0)</f>
        <v/>
      </c>
      <c r="X35" s="21" t="str">
        <f>IF(SUBTOTAL(109,A35)=A35,"",0)</f>
        <v/>
      </c>
      <c r="Y35" s="21" t="str">
        <f>IF(SUBTOTAL(109,A35)=A35,"","")</f>
        <v/>
      </c>
      <c r="Z35" s="21" t="str">
        <f>IF(SUBTOTAL(109,A35)=A35,"","")</f>
        <v/>
      </c>
      <c r="AA35" s="21" t="str">
        <f>IF(SUBTOTAL(109,A35)=A35,"","")</f>
        <v/>
      </c>
      <c r="AB35" s="21" t="str">
        <f>IF(SUBTOTAL(109,A35)=A35,"","")</f>
        <v/>
      </c>
      <c r="AC35" s="21" t="str">
        <f>IF(SUBTOTAL(109,A35)=A35,"","")</f>
        <v/>
      </c>
      <c r="AD35" s="21" t="str">
        <f>IF(SUBTOTAL(109,A35)=A35,"","")</f>
        <v/>
      </c>
      <c r="AE35" s="21" t="str">
        <f>IF(SUBTOTAL(109,A35)=A35,"","")</f>
        <v/>
      </c>
      <c r="AF35" s="21" t="str">
        <f>IF(SUBTOTAL(109,A35)=A35,"","")</f>
        <v/>
      </c>
      <c r="AG35" s="21" t="str">
        <f>IF(SUBTOTAL(109,A35)=A35,"","")</f>
        <v/>
      </c>
      <c r="AH35" s="21" t="str">
        <f>IF(SUBTOTAL(109,A35)=A35,"","")</f>
        <v/>
      </c>
      <c r="AI35" s="21" t="str">
        <f>IF(SUBTOTAL(109,A35)=A35,"","")</f>
        <v/>
      </c>
      <c r="AJ35" s="21" t="str">
        <f>IF(SUBTOTAL(109,A35)=A35,"","")</f>
        <v/>
      </c>
      <c r="AK35" s="21" t="str">
        <f>IF(SUBTOTAL(109,A35)=A35,"","")</f>
        <v/>
      </c>
      <c r="AL35" s="21" t="str">
        <f>IF(SUBTOTAL(109,A35)=A35,"","")</f>
        <v/>
      </c>
      <c r="AM35" s="21" t="str">
        <f>IF(SUBTOTAL(109,A35)=A35,"","")</f>
        <v/>
      </c>
      <c r="AN35" s="21" t="str">
        <f>IF(SUBTOTAL(109,A35)=A35,"","")</f>
        <v/>
      </c>
      <c r="AO35" s="21" t="str">
        <f>IF(SUBTOTAL(109,A35)=A35,"","")</f>
        <v/>
      </c>
      <c r="AP35" s="21" t="str">
        <f>IF(SUBTOTAL(109,A35)=A35,"","")</f>
        <v/>
      </c>
      <c r="AQ35" s="21" t="str">
        <f>IF(SUBTOTAL(109,A35)=A35,"","")</f>
        <v/>
      </c>
      <c r="AR35" s="21" t="str">
        <f>IF(SUBTOTAL(109,A35)=A35,"","")</f>
        <v/>
      </c>
      <c r="AS35" s="21" t="str">
        <f>IF(SUBTOTAL(109,A35)=A35,"","")</f>
        <v/>
      </c>
      <c r="AT35" s="21" t="str">
        <f>IF(SUBTOTAL(109,A35)=A35,"",463)</f>
        <v/>
      </c>
      <c r="AU35" s="21" t="str">
        <f>IF(SUBTOTAL(109,A35)=A35,"",-209)</f>
        <v/>
      </c>
      <c r="AV35" s="21" t="str">
        <f>IF(SUBTOTAL(109,A35)=A35,"","")</f>
        <v/>
      </c>
      <c r="AW35" s="21" t="str">
        <f>IF(SUBTOTAL(109,A35)=A35,"",-692)</f>
        <v/>
      </c>
      <c r="AX35" s="21" t="str">
        <f>IF(SUBTOTAL(109,A35)=A35,"",-2132)</f>
        <v/>
      </c>
      <c r="AY35" s="21" t="str">
        <f>IF(SUBTOTAL(109,A35)=A35,"",-11272)</f>
        <v/>
      </c>
      <c r="AZ35" s="21" t="str">
        <f>IF(SUBTOTAL(109,A35)=A35,"","")</f>
        <v/>
      </c>
      <c r="BA35" s="21" t="str">
        <f>IF(SUBTOTAL(109,A35)=A35,"",-11818)</f>
        <v/>
      </c>
      <c r="BB35" s="21" t="str">
        <f>IF(SUBTOTAL(109,A35)=A35,"",-11207)</f>
        <v/>
      </c>
      <c r="BC35" s="21" t="str">
        <f>IF(SUBTOTAL(109,A35)=A35,"",95243.719)</f>
        <v/>
      </c>
      <c r="BD35" s="21" t="str">
        <f>IF(SUBTOTAL(109,A35)=A35,"",98404)</f>
        <v/>
      </c>
      <c r="BE35" s="21" t="str">
        <f>IF(SUBTOTAL(109,A35)=A35,"",98928.191)</f>
        <v/>
      </c>
      <c r="BF35" s="21" t="str">
        <f>IF(SUBTOTAL(109,A35)=A35,"",100709.334)</f>
        <v/>
      </c>
      <c r="BG35" s="21" t="str">
        <f>IF(SUBTOTAL(109,A35)=A35,"",1326.196)</f>
        <v/>
      </c>
      <c r="BH35" s="21" t="str">
        <f>IF(SUBTOTAL(109,A35)=A35,"",723.01)</f>
        <v/>
      </c>
      <c r="BI35" s="21" t="str">
        <f>IF(SUBTOTAL(109,A35)=A35,"",295.72)</f>
        <v/>
      </c>
      <c r="BJ35" s="21" t="str">
        <f>IF(SUBTOTAL(109,A35)=A35,"",-8.504)</f>
        <v/>
      </c>
      <c r="BK35" s="21" t="str">
        <f>IF(SUBTOTAL(109,A35)=A35,"",410.489)</f>
        <v/>
      </c>
      <c r="BL35" s="21" t="str">
        <f>IF(SUBTOTAL(109,A35)=A35,"",497.06)</f>
        <v/>
      </c>
      <c r="BM35" s="21" t="str">
        <f>IF(SUBTOTAL(109,A35)=A35,"",470.139)</f>
        <v/>
      </c>
      <c r="BN35" s="21" t="str">
        <f>IF(SUBTOTAL(109,A35)=A35,"",-194.589)</f>
        <v/>
      </c>
      <c r="BO35" s="21" t="str">
        <f>IF(SUBTOTAL(109,A35)=A35,"",-578.949)</f>
        <v/>
      </c>
      <c r="BP35" s="21" t="str">
        <f>IF(SUBTOTAL(109,A35)=A35,"",-3833.387)</f>
        <v/>
      </c>
      <c r="BQ35" s="21" t="str">
        <f>IF(SUBTOTAL(109,A35)=A35,"",-3456.432)</f>
        <v/>
      </c>
      <c r="BR35" s="21" t="str">
        <f>IF(SUBTOTAL(109,A35)=A35,"",-2981.808)</f>
        <v/>
      </c>
      <c r="BS35" s="21" t="str">
        <f>IF(SUBTOTAL(109,A35)=A35,"",-2695.335)</f>
        <v/>
      </c>
      <c r="BT35" s="21" t="str">
        <f>IF(SUBTOTAL(109,A35)=A35,"",120.373)</f>
        <v/>
      </c>
      <c r="BU35" s="21" t="str">
        <f>IF(SUBTOTAL(109,A35)=A35,"",1314.643)</f>
        <v/>
      </c>
      <c r="BV35" s="21" t="str">
        <f>IF(SUBTOTAL(109,A35)=A35,"",1911.8)</f>
        <v/>
      </c>
      <c r="BW35" s="21" t="str">
        <f>IF(SUBTOTAL(109,A35)=A35,"",1309.277)</f>
        <v/>
      </c>
      <c r="BX35" s="21" t="str">
        <f>IF(SUBTOTAL(109,A35)=A35,"",2303.89)</f>
        <v/>
      </c>
      <c r="BY35" s="21" t="str">
        <f>IF(SUBTOTAL(109,A35)=A35,"",-160.217)</f>
        <v/>
      </c>
      <c r="BZ35" s="21" t="str">
        <f>IF(SUBTOTAL(109,A35)=A35,"",-1550.271)</f>
        <v/>
      </c>
      <c r="CA35" s="21" t="str">
        <f>IF(SUBTOTAL(109,A35)=A35,"",-1426.573)</f>
        <v/>
      </c>
      <c r="CB35" s="21" t="str">
        <f>IF(SUBTOTAL(109,A35)=A35,"",-1789.114)</f>
        <v/>
      </c>
      <c r="CC35" s="21" t="str">
        <f>IF(SUBTOTAL(109,A35)=A35,"",1934.988)</f>
        <v/>
      </c>
      <c r="CD35" s="21" t="str">
        <f>IF(SUBTOTAL(109,A35)=A35,"",1901.001)</f>
        <v/>
      </c>
      <c r="CE35" s="21" t="str">
        <f>IF(SUBTOTAL(109,A35)=A35,"",2272.139)</f>
        <v/>
      </c>
      <c r="CF35" s="21" t="str">
        <f>IF(SUBTOTAL(109,A35)=A35,"",2547.2)</f>
        <v/>
      </c>
      <c r="CG35" s="21" t="str">
        <f>IF(SUBTOTAL(109,A35)=A35,"","")</f>
        <v/>
      </c>
      <c r="CH35" s="21" t="str">
        <f>IF(SUBTOTAL(109,A35)=A35,"","")</f>
        <v/>
      </c>
      <c r="CI35" s="21" t="str">
        <f>IF(SUBTOTAL(109,A35)=A35,"","")</f>
        <v/>
      </c>
      <c r="CK35" s="15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</row>
    <row r="36" spans="1:110" outlineLevel="2" x14ac:dyDescent="0.2">
      <c r="A36" s="14">
        <v>1</v>
      </c>
      <c r="C36" s="9" t="str">
        <f>"        Impairment/Write Off/Write Down of Capital Assets"</f>
        <v xml:space="preserve">        Impairment/Write Off/Write Down of Capital Assets</v>
      </c>
      <c r="D36" s="17">
        <f t="shared" si="0"/>
        <v>0</v>
      </c>
      <c r="E36" s="17">
        <f t="shared" si="1"/>
        <v>28069.428571428572</v>
      </c>
      <c r="F36" s="17">
        <f t="shared" si="2"/>
        <v>0</v>
      </c>
      <c r="G36" s="17">
        <f t="shared" si="3"/>
        <v>98243</v>
      </c>
      <c r="H36" s="17">
        <f t="shared" si="4"/>
        <v>0</v>
      </c>
      <c r="I36" s="17">
        <f t="shared" si="5"/>
        <v>49121.5</v>
      </c>
      <c r="J36" s="17">
        <f t="shared" si="6"/>
        <v>47937.675433341377</v>
      </c>
      <c r="K36" s="18">
        <f t="shared" si="7"/>
        <v>1.7078251276599332</v>
      </c>
      <c r="L36" s="21"/>
      <c r="M36" s="21" t="s">
        <v>165</v>
      </c>
      <c r="N36" s="21"/>
      <c r="O36" s="21"/>
      <c r="P36" s="21"/>
      <c r="Q36" s="21"/>
      <c r="R36" s="21" t="s">
        <v>165</v>
      </c>
      <c r="S36" s="21" t="s">
        <v>165</v>
      </c>
      <c r="T36" s="21" t="s">
        <v>165</v>
      </c>
      <c r="U36" s="21" t="s">
        <v>165</v>
      </c>
      <c r="V36" s="21" t="s">
        <v>165</v>
      </c>
      <c r="W36" s="21" t="s">
        <v>165</v>
      </c>
      <c r="X36" s="21" t="s">
        <v>165</v>
      </c>
      <c r="Y36" s="21" t="s">
        <v>165</v>
      </c>
      <c r="Z36" s="21" t="s">
        <v>165</v>
      </c>
      <c r="AA36" s="21" t="s">
        <v>165</v>
      </c>
      <c r="AB36" s="21" t="s">
        <v>165</v>
      </c>
      <c r="AC36" s="21" t="s">
        <v>165</v>
      </c>
      <c r="AD36" s="21" t="s">
        <v>165</v>
      </c>
      <c r="AE36" s="21" t="s">
        <v>165</v>
      </c>
      <c r="AF36" s="21" t="s">
        <v>165</v>
      </c>
      <c r="AG36" s="21" t="s">
        <v>165</v>
      </c>
      <c r="AH36" s="21" t="s">
        <v>165</v>
      </c>
      <c r="AI36" s="21" t="s">
        <v>165</v>
      </c>
      <c r="AJ36" s="21" t="s">
        <v>165</v>
      </c>
      <c r="AK36" s="21" t="s">
        <v>165</v>
      </c>
      <c r="AL36" s="21" t="s">
        <v>165</v>
      </c>
      <c r="AM36" s="21" t="s">
        <v>165</v>
      </c>
      <c r="AN36" s="21" t="s">
        <v>165</v>
      </c>
      <c r="AO36" s="21" t="s">
        <v>165</v>
      </c>
      <c r="AP36" s="21" t="s">
        <v>165</v>
      </c>
      <c r="AQ36" s="21" t="s">
        <v>165</v>
      </c>
      <c r="AR36" s="21" t="s">
        <v>165</v>
      </c>
      <c r="AS36" s="21" t="s">
        <v>165</v>
      </c>
      <c r="AT36" s="21" t="s">
        <v>165</v>
      </c>
      <c r="AU36" s="21" t="s">
        <v>165</v>
      </c>
      <c r="AV36" s="21" t="s">
        <v>165</v>
      </c>
      <c r="AW36" s="21" t="s">
        <v>165</v>
      </c>
      <c r="AX36" s="21">
        <v>0</v>
      </c>
      <c r="AY36" s="21">
        <v>0</v>
      </c>
      <c r="AZ36" s="21" t="s">
        <v>165</v>
      </c>
      <c r="BA36" s="21">
        <v>0</v>
      </c>
      <c r="BB36" s="21">
        <v>0</v>
      </c>
      <c r="BC36" s="21">
        <v>0</v>
      </c>
      <c r="BD36" s="21">
        <v>98243</v>
      </c>
      <c r="BE36" s="21">
        <v>98243</v>
      </c>
      <c r="BF36" s="21" t="s">
        <v>165</v>
      </c>
      <c r="BG36" s="21" t="s">
        <v>165</v>
      </c>
      <c r="BH36" s="21" t="s">
        <v>165</v>
      </c>
      <c r="BI36" s="21" t="s">
        <v>165</v>
      </c>
      <c r="BJ36" s="21" t="s">
        <v>165</v>
      </c>
      <c r="BK36" s="21" t="s">
        <v>165</v>
      </c>
      <c r="BL36" s="21" t="s">
        <v>165</v>
      </c>
      <c r="BM36" s="21" t="s">
        <v>165</v>
      </c>
      <c r="BN36" s="21" t="s">
        <v>165</v>
      </c>
      <c r="BO36" s="21" t="s">
        <v>165</v>
      </c>
      <c r="BP36" s="21" t="s">
        <v>165</v>
      </c>
      <c r="BQ36" s="21" t="s">
        <v>165</v>
      </c>
      <c r="BR36" s="21" t="s">
        <v>165</v>
      </c>
      <c r="BS36" s="21" t="s">
        <v>165</v>
      </c>
      <c r="BT36" s="21" t="s">
        <v>165</v>
      </c>
      <c r="BU36" s="21" t="s">
        <v>165</v>
      </c>
      <c r="BV36" s="21" t="s">
        <v>165</v>
      </c>
      <c r="BW36" s="21" t="s">
        <v>165</v>
      </c>
      <c r="BX36" s="21" t="s">
        <v>165</v>
      </c>
      <c r="BY36" s="21" t="s">
        <v>165</v>
      </c>
      <c r="BZ36" s="21" t="s">
        <v>165</v>
      </c>
      <c r="CA36" s="21" t="s">
        <v>165</v>
      </c>
      <c r="CB36" s="21" t="s">
        <v>165</v>
      </c>
      <c r="CC36" s="21" t="s">
        <v>165</v>
      </c>
      <c r="CD36" s="21" t="s">
        <v>165</v>
      </c>
      <c r="CE36" s="21" t="s">
        <v>165</v>
      </c>
      <c r="CF36" s="21" t="s">
        <v>165</v>
      </c>
      <c r="CG36" s="21" t="s">
        <v>165</v>
      </c>
      <c r="CH36" s="21" t="s">
        <v>165</v>
      </c>
      <c r="CI36" s="21" t="s">
        <v>165</v>
      </c>
      <c r="CK36" s="15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</row>
    <row r="37" spans="1:110" outlineLevel="2" x14ac:dyDescent="0.2">
      <c r="A37" s="14">
        <v>1</v>
      </c>
      <c r="C37" s="9" t="str">
        <f>"        Goodwill Impairment/Write Off"</f>
        <v xml:space="preserve">        Goodwill Impairment/Write Off</v>
      </c>
      <c r="D37" s="17">
        <f t="shared" si="0"/>
        <v>0</v>
      </c>
      <c r="E37" s="17">
        <f t="shared" si="1"/>
        <v>1155.1111111111111</v>
      </c>
      <c r="F37" s="17">
        <f t="shared" si="2"/>
        <v>0</v>
      </c>
      <c r="G37" s="17">
        <f t="shared" si="3"/>
        <v>10396</v>
      </c>
      <c r="H37" s="17">
        <f t="shared" si="4"/>
        <v>0</v>
      </c>
      <c r="I37" s="17">
        <f t="shared" si="5"/>
        <v>0</v>
      </c>
      <c r="J37" s="17">
        <f t="shared" si="6"/>
        <v>3465.3333333333335</v>
      </c>
      <c r="K37" s="18">
        <f t="shared" si="7"/>
        <v>3</v>
      </c>
      <c r="L37" s="21"/>
      <c r="M37" s="21" t="s">
        <v>165</v>
      </c>
      <c r="N37" s="21"/>
      <c r="O37" s="21"/>
      <c r="P37" s="21">
        <v>10396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 t="s">
        <v>165</v>
      </c>
      <c r="Z37" s="21" t="s">
        <v>165</v>
      </c>
      <c r="AA37" s="21" t="s">
        <v>165</v>
      </c>
      <c r="AB37" s="21" t="s">
        <v>165</v>
      </c>
      <c r="AC37" s="21" t="s">
        <v>165</v>
      </c>
      <c r="AD37" s="21" t="s">
        <v>165</v>
      </c>
      <c r="AE37" s="21" t="s">
        <v>165</v>
      </c>
      <c r="AF37" s="21" t="s">
        <v>165</v>
      </c>
      <c r="AG37" s="21" t="s">
        <v>165</v>
      </c>
      <c r="AH37" s="21" t="s">
        <v>165</v>
      </c>
      <c r="AI37" s="21" t="s">
        <v>165</v>
      </c>
      <c r="AJ37" s="21" t="s">
        <v>165</v>
      </c>
      <c r="AK37" s="21" t="s">
        <v>165</v>
      </c>
      <c r="AL37" s="21" t="s">
        <v>165</v>
      </c>
      <c r="AM37" s="21" t="s">
        <v>165</v>
      </c>
      <c r="AN37" s="21" t="s">
        <v>165</v>
      </c>
      <c r="AO37" s="21" t="s">
        <v>165</v>
      </c>
      <c r="AP37" s="21" t="s">
        <v>165</v>
      </c>
      <c r="AQ37" s="21" t="s">
        <v>165</v>
      </c>
      <c r="AR37" s="21" t="s">
        <v>165</v>
      </c>
      <c r="AS37" s="21" t="s">
        <v>165</v>
      </c>
      <c r="AT37" s="21" t="s">
        <v>165</v>
      </c>
      <c r="AU37" s="21" t="s">
        <v>165</v>
      </c>
      <c r="AV37" s="21" t="s">
        <v>165</v>
      </c>
      <c r="AW37" s="21" t="s">
        <v>165</v>
      </c>
      <c r="AX37" s="21" t="s">
        <v>165</v>
      </c>
      <c r="AY37" s="21" t="s">
        <v>165</v>
      </c>
      <c r="AZ37" s="21" t="s">
        <v>165</v>
      </c>
      <c r="BA37" s="21" t="s">
        <v>165</v>
      </c>
      <c r="BB37" s="21" t="s">
        <v>165</v>
      </c>
      <c r="BC37" s="21" t="s">
        <v>165</v>
      </c>
      <c r="BD37" s="21" t="s">
        <v>165</v>
      </c>
      <c r="BE37" s="21" t="s">
        <v>165</v>
      </c>
      <c r="BF37" s="21" t="s">
        <v>165</v>
      </c>
      <c r="BG37" s="21" t="s">
        <v>165</v>
      </c>
      <c r="BH37" s="21" t="s">
        <v>165</v>
      </c>
      <c r="BI37" s="21" t="s">
        <v>165</v>
      </c>
      <c r="BJ37" s="21" t="s">
        <v>165</v>
      </c>
      <c r="BK37" s="21" t="s">
        <v>165</v>
      </c>
      <c r="BL37" s="21" t="s">
        <v>165</v>
      </c>
      <c r="BM37" s="21" t="s">
        <v>165</v>
      </c>
      <c r="BN37" s="21" t="s">
        <v>165</v>
      </c>
      <c r="BO37" s="21" t="s">
        <v>165</v>
      </c>
      <c r="BP37" s="21" t="s">
        <v>165</v>
      </c>
      <c r="BQ37" s="21" t="s">
        <v>165</v>
      </c>
      <c r="BR37" s="21" t="s">
        <v>165</v>
      </c>
      <c r="BS37" s="21" t="s">
        <v>165</v>
      </c>
      <c r="BT37" s="21" t="s">
        <v>165</v>
      </c>
      <c r="BU37" s="21" t="s">
        <v>165</v>
      </c>
      <c r="BV37" s="21" t="s">
        <v>165</v>
      </c>
      <c r="BW37" s="21" t="s">
        <v>165</v>
      </c>
      <c r="BX37" s="21" t="s">
        <v>165</v>
      </c>
      <c r="BY37" s="21" t="s">
        <v>165</v>
      </c>
      <c r="BZ37" s="21" t="s">
        <v>165</v>
      </c>
      <c r="CA37" s="21" t="s">
        <v>165</v>
      </c>
      <c r="CB37" s="21" t="s">
        <v>165</v>
      </c>
      <c r="CC37" s="21" t="s">
        <v>165</v>
      </c>
      <c r="CD37" s="21" t="s">
        <v>165</v>
      </c>
      <c r="CE37" s="21" t="s">
        <v>165</v>
      </c>
      <c r="CF37" s="21" t="s">
        <v>165</v>
      </c>
      <c r="CG37" s="21" t="s">
        <v>165</v>
      </c>
      <c r="CH37" s="21" t="s">
        <v>165</v>
      </c>
      <c r="CI37" s="21" t="s">
        <v>165</v>
      </c>
      <c r="CK37" s="15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</row>
    <row r="38" spans="1:110" outlineLevel="2" x14ac:dyDescent="0.2">
      <c r="A38" s="14">
        <v>1</v>
      </c>
      <c r="C38" s="9" t="str">
        <f>"        Restructuring and Reorganization (Income)/Expense"</f>
        <v xml:space="preserve">        Restructuring and Reorganization (Income)/Expense</v>
      </c>
      <c r="D38" s="17">
        <f t="shared" si="0"/>
        <v>1000.931</v>
      </c>
      <c r="E38" s="17">
        <f t="shared" si="1"/>
        <v>800.74480000000005</v>
      </c>
      <c r="F38" s="17">
        <f t="shared" si="2"/>
        <v>-6.8860000000000001</v>
      </c>
      <c r="G38" s="17">
        <f t="shared" si="3"/>
        <v>1007.817</v>
      </c>
      <c r="H38" s="17">
        <f t="shared" si="4"/>
        <v>1000.931</v>
      </c>
      <c r="I38" s="17">
        <f t="shared" si="5"/>
        <v>1000.931</v>
      </c>
      <c r="J38" s="17">
        <f t="shared" si="6"/>
        <v>451.48918844552611</v>
      </c>
      <c r="K38" s="18">
        <f t="shared" si="7"/>
        <v>0.56383655372538921</v>
      </c>
      <c r="L38" s="21"/>
      <c r="M38" s="21" t="s">
        <v>165</v>
      </c>
      <c r="N38" s="21"/>
      <c r="O38" s="21"/>
      <c r="P38" s="21"/>
      <c r="Q38" s="21"/>
      <c r="R38" s="21" t="s">
        <v>165</v>
      </c>
      <c r="S38" s="21" t="s">
        <v>165</v>
      </c>
      <c r="T38" s="21" t="s">
        <v>165</v>
      </c>
      <c r="U38" s="21" t="s">
        <v>165</v>
      </c>
      <c r="V38" s="21" t="s">
        <v>165</v>
      </c>
      <c r="W38" s="21" t="s">
        <v>165</v>
      </c>
      <c r="X38" s="21" t="s">
        <v>165</v>
      </c>
      <c r="Y38" s="21" t="s">
        <v>165</v>
      </c>
      <c r="Z38" s="21" t="s">
        <v>165</v>
      </c>
      <c r="AA38" s="21" t="s">
        <v>165</v>
      </c>
      <c r="AB38" s="21" t="s">
        <v>165</v>
      </c>
      <c r="AC38" s="21" t="s">
        <v>165</v>
      </c>
      <c r="AD38" s="21" t="s">
        <v>165</v>
      </c>
      <c r="AE38" s="21" t="s">
        <v>165</v>
      </c>
      <c r="AF38" s="21" t="s">
        <v>165</v>
      </c>
      <c r="AG38" s="21" t="s">
        <v>165</v>
      </c>
      <c r="AH38" s="21" t="s">
        <v>165</v>
      </c>
      <c r="AI38" s="21" t="s">
        <v>165</v>
      </c>
      <c r="AJ38" s="21" t="s">
        <v>165</v>
      </c>
      <c r="AK38" s="21" t="s">
        <v>165</v>
      </c>
      <c r="AL38" s="21" t="s">
        <v>165</v>
      </c>
      <c r="AM38" s="21" t="s">
        <v>165</v>
      </c>
      <c r="AN38" s="21" t="s">
        <v>165</v>
      </c>
      <c r="AO38" s="21" t="s">
        <v>165</v>
      </c>
      <c r="AP38" s="21" t="s">
        <v>165</v>
      </c>
      <c r="AQ38" s="21" t="s">
        <v>165</v>
      </c>
      <c r="AR38" s="21" t="s">
        <v>165</v>
      </c>
      <c r="AS38" s="21" t="s">
        <v>165</v>
      </c>
      <c r="AT38" s="21" t="s">
        <v>165</v>
      </c>
      <c r="AU38" s="21" t="s">
        <v>165</v>
      </c>
      <c r="AV38" s="21" t="s">
        <v>165</v>
      </c>
      <c r="AW38" s="21" t="s">
        <v>165</v>
      </c>
      <c r="AX38" s="21" t="s">
        <v>165</v>
      </c>
      <c r="AY38" s="21" t="s">
        <v>165</v>
      </c>
      <c r="AZ38" s="21" t="s">
        <v>165</v>
      </c>
      <c r="BA38" s="21" t="s">
        <v>165</v>
      </c>
      <c r="BB38" s="21" t="s">
        <v>165</v>
      </c>
      <c r="BC38" s="21" t="s">
        <v>165</v>
      </c>
      <c r="BD38" s="21" t="s">
        <v>165</v>
      </c>
      <c r="BE38" s="21" t="s">
        <v>165</v>
      </c>
      <c r="BF38" s="21" t="s">
        <v>165</v>
      </c>
      <c r="BG38" s="21" t="s">
        <v>165</v>
      </c>
      <c r="BH38" s="21" t="s">
        <v>165</v>
      </c>
      <c r="BI38" s="21" t="s">
        <v>165</v>
      </c>
      <c r="BJ38" s="21" t="s">
        <v>165</v>
      </c>
      <c r="BK38" s="21" t="s">
        <v>165</v>
      </c>
      <c r="BL38" s="21" t="s">
        <v>165</v>
      </c>
      <c r="BM38" s="21" t="s">
        <v>165</v>
      </c>
      <c r="BN38" s="21" t="s">
        <v>165</v>
      </c>
      <c r="BO38" s="21" t="s">
        <v>165</v>
      </c>
      <c r="BP38" s="21" t="s">
        <v>165</v>
      </c>
      <c r="BQ38" s="21" t="s">
        <v>165</v>
      </c>
      <c r="BR38" s="21" t="s">
        <v>165</v>
      </c>
      <c r="BS38" s="21" t="s">
        <v>165</v>
      </c>
      <c r="BT38" s="21" t="s">
        <v>165</v>
      </c>
      <c r="BU38" s="21">
        <v>-6.8860000000000001</v>
      </c>
      <c r="BV38" s="21">
        <v>1000.931</v>
      </c>
      <c r="BW38" s="21">
        <v>1000.931</v>
      </c>
      <c r="BX38" s="21">
        <v>1000.931</v>
      </c>
      <c r="BY38" s="21">
        <v>1007.817</v>
      </c>
      <c r="BZ38" s="21" t="s">
        <v>165</v>
      </c>
      <c r="CA38" s="21" t="s">
        <v>165</v>
      </c>
      <c r="CB38" s="21" t="s">
        <v>165</v>
      </c>
      <c r="CC38" s="21" t="s">
        <v>165</v>
      </c>
      <c r="CD38" s="21" t="s">
        <v>165</v>
      </c>
      <c r="CE38" s="21" t="s">
        <v>165</v>
      </c>
      <c r="CF38" s="21" t="s">
        <v>165</v>
      </c>
      <c r="CG38" s="21" t="s">
        <v>165</v>
      </c>
      <c r="CH38" s="21" t="s">
        <v>165</v>
      </c>
      <c r="CI38" s="21" t="s">
        <v>165</v>
      </c>
      <c r="CK38" s="15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</row>
    <row r="39" spans="1:110" outlineLevel="2" x14ac:dyDescent="0.2">
      <c r="A39" s="14">
        <v>1</v>
      </c>
      <c r="C39" s="9" t="str">
        <f>"        Other Irregular Income/(Expenses)"</f>
        <v xml:space="preserve">        Other Irregular Income/(Expenses)</v>
      </c>
      <c r="D39" s="17">
        <f t="shared" si="0"/>
        <v>84.933999999999997</v>
      </c>
      <c r="E39" s="17">
        <f t="shared" si="1"/>
        <v>-2288.5610000000001</v>
      </c>
      <c r="F39" s="17">
        <f t="shared" si="2"/>
        <v>-11818</v>
      </c>
      <c r="G39" s="17">
        <f t="shared" si="3"/>
        <v>1302.9590000000001</v>
      </c>
      <c r="H39" s="17">
        <f t="shared" si="4"/>
        <v>-2797.5</v>
      </c>
      <c r="I39" s="17">
        <f t="shared" si="5"/>
        <v>1118.175</v>
      </c>
      <c r="J39" s="17">
        <f t="shared" si="6"/>
        <v>5029.5497228966187</v>
      </c>
      <c r="K39" s="18">
        <f t="shared" si="7"/>
        <v>-2.1976909170857226</v>
      </c>
      <c r="L39" s="21"/>
      <c r="M39" s="21" t="s">
        <v>165</v>
      </c>
      <c r="N39" s="21"/>
      <c r="O39" s="21"/>
      <c r="P39" s="21"/>
      <c r="Q39" s="21"/>
      <c r="R39" s="21" t="s">
        <v>165</v>
      </c>
      <c r="S39" s="21" t="s">
        <v>165</v>
      </c>
      <c r="T39" s="21" t="s">
        <v>165</v>
      </c>
      <c r="U39" s="21" t="s">
        <v>165</v>
      </c>
      <c r="V39" s="21" t="s">
        <v>165</v>
      </c>
      <c r="W39" s="21" t="s">
        <v>165</v>
      </c>
      <c r="X39" s="21" t="s">
        <v>165</v>
      </c>
      <c r="Y39" s="21" t="s">
        <v>165</v>
      </c>
      <c r="Z39" s="21" t="s">
        <v>165</v>
      </c>
      <c r="AA39" s="21" t="s">
        <v>165</v>
      </c>
      <c r="AB39" s="21" t="s">
        <v>165</v>
      </c>
      <c r="AC39" s="21" t="s">
        <v>165</v>
      </c>
      <c r="AD39" s="21" t="s">
        <v>165</v>
      </c>
      <c r="AE39" s="21" t="s">
        <v>165</v>
      </c>
      <c r="AF39" s="21" t="s">
        <v>165</v>
      </c>
      <c r="AG39" s="21" t="s">
        <v>165</v>
      </c>
      <c r="AH39" s="21" t="s">
        <v>165</v>
      </c>
      <c r="AI39" s="21" t="s">
        <v>165</v>
      </c>
      <c r="AJ39" s="21" t="s">
        <v>165</v>
      </c>
      <c r="AK39" s="21" t="s">
        <v>165</v>
      </c>
      <c r="AL39" s="21" t="s">
        <v>165</v>
      </c>
      <c r="AM39" s="21" t="s">
        <v>165</v>
      </c>
      <c r="AN39" s="21" t="s">
        <v>165</v>
      </c>
      <c r="AO39" s="21" t="s">
        <v>165</v>
      </c>
      <c r="AP39" s="21" t="s">
        <v>165</v>
      </c>
      <c r="AQ39" s="21" t="s">
        <v>165</v>
      </c>
      <c r="AR39" s="21" t="s">
        <v>165</v>
      </c>
      <c r="AS39" s="21" t="s">
        <v>165</v>
      </c>
      <c r="AT39" s="21" t="s">
        <v>165</v>
      </c>
      <c r="AU39" s="21" t="s">
        <v>165</v>
      </c>
      <c r="AV39" s="21" t="s">
        <v>165</v>
      </c>
      <c r="AW39" s="21" t="s">
        <v>165</v>
      </c>
      <c r="AX39" s="21">
        <v>-977</v>
      </c>
      <c r="AY39" s="21">
        <v>-8259</v>
      </c>
      <c r="AZ39" s="21" t="s">
        <v>165</v>
      </c>
      <c r="BA39" s="21">
        <v>-11818</v>
      </c>
      <c r="BB39" s="21">
        <v>-11207</v>
      </c>
      <c r="BC39" s="21">
        <v>-720</v>
      </c>
      <c r="BD39" s="21">
        <v>161</v>
      </c>
      <c r="BE39" s="21">
        <v>515</v>
      </c>
      <c r="BF39" s="21" t="s">
        <v>165</v>
      </c>
      <c r="BG39" s="21" t="s">
        <v>165</v>
      </c>
      <c r="BH39" s="21" t="s">
        <v>165</v>
      </c>
      <c r="BI39" s="21" t="s">
        <v>165</v>
      </c>
      <c r="BJ39" s="21" t="s">
        <v>165</v>
      </c>
      <c r="BK39" s="21" t="s">
        <v>165</v>
      </c>
      <c r="BL39" s="21" t="s">
        <v>165</v>
      </c>
      <c r="BM39" s="21" t="s">
        <v>165</v>
      </c>
      <c r="BN39" s="21" t="s">
        <v>165</v>
      </c>
      <c r="BO39" s="21" t="s">
        <v>165</v>
      </c>
      <c r="BP39" s="21" t="s">
        <v>165</v>
      </c>
      <c r="BQ39" s="21" t="s">
        <v>165</v>
      </c>
      <c r="BR39" s="21" t="s">
        <v>165</v>
      </c>
      <c r="BS39" s="21" t="s">
        <v>165</v>
      </c>
      <c r="BT39" s="21" t="s">
        <v>165</v>
      </c>
      <c r="BU39" s="21">
        <v>1294.0909999999999</v>
      </c>
      <c r="BV39" s="21">
        <v>1118.175</v>
      </c>
      <c r="BW39" s="21">
        <v>1118.175</v>
      </c>
      <c r="BX39" s="21">
        <v>1302.9590000000001</v>
      </c>
      <c r="BY39" s="21">
        <v>8.8680000000000003</v>
      </c>
      <c r="BZ39" s="21" t="s">
        <v>165</v>
      </c>
      <c r="CA39" s="21" t="s">
        <v>165</v>
      </c>
      <c r="CB39" s="21" t="s">
        <v>165</v>
      </c>
      <c r="CC39" s="21" t="s">
        <v>165</v>
      </c>
      <c r="CD39" s="21" t="s">
        <v>165</v>
      </c>
      <c r="CE39" s="21" t="s">
        <v>165</v>
      </c>
      <c r="CF39" s="21" t="s">
        <v>165</v>
      </c>
      <c r="CG39" s="21" t="s">
        <v>165</v>
      </c>
      <c r="CH39" s="21" t="s">
        <v>165</v>
      </c>
      <c r="CI39" s="21" t="s">
        <v>165</v>
      </c>
      <c r="CK39" s="15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</row>
    <row r="40" spans="1:110" outlineLevel="2" x14ac:dyDescent="0.2">
      <c r="A40" s="14">
        <v>1</v>
      </c>
      <c r="C40" s="10" t="str">
        <f>"        Total Irregular (Income)/Expenses"</f>
        <v xml:space="preserve">        Total Irregular (Income)/Expenses</v>
      </c>
      <c r="D40" s="29">
        <f t="shared" si="0"/>
        <v>0</v>
      </c>
      <c r="E40" s="29">
        <f t="shared" si="1"/>
        <v>7988.6302173913045</v>
      </c>
      <c r="F40" s="29">
        <f t="shared" si="2"/>
        <v>-11818</v>
      </c>
      <c r="G40" s="29">
        <f t="shared" si="3"/>
        <v>100709.334</v>
      </c>
      <c r="H40" s="29">
        <f t="shared" si="4"/>
        <v>-663.73725000000002</v>
      </c>
      <c r="I40" s="29">
        <f t="shared" si="5"/>
        <v>1323.3077499999999</v>
      </c>
      <c r="J40" s="29">
        <f t="shared" si="6"/>
        <v>28417.202036873408</v>
      </c>
      <c r="K40" s="30">
        <f t="shared" si="7"/>
        <v>3.5572058367414425</v>
      </c>
      <c r="L40" s="31"/>
      <c r="M40" s="31" t="s">
        <v>165</v>
      </c>
      <c r="N40" s="31"/>
      <c r="O40" s="31"/>
      <c r="P40" s="31">
        <v>10396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 t="s">
        <v>165</v>
      </c>
      <c r="Z40" s="31" t="s">
        <v>165</v>
      </c>
      <c r="AA40" s="31" t="s">
        <v>165</v>
      </c>
      <c r="AB40" s="31" t="s">
        <v>165</v>
      </c>
      <c r="AC40" s="31" t="s">
        <v>165</v>
      </c>
      <c r="AD40" s="31" t="s">
        <v>165</v>
      </c>
      <c r="AE40" s="31" t="s">
        <v>165</v>
      </c>
      <c r="AF40" s="31" t="s">
        <v>165</v>
      </c>
      <c r="AG40" s="31" t="s">
        <v>165</v>
      </c>
      <c r="AH40" s="31" t="s">
        <v>165</v>
      </c>
      <c r="AI40" s="31" t="s">
        <v>165</v>
      </c>
      <c r="AJ40" s="31" t="s">
        <v>165</v>
      </c>
      <c r="AK40" s="31" t="s">
        <v>165</v>
      </c>
      <c r="AL40" s="31" t="s">
        <v>165</v>
      </c>
      <c r="AM40" s="31" t="s">
        <v>165</v>
      </c>
      <c r="AN40" s="31" t="s">
        <v>165</v>
      </c>
      <c r="AO40" s="31" t="s">
        <v>165</v>
      </c>
      <c r="AP40" s="31" t="s">
        <v>165</v>
      </c>
      <c r="AQ40" s="31" t="s">
        <v>165</v>
      </c>
      <c r="AR40" s="31" t="s">
        <v>165</v>
      </c>
      <c r="AS40" s="31" t="s">
        <v>165</v>
      </c>
      <c r="AT40" s="31">
        <v>463</v>
      </c>
      <c r="AU40" s="31">
        <v>-209</v>
      </c>
      <c r="AV40" s="31" t="s">
        <v>165</v>
      </c>
      <c r="AW40" s="31">
        <v>-692</v>
      </c>
      <c r="AX40" s="31">
        <v>-2132</v>
      </c>
      <c r="AY40" s="31">
        <v>-11272</v>
      </c>
      <c r="AZ40" s="31" t="s">
        <v>165</v>
      </c>
      <c r="BA40" s="31">
        <v>-11818</v>
      </c>
      <c r="BB40" s="31">
        <v>-11207</v>
      </c>
      <c r="BC40" s="31">
        <v>95243.718999999997</v>
      </c>
      <c r="BD40" s="31">
        <v>98404</v>
      </c>
      <c r="BE40" s="31">
        <v>98928.191000000006</v>
      </c>
      <c r="BF40" s="31">
        <v>100709.334</v>
      </c>
      <c r="BG40" s="31">
        <v>1326.1959999999999</v>
      </c>
      <c r="BH40" s="31">
        <v>723.01</v>
      </c>
      <c r="BI40" s="31">
        <v>295.72000000000003</v>
      </c>
      <c r="BJ40" s="31">
        <v>-8.5039999999999996</v>
      </c>
      <c r="BK40" s="31">
        <v>410.48899999999998</v>
      </c>
      <c r="BL40" s="31">
        <v>497.06</v>
      </c>
      <c r="BM40" s="31">
        <v>470.13900000000001</v>
      </c>
      <c r="BN40" s="31">
        <v>-194.589</v>
      </c>
      <c r="BO40" s="31">
        <v>-578.94899999999996</v>
      </c>
      <c r="BP40" s="31">
        <v>-3833.3870000000002</v>
      </c>
      <c r="BQ40" s="31">
        <v>-3456.4319999999998</v>
      </c>
      <c r="BR40" s="31">
        <v>-2981.808</v>
      </c>
      <c r="BS40" s="31">
        <v>-2695.335</v>
      </c>
      <c r="BT40" s="31">
        <v>120.373</v>
      </c>
      <c r="BU40" s="31">
        <v>1314.643</v>
      </c>
      <c r="BV40" s="31">
        <v>1911.8</v>
      </c>
      <c r="BW40" s="31">
        <v>1309.277</v>
      </c>
      <c r="BX40" s="31">
        <v>2303.89</v>
      </c>
      <c r="BY40" s="31">
        <v>-160.21700000000001</v>
      </c>
      <c r="BZ40" s="31">
        <v>-1550.271</v>
      </c>
      <c r="CA40" s="31">
        <v>-1426.5730000000001</v>
      </c>
      <c r="CB40" s="31">
        <v>-1789.114</v>
      </c>
      <c r="CC40" s="31">
        <v>1934.9880000000001</v>
      </c>
      <c r="CD40" s="31">
        <v>1901.001</v>
      </c>
      <c r="CE40" s="31">
        <v>2272.1390000000001</v>
      </c>
      <c r="CF40" s="31">
        <v>2547.1999999999998</v>
      </c>
      <c r="CG40" s="31" t="s">
        <v>165</v>
      </c>
      <c r="CH40" s="31" t="s">
        <v>165</v>
      </c>
      <c r="CI40" s="31" t="s">
        <v>165</v>
      </c>
      <c r="CK40" s="15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</row>
    <row r="41" spans="1:110" outlineLevel="1" x14ac:dyDescent="0.2">
      <c r="A41" s="14">
        <v>1</v>
      </c>
      <c r="C41" s="9" t="str">
        <f>"    Other Income/(Expense), Non-Operating"</f>
        <v xml:space="preserve">    Other Income/(Expense), Non-Operating</v>
      </c>
      <c r="D41" s="17">
        <f t="shared" si="0"/>
        <v>44</v>
      </c>
      <c r="E41" s="17">
        <f t="shared" si="1"/>
        <v>170.75735294117646</v>
      </c>
      <c r="F41" s="17">
        <f t="shared" si="2"/>
        <v>-2212</v>
      </c>
      <c r="G41" s="17">
        <f t="shared" si="3"/>
        <v>2868</v>
      </c>
      <c r="H41" s="17">
        <f t="shared" si="4"/>
        <v>-20.25</v>
      </c>
      <c r="I41" s="17">
        <f t="shared" si="5"/>
        <v>472.9375</v>
      </c>
      <c r="J41" s="17">
        <f t="shared" si="6"/>
        <v>1141.0905909202477</v>
      </c>
      <c r="K41" s="18">
        <f t="shared" si="7"/>
        <v>6.6825268210461051</v>
      </c>
      <c r="L41" s="21"/>
      <c r="M41" s="21">
        <v>2868</v>
      </c>
      <c r="N41" s="21">
        <v>2552.5</v>
      </c>
      <c r="O41" s="21">
        <v>683.5</v>
      </c>
      <c r="P41" s="21">
        <v>486.25</v>
      </c>
      <c r="Q41" s="21">
        <v>989.5</v>
      </c>
      <c r="R41" s="21">
        <v>433</v>
      </c>
      <c r="S41" s="21">
        <v>421</v>
      </c>
      <c r="T41" s="21">
        <v>1737</v>
      </c>
      <c r="U41" s="21">
        <v>1367</v>
      </c>
      <c r="V41" s="21">
        <v>1272</v>
      </c>
      <c r="W41" s="21">
        <v>1245</v>
      </c>
      <c r="X41" s="21">
        <v>-52</v>
      </c>
      <c r="Y41" s="21">
        <v>-42</v>
      </c>
      <c r="Z41" s="21">
        <v>-40</v>
      </c>
      <c r="AA41" s="21">
        <v>-15</v>
      </c>
      <c r="AB41" s="21">
        <v>-22</v>
      </c>
      <c r="AC41" s="21">
        <v>23</v>
      </c>
      <c r="AD41" s="21">
        <v>44</v>
      </c>
      <c r="AE41" s="21">
        <v>39</v>
      </c>
      <c r="AF41" s="21">
        <v>39</v>
      </c>
      <c r="AG41" s="21">
        <v>-2190</v>
      </c>
      <c r="AH41" s="21">
        <v>-2212</v>
      </c>
      <c r="AI41" s="21">
        <v>-2165</v>
      </c>
      <c r="AJ41" s="21">
        <v>-2154</v>
      </c>
      <c r="AK41" s="21">
        <v>35</v>
      </c>
      <c r="AL41" s="21">
        <v>41</v>
      </c>
      <c r="AM41" s="21">
        <v>44</v>
      </c>
      <c r="AN41" s="21">
        <v>39</v>
      </c>
      <c r="AO41" s="21">
        <v>55</v>
      </c>
      <c r="AP41" s="21">
        <v>63</v>
      </c>
      <c r="AQ41" s="21">
        <v>44</v>
      </c>
      <c r="AR41" s="21">
        <v>78</v>
      </c>
      <c r="AS41" s="21" t="s">
        <v>165</v>
      </c>
      <c r="AT41" s="21" t="s">
        <v>165</v>
      </c>
      <c r="AU41" s="21" t="s">
        <v>165</v>
      </c>
      <c r="AV41" s="21">
        <v>228</v>
      </c>
      <c r="AW41" s="21" t="s">
        <v>165</v>
      </c>
      <c r="AX41" s="21" t="s">
        <v>165</v>
      </c>
      <c r="AY41" s="21" t="s">
        <v>165</v>
      </c>
      <c r="AZ41" s="21">
        <v>-129</v>
      </c>
      <c r="BA41" s="21" t="s">
        <v>165</v>
      </c>
      <c r="BB41" s="21" t="s">
        <v>165</v>
      </c>
      <c r="BC41" s="21" t="s">
        <v>165</v>
      </c>
      <c r="BD41" s="21" t="s">
        <v>165</v>
      </c>
      <c r="BE41" s="21" t="s">
        <v>165</v>
      </c>
      <c r="BF41" s="21" t="s">
        <v>165</v>
      </c>
      <c r="BG41" s="21" t="s">
        <v>165</v>
      </c>
      <c r="BH41" s="21" t="s">
        <v>165</v>
      </c>
      <c r="BI41" s="21" t="s">
        <v>165</v>
      </c>
      <c r="BJ41" s="21" t="s">
        <v>165</v>
      </c>
      <c r="BK41" s="21" t="s">
        <v>165</v>
      </c>
      <c r="BL41" s="21" t="s">
        <v>165</v>
      </c>
      <c r="BM41" s="21" t="s">
        <v>165</v>
      </c>
      <c r="BN41" s="21" t="s">
        <v>165</v>
      </c>
      <c r="BO41" s="21" t="s">
        <v>165</v>
      </c>
      <c r="BP41" s="21" t="s">
        <v>165</v>
      </c>
      <c r="BQ41" s="21" t="s">
        <v>165</v>
      </c>
      <c r="BR41" s="21" t="s">
        <v>165</v>
      </c>
      <c r="BS41" s="21" t="s">
        <v>165</v>
      </c>
      <c r="BT41" s="21" t="s">
        <v>165</v>
      </c>
      <c r="BU41" s="21" t="s">
        <v>165</v>
      </c>
      <c r="BV41" s="21" t="s">
        <v>165</v>
      </c>
      <c r="BW41" s="21" t="s">
        <v>165</v>
      </c>
      <c r="BX41" s="21" t="s">
        <v>165</v>
      </c>
      <c r="BY41" s="21" t="s">
        <v>165</v>
      </c>
      <c r="BZ41" s="21" t="s">
        <v>165</v>
      </c>
      <c r="CA41" s="21" t="s">
        <v>165</v>
      </c>
      <c r="CB41" s="21" t="s">
        <v>165</v>
      </c>
      <c r="CC41" s="21" t="s">
        <v>165</v>
      </c>
      <c r="CD41" s="21" t="s">
        <v>165</v>
      </c>
      <c r="CE41" s="21" t="s">
        <v>165</v>
      </c>
      <c r="CF41" s="21" t="s">
        <v>165</v>
      </c>
      <c r="CG41" s="21" t="s">
        <v>165</v>
      </c>
      <c r="CH41" s="21" t="s">
        <v>165</v>
      </c>
      <c r="CI41" s="21" t="s">
        <v>165</v>
      </c>
      <c r="CK41" s="15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</row>
    <row r="42" spans="1:110" outlineLevel="1" x14ac:dyDescent="0.2">
      <c r="A42" s="14">
        <v>1</v>
      </c>
      <c r="C42" s="11" t="str">
        <f>"    Total Non-Operating Income/(Expenses), Total"</f>
        <v xml:space="preserve">    Total Non-Operating Income/(Expenses), Total</v>
      </c>
      <c r="D42" s="29">
        <f t="shared" si="0"/>
        <v>-5901</v>
      </c>
      <c r="E42" s="29">
        <f t="shared" si="1"/>
        <v>-10735.418289855077</v>
      </c>
      <c r="F42" s="29">
        <f t="shared" si="2"/>
        <v>-104001</v>
      </c>
      <c r="G42" s="29">
        <f t="shared" si="3"/>
        <v>7268</v>
      </c>
      <c r="H42" s="29">
        <f t="shared" si="4"/>
        <v>-10357</v>
      </c>
      <c r="I42" s="29">
        <f t="shared" si="5"/>
        <v>-470.13900000000001</v>
      </c>
      <c r="J42" s="29">
        <f t="shared" si="6"/>
        <v>23423.141482744886</v>
      </c>
      <c r="K42" s="30">
        <f t="shared" si="7"/>
        <v>-2.1818564354292231</v>
      </c>
      <c r="L42" s="29"/>
      <c r="M42" s="29">
        <v>733</v>
      </c>
      <c r="N42" s="29">
        <v>-1347.25</v>
      </c>
      <c r="O42" s="29">
        <v>-7269.75</v>
      </c>
      <c r="P42" s="29">
        <v>-12374.5</v>
      </c>
      <c r="Q42" s="29">
        <v>-9720.5</v>
      </c>
      <c r="R42" s="29">
        <v>-9655</v>
      </c>
      <c r="S42" s="29">
        <v>-10357</v>
      </c>
      <c r="T42" s="29">
        <v>-9431</v>
      </c>
      <c r="U42" s="29">
        <v>-9439</v>
      </c>
      <c r="V42" s="29">
        <v>-8474</v>
      </c>
      <c r="W42" s="29">
        <v>-7713</v>
      </c>
      <c r="X42" s="29">
        <v>-8633</v>
      </c>
      <c r="Y42" s="29">
        <v>-8123</v>
      </c>
      <c r="Z42" s="29">
        <v>-8260</v>
      </c>
      <c r="AA42" s="29">
        <v>-8355</v>
      </c>
      <c r="AB42" s="29">
        <v>-13550</v>
      </c>
      <c r="AC42" s="29">
        <v>-14681</v>
      </c>
      <c r="AD42" s="29">
        <v>-15533</v>
      </c>
      <c r="AE42" s="29">
        <v>-16136</v>
      </c>
      <c r="AF42" s="29">
        <v>-10896</v>
      </c>
      <c r="AG42" s="29">
        <v>-11761</v>
      </c>
      <c r="AH42" s="29">
        <v>-10569</v>
      </c>
      <c r="AI42" s="29">
        <v>-9666</v>
      </c>
      <c r="AJ42" s="29">
        <v>-14266</v>
      </c>
      <c r="AK42" s="29">
        <v>-11458</v>
      </c>
      <c r="AL42" s="29">
        <v>-10906</v>
      </c>
      <c r="AM42" s="29">
        <v>-9874</v>
      </c>
      <c r="AN42" s="29">
        <v>-4928</v>
      </c>
      <c r="AO42" s="29">
        <v>-4897</v>
      </c>
      <c r="AP42" s="29">
        <v>-4931</v>
      </c>
      <c r="AQ42" s="29">
        <v>-6019</v>
      </c>
      <c r="AR42" s="29">
        <v>-5901</v>
      </c>
      <c r="AS42" s="29">
        <v>-6925</v>
      </c>
      <c r="AT42" s="29">
        <v>-7326</v>
      </c>
      <c r="AU42" s="29">
        <v>-5415</v>
      </c>
      <c r="AV42" s="29">
        <v>-4257</v>
      </c>
      <c r="AW42" s="29">
        <v>-14159</v>
      </c>
      <c r="AX42" s="29">
        <v>-12699</v>
      </c>
      <c r="AY42" s="29">
        <v>-4047</v>
      </c>
      <c r="AZ42" s="29">
        <v>-4001</v>
      </c>
      <c r="BA42" s="29">
        <v>7268</v>
      </c>
      <c r="BB42" s="29">
        <v>6607</v>
      </c>
      <c r="BC42" s="29">
        <v>-98734.718999999997</v>
      </c>
      <c r="BD42" s="29">
        <v>-104001</v>
      </c>
      <c r="BE42" s="29">
        <v>-103399.19100000001</v>
      </c>
      <c r="BF42" s="29">
        <v>-100709.334</v>
      </c>
      <c r="BG42" s="29">
        <v>-1326.1959999999999</v>
      </c>
      <c r="BH42" s="29">
        <v>-723.01</v>
      </c>
      <c r="BI42" s="29">
        <v>-295.72000000000003</v>
      </c>
      <c r="BJ42" s="29">
        <v>8.5039999999999996</v>
      </c>
      <c r="BK42" s="29">
        <v>-410.48899999999998</v>
      </c>
      <c r="BL42" s="29">
        <v>-497.06</v>
      </c>
      <c r="BM42" s="29">
        <v>-470.13900000000001</v>
      </c>
      <c r="BN42" s="29">
        <v>194.589</v>
      </c>
      <c r="BO42" s="29">
        <v>578.94899999999996</v>
      </c>
      <c r="BP42" s="29">
        <v>3833.3870000000002</v>
      </c>
      <c r="BQ42" s="29">
        <v>3456.4319999999998</v>
      </c>
      <c r="BR42" s="29">
        <v>2981.808</v>
      </c>
      <c r="BS42" s="29">
        <v>2695.335</v>
      </c>
      <c r="BT42" s="29">
        <v>-120.373</v>
      </c>
      <c r="BU42" s="29">
        <v>-1314.643</v>
      </c>
      <c r="BV42" s="29">
        <v>-1911.8</v>
      </c>
      <c r="BW42" s="29">
        <v>-1309.277</v>
      </c>
      <c r="BX42" s="29">
        <v>-2303.89</v>
      </c>
      <c r="BY42" s="29">
        <v>160.21700000000001</v>
      </c>
      <c r="BZ42" s="29">
        <v>1550.271</v>
      </c>
      <c r="CA42" s="29">
        <v>1426.5730000000001</v>
      </c>
      <c r="CB42" s="29">
        <v>1789.114</v>
      </c>
      <c r="CC42" s="29" t="s">
        <v>165</v>
      </c>
      <c r="CD42" s="29" t="s">
        <v>165</v>
      </c>
      <c r="CE42" s="29" t="s">
        <v>165</v>
      </c>
      <c r="CF42" s="29">
        <v>-2547.1999999999998</v>
      </c>
      <c r="CG42" s="29" t="s">
        <v>165</v>
      </c>
      <c r="CH42" s="29" t="s">
        <v>165</v>
      </c>
      <c r="CI42" s="29" t="s">
        <v>165</v>
      </c>
      <c r="CK42" s="15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</row>
    <row r="43" spans="1:110" x14ac:dyDescent="0.2">
      <c r="A43" s="14">
        <v>1</v>
      </c>
      <c r="C43" s="11" t="str">
        <f>"Pretax Income"</f>
        <v>Pretax Income</v>
      </c>
      <c r="D43" s="27">
        <f t="shared" ref="D43:D62" si="8">IF(COUNT(M43:CI43)&gt;0,MEDIAN(M43:CI43),"")</f>
        <v>22627.908499999998</v>
      </c>
      <c r="E43" s="27">
        <f t="shared" ref="E43:E62" si="9">IF(COUNT(M43:CI43)&gt;0,AVERAGE(M43:CI43),"")</f>
        <v>52429.154458333338</v>
      </c>
      <c r="F43" s="27">
        <f t="shared" ref="F43:F62" si="10">IF(COUNT(M43:CI43)&gt;0,MIN(M43:CI43),"")</f>
        <v>-91561.191999999995</v>
      </c>
      <c r="G43" s="27">
        <f t="shared" ref="G43:G62" si="11">IF(COUNT(M43:CI43)&gt;0,MAX(M43:CI43),"")</f>
        <v>317822</v>
      </c>
      <c r="H43" s="27">
        <f t="shared" ref="H43:H62" si="12">IF(COUNT(M43:CI43)&gt;0,QUARTILE(M43:CI43,1),"")</f>
        <v>8136.5472499999996</v>
      </c>
      <c r="I43" s="27">
        <f t="shared" ref="I43:I62" si="13">IF(COUNT(M43:CI43)&gt;0,QUARTILE(M43:CI43,3),"")</f>
        <v>89829.75</v>
      </c>
      <c r="J43" s="27">
        <f t="shared" ref="J43:J62" si="14">IF(COUNT(M43:CI43)&gt;1,STDEV(M43:CI43),"")</f>
        <v>75275.138153402033</v>
      </c>
      <c r="K43" s="28">
        <f t="shared" ref="K43:K62" si="15">IF(COUNT(M43:CI43)&gt;1,STDEV(M43:CI43)/AVERAGE(M43:CI43),"")</f>
        <v>1.4357496116635817</v>
      </c>
      <c r="L43" s="27"/>
      <c r="M43" s="27">
        <v>252386</v>
      </c>
      <c r="N43" s="27">
        <v>317822</v>
      </c>
      <c r="O43" s="27">
        <v>78978.25</v>
      </c>
      <c r="P43" s="27">
        <v>26005</v>
      </c>
      <c r="Q43" s="27">
        <v>33657.75</v>
      </c>
      <c r="R43" s="27">
        <v>37404</v>
      </c>
      <c r="S43" s="27">
        <v>33366</v>
      </c>
      <c r="T43" s="27">
        <v>17617</v>
      </c>
      <c r="U43" s="27">
        <v>46244</v>
      </c>
      <c r="V43" s="27">
        <v>91575</v>
      </c>
      <c r="W43" s="27">
        <v>136498</v>
      </c>
      <c r="X43" s="27">
        <v>191306</v>
      </c>
      <c r="Y43" s="27">
        <v>203661</v>
      </c>
      <c r="Z43" s="27">
        <v>203460</v>
      </c>
      <c r="AA43" s="27">
        <v>172995</v>
      </c>
      <c r="AB43" s="27">
        <v>145093</v>
      </c>
      <c r="AC43" s="27">
        <v>124636</v>
      </c>
      <c r="AD43" s="27">
        <v>89248</v>
      </c>
      <c r="AE43" s="27">
        <v>77636</v>
      </c>
      <c r="AF43" s="27">
        <v>78732</v>
      </c>
      <c r="AG43" s="27">
        <v>83377</v>
      </c>
      <c r="AH43" s="27">
        <v>100080</v>
      </c>
      <c r="AI43" s="27">
        <v>118983</v>
      </c>
      <c r="AJ43" s="27">
        <v>136722</v>
      </c>
      <c r="AK43" s="27">
        <v>143316</v>
      </c>
      <c r="AL43" s="27">
        <v>140796</v>
      </c>
      <c r="AM43" s="27">
        <v>139678</v>
      </c>
      <c r="AN43" s="27">
        <v>127906</v>
      </c>
      <c r="AO43" s="27">
        <v>106738</v>
      </c>
      <c r="AP43" s="27">
        <v>88942</v>
      </c>
      <c r="AQ43" s="27">
        <v>64662</v>
      </c>
      <c r="AR43" s="27">
        <v>39015</v>
      </c>
      <c r="AS43" s="27">
        <v>20316</v>
      </c>
      <c r="AT43" s="27">
        <v>7691</v>
      </c>
      <c r="AU43" s="27">
        <v>10983</v>
      </c>
      <c r="AV43" s="27">
        <v>13534</v>
      </c>
      <c r="AW43" s="27">
        <v>2263</v>
      </c>
      <c r="AX43" s="27">
        <v>9899</v>
      </c>
      <c r="AY43" s="27">
        <v>26300</v>
      </c>
      <c r="AZ43" s="27">
        <v>36071</v>
      </c>
      <c r="BA43" s="27">
        <v>52794</v>
      </c>
      <c r="BB43" s="27">
        <v>52421</v>
      </c>
      <c r="BC43" s="27">
        <v>-64375.387999999999</v>
      </c>
      <c r="BD43" s="27">
        <v>-79125</v>
      </c>
      <c r="BE43" s="27">
        <v>-85107.353000000003</v>
      </c>
      <c r="BF43" s="27">
        <v>-91561.191999999995</v>
      </c>
      <c r="BG43" s="27">
        <v>10852.571</v>
      </c>
      <c r="BH43" s="27">
        <v>14795.63</v>
      </c>
      <c r="BI43" s="27">
        <v>17531.621999999999</v>
      </c>
      <c r="BJ43" s="27">
        <v>22562.481</v>
      </c>
      <c r="BK43" s="27">
        <v>22693.335999999999</v>
      </c>
      <c r="BL43" s="27">
        <v>20579.763999999999</v>
      </c>
      <c r="BM43" s="27">
        <v>19107.494999999999</v>
      </c>
      <c r="BN43" s="27">
        <v>18590.302</v>
      </c>
      <c r="BO43" s="27">
        <v>14880.314</v>
      </c>
      <c r="BP43" s="27">
        <v>13764.196</v>
      </c>
      <c r="BQ43" s="27">
        <v>10251.758</v>
      </c>
      <c r="BR43" s="27">
        <v>8285.0630000000001</v>
      </c>
      <c r="BS43" s="27">
        <v>10654.022000000001</v>
      </c>
      <c r="BT43" s="27">
        <v>8675.4459999999999</v>
      </c>
      <c r="BU43" s="27">
        <v>6869.2470000000003</v>
      </c>
      <c r="BV43" s="27">
        <v>4342.7489999999998</v>
      </c>
      <c r="BW43" s="27">
        <v>1921.9960000000001</v>
      </c>
      <c r="BX43" s="27">
        <v>486.22300000000001</v>
      </c>
      <c r="BY43" s="27">
        <v>42.829000000000001</v>
      </c>
      <c r="BZ43" s="27">
        <v>3512.12</v>
      </c>
      <c r="CA43" s="27">
        <v>2735.0120000000002</v>
      </c>
      <c r="CB43" s="27">
        <v>1604.857</v>
      </c>
      <c r="CC43" s="27">
        <v>-2691.1219999999998</v>
      </c>
      <c r="CD43" s="27">
        <v>-2337.835</v>
      </c>
      <c r="CE43" s="27">
        <v>-4741.4049999999997</v>
      </c>
      <c r="CF43" s="27">
        <v>-10707.617</v>
      </c>
      <c r="CG43" s="27" t="s">
        <v>165</v>
      </c>
      <c r="CH43" s="27" t="s">
        <v>165</v>
      </c>
      <c r="CI43" s="27" t="s">
        <v>165</v>
      </c>
      <c r="CK43" s="15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</row>
    <row r="44" spans="1:110" x14ac:dyDescent="0.2">
      <c r="A44" s="14">
        <v>1</v>
      </c>
      <c r="C44" s="11" t="str">
        <f>"Provision for Income Tax"</f>
        <v>Provision for Income Tax</v>
      </c>
      <c r="D44" s="27">
        <f t="shared" si="8"/>
        <v>7218.6149999999998</v>
      </c>
      <c r="E44" s="27">
        <f t="shared" si="9"/>
        <v>16735.550625000007</v>
      </c>
      <c r="F44" s="27">
        <f t="shared" si="10"/>
        <v>-19072.23</v>
      </c>
      <c r="G44" s="27">
        <f t="shared" si="11"/>
        <v>74003.25</v>
      </c>
      <c r="H44" s="27">
        <f t="shared" si="12"/>
        <v>2782.4375</v>
      </c>
      <c r="I44" s="27">
        <f t="shared" si="13"/>
        <v>31101.5</v>
      </c>
      <c r="J44" s="27">
        <f t="shared" si="14"/>
        <v>23365.747310368748</v>
      </c>
      <c r="K44" s="28">
        <f t="shared" si="15"/>
        <v>1.3961743974807963</v>
      </c>
      <c r="L44" s="27"/>
      <c r="M44" s="27">
        <v>57892</v>
      </c>
      <c r="N44" s="27">
        <v>74003.25</v>
      </c>
      <c r="O44" s="27">
        <v>19715</v>
      </c>
      <c r="P44" s="27">
        <v>8636.75</v>
      </c>
      <c r="Q44" s="27">
        <v>2759.75</v>
      </c>
      <c r="R44" s="27">
        <v>4035</v>
      </c>
      <c r="S44" s="27">
        <v>3428</v>
      </c>
      <c r="T44" s="27">
        <v>-2511</v>
      </c>
      <c r="U44" s="27">
        <v>6087</v>
      </c>
      <c r="V44" s="27">
        <v>30362</v>
      </c>
      <c r="W44" s="27">
        <v>46034</v>
      </c>
      <c r="X44" s="27">
        <v>63452</v>
      </c>
      <c r="Y44" s="27">
        <v>67853</v>
      </c>
      <c r="Z44" s="27">
        <v>68673</v>
      </c>
      <c r="AA44" s="27">
        <v>58226</v>
      </c>
      <c r="AB44" s="27">
        <v>51135</v>
      </c>
      <c r="AC44" s="27">
        <v>44223</v>
      </c>
      <c r="AD44" s="27">
        <v>32147</v>
      </c>
      <c r="AE44" s="27">
        <v>27951</v>
      </c>
      <c r="AF44" s="27">
        <v>28905</v>
      </c>
      <c r="AG44" s="27">
        <v>30753</v>
      </c>
      <c r="AH44" s="27">
        <v>35518</v>
      </c>
      <c r="AI44" s="27">
        <v>42326</v>
      </c>
      <c r="AJ44" s="27">
        <v>48095</v>
      </c>
      <c r="AK44" s="27">
        <v>50958</v>
      </c>
      <c r="AL44" s="27">
        <v>50989</v>
      </c>
      <c r="AM44" s="27">
        <v>50615</v>
      </c>
      <c r="AN44" s="27">
        <v>46500</v>
      </c>
      <c r="AO44" s="27">
        <v>36147</v>
      </c>
      <c r="AP44" s="27">
        <v>30462</v>
      </c>
      <c r="AQ44" s="27">
        <v>21636</v>
      </c>
      <c r="AR44" s="27">
        <v>12582</v>
      </c>
      <c r="AS44" s="27">
        <v>7305</v>
      </c>
      <c r="AT44" s="27">
        <v>2790</v>
      </c>
      <c r="AU44" s="27">
        <v>4456</v>
      </c>
      <c r="AV44" s="27">
        <v>5454</v>
      </c>
      <c r="AW44" s="27">
        <v>6437</v>
      </c>
      <c r="AX44" s="27">
        <v>8243</v>
      </c>
      <c r="AY44" s="27">
        <v>10454</v>
      </c>
      <c r="AZ44" s="27">
        <v>14088</v>
      </c>
      <c r="BA44" s="27">
        <v>15535</v>
      </c>
      <c r="BB44" s="27">
        <v>15922</v>
      </c>
      <c r="BC44" s="27">
        <v>-10262.928</v>
      </c>
      <c r="BD44" s="27">
        <v>-14918</v>
      </c>
      <c r="BE44" s="27">
        <v>-16781.245999999999</v>
      </c>
      <c r="BF44" s="27">
        <v>-19072.23</v>
      </c>
      <c r="BG44" s="27">
        <v>4168.2730000000001</v>
      </c>
      <c r="BH44" s="27">
        <v>5674.5159999999996</v>
      </c>
      <c r="BI44" s="27">
        <v>6520.0870000000004</v>
      </c>
      <c r="BJ44" s="27">
        <v>8192.5360000000001</v>
      </c>
      <c r="BK44" s="27">
        <v>8410.2270000000008</v>
      </c>
      <c r="BL44" s="27">
        <v>7617.83</v>
      </c>
      <c r="BM44" s="27">
        <v>7132.23</v>
      </c>
      <c r="BN44" s="27">
        <v>7044.0829999999996</v>
      </c>
      <c r="BO44" s="27">
        <v>5496.6819999999998</v>
      </c>
      <c r="BP44" s="27">
        <v>5062.6170000000002</v>
      </c>
      <c r="BQ44" s="27">
        <v>3921.165</v>
      </c>
      <c r="BR44" s="27">
        <v>3229.8760000000002</v>
      </c>
      <c r="BS44" s="27">
        <v>4184.8019999999997</v>
      </c>
      <c r="BT44" s="27">
        <v>3426.49</v>
      </c>
      <c r="BU44" s="27">
        <v>2165.9690000000001</v>
      </c>
      <c r="BV44" s="27">
        <v>1193.2909999999999</v>
      </c>
      <c r="BW44" s="27">
        <v>208.28299999999999</v>
      </c>
      <c r="BX44" s="27">
        <v>-346.06200000000001</v>
      </c>
      <c r="BY44" s="27">
        <v>-15988.463</v>
      </c>
      <c r="BZ44" s="27">
        <v>-14944.325999999999</v>
      </c>
      <c r="CA44" s="27">
        <v>-15302.377</v>
      </c>
      <c r="CB44" s="27">
        <v>-15620.636</v>
      </c>
      <c r="CC44" s="27">
        <v>2073.17</v>
      </c>
      <c r="CD44" s="27">
        <v>1928.6980000000001</v>
      </c>
      <c r="CE44" s="27">
        <v>202.74</v>
      </c>
      <c r="CF44" s="27">
        <v>70.597999999999999</v>
      </c>
      <c r="CG44" s="27" t="s">
        <v>165</v>
      </c>
      <c r="CH44" s="27" t="s">
        <v>165</v>
      </c>
      <c r="CI44" s="27" t="s">
        <v>165</v>
      </c>
      <c r="CK44" s="15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</row>
    <row r="45" spans="1:110" x14ac:dyDescent="0.2">
      <c r="A45" s="14">
        <v>1</v>
      </c>
      <c r="C45" s="11" t="str">
        <f>"Net Income from Continuing Operations"</f>
        <v>Net Income from Continuing Operations</v>
      </c>
      <c r="D45" s="27">
        <f t="shared" si="8"/>
        <v>17225.492999999999</v>
      </c>
      <c r="E45" s="27">
        <f t="shared" si="9"/>
        <v>34182.751933333348</v>
      </c>
      <c r="F45" s="27">
        <f t="shared" si="10"/>
        <v>-72488.962</v>
      </c>
      <c r="G45" s="27">
        <f t="shared" si="11"/>
        <v>243818.75</v>
      </c>
      <c r="H45" s="27">
        <f t="shared" si="12"/>
        <v>5152.0715</v>
      </c>
      <c r="I45" s="27">
        <f t="shared" si="13"/>
        <v>58871.625</v>
      </c>
      <c r="J45" s="27">
        <f t="shared" si="14"/>
        <v>52810.699044354573</v>
      </c>
      <c r="K45" s="28">
        <f t="shared" si="15"/>
        <v>1.5449516512699542</v>
      </c>
      <c r="L45" s="27"/>
      <c r="M45" s="27">
        <v>194494</v>
      </c>
      <c r="N45" s="27">
        <v>243818.75</v>
      </c>
      <c r="O45" s="27">
        <v>59263.25</v>
      </c>
      <c r="P45" s="27">
        <v>17368.25</v>
      </c>
      <c r="Q45" s="27">
        <v>30898</v>
      </c>
      <c r="R45" s="27">
        <v>33369</v>
      </c>
      <c r="S45" s="27">
        <v>29938</v>
      </c>
      <c r="T45" s="27">
        <v>20128</v>
      </c>
      <c r="U45" s="27">
        <v>40157</v>
      </c>
      <c r="V45" s="27">
        <v>61213</v>
      </c>
      <c r="W45" s="27">
        <v>90464</v>
      </c>
      <c r="X45" s="27">
        <v>127854</v>
      </c>
      <c r="Y45" s="27">
        <v>135808</v>
      </c>
      <c r="Z45" s="27">
        <v>134787</v>
      </c>
      <c r="AA45" s="27">
        <v>114769</v>
      </c>
      <c r="AB45" s="27">
        <v>93958</v>
      </c>
      <c r="AC45" s="27">
        <v>80413</v>
      </c>
      <c r="AD45" s="27">
        <v>57101</v>
      </c>
      <c r="AE45" s="27">
        <v>49685</v>
      </c>
      <c r="AF45" s="27">
        <v>49827</v>
      </c>
      <c r="AG45" s="27">
        <v>52624</v>
      </c>
      <c r="AH45" s="27">
        <v>64562</v>
      </c>
      <c r="AI45" s="27">
        <v>76657</v>
      </c>
      <c r="AJ45" s="27">
        <v>88627</v>
      </c>
      <c r="AK45" s="27">
        <v>92358</v>
      </c>
      <c r="AL45" s="27">
        <v>89807</v>
      </c>
      <c r="AM45" s="27">
        <v>89063</v>
      </c>
      <c r="AN45" s="27">
        <v>81406</v>
      </c>
      <c r="AO45" s="27">
        <v>70591</v>
      </c>
      <c r="AP45" s="27">
        <v>58480</v>
      </c>
      <c r="AQ45" s="27">
        <v>43026</v>
      </c>
      <c r="AR45" s="27">
        <v>26433</v>
      </c>
      <c r="AS45" s="27">
        <v>13011</v>
      </c>
      <c r="AT45" s="27">
        <v>4901</v>
      </c>
      <c r="AU45" s="27">
        <v>6527</v>
      </c>
      <c r="AV45" s="27">
        <v>8080</v>
      </c>
      <c r="AW45" s="27">
        <v>-4174</v>
      </c>
      <c r="AX45" s="27">
        <v>1656</v>
      </c>
      <c r="AY45" s="27">
        <v>15846</v>
      </c>
      <c r="AZ45" s="27">
        <v>21983</v>
      </c>
      <c r="BA45" s="27">
        <v>37259</v>
      </c>
      <c r="BB45" s="27">
        <v>36499</v>
      </c>
      <c r="BC45" s="27">
        <v>-54112.46</v>
      </c>
      <c r="BD45" s="27">
        <v>-64207</v>
      </c>
      <c r="BE45" s="27">
        <v>-68326.107000000004</v>
      </c>
      <c r="BF45" s="27">
        <v>-72488.962</v>
      </c>
      <c r="BG45" s="27">
        <v>6684.2979999999998</v>
      </c>
      <c r="BH45" s="27">
        <v>9121.1139999999996</v>
      </c>
      <c r="BI45" s="27">
        <v>11011.535</v>
      </c>
      <c r="BJ45" s="27">
        <v>14369.945</v>
      </c>
      <c r="BK45" s="27">
        <v>14283.109</v>
      </c>
      <c r="BL45" s="27">
        <v>12961.933999999999</v>
      </c>
      <c r="BM45" s="27">
        <v>11975.264999999999</v>
      </c>
      <c r="BN45" s="27">
        <v>11546.218999999999</v>
      </c>
      <c r="BO45" s="27">
        <v>9383.6319999999996</v>
      </c>
      <c r="BP45" s="27">
        <v>8701.5789999999997</v>
      </c>
      <c r="BQ45" s="27">
        <v>6330.5929999999998</v>
      </c>
      <c r="BR45" s="27">
        <v>5055.1869999999999</v>
      </c>
      <c r="BS45" s="27">
        <v>6469.22</v>
      </c>
      <c r="BT45" s="27">
        <v>5248.9560000000001</v>
      </c>
      <c r="BU45" s="27">
        <v>4703.2780000000002</v>
      </c>
      <c r="BV45" s="27">
        <v>3149.4580000000001</v>
      </c>
      <c r="BW45" s="27">
        <v>1713.713</v>
      </c>
      <c r="BX45" s="27">
        <v>832.28499999999997</v>
      </c>
      <c r="BY45" s="27">
        <v>16031.291999999999</v>
      </c>
      <c r="BZ45" s="27">
        <v>18456.446</v>
      </c>
      <c r="CA45" s="27">
        <v>18037.388999999999</v>
      </c>
      <c r="CB45" s="27">
        <v>17225.492999999999</v>
      </c>
      <c r="CC45" s="27">
        <v>-4764.2920000000004</v>
      </c>
      <c r="CD45" s="27">
        <v>-4266.5330000000004</v>
      </c>
      <c r="CE45" s="27">
        <v>-4944.1450000000004</v>
      </c>
      <c r="CF45" s="27">
        <v>-10778.215</v>
      </c>
      <c r="CG45" s="27">
        <v>-2447.971</v>
      </c>
      <c r="CH45" s="27">
        <v>-2542.0700000000002</v>
      </c>
      <c r="CI45" s="27">
        <v>-1243.04</v>
      </c>
      <c r="CK45" s="15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</row>
    <row r="46" spans="1:110" x14ac:dyDescent="0.2">
      <c r="A46" s="14">
        <v>1</v>
      </c>
      <c r="C46" s="11" t="str">
        <f>"Discontinued Operations"</f>
        <v>Discontinued Operations</v>
      </c>
      <c r="D46" s="27">
        <f t="shared" si="8"/>
        <v>-2818</v>
      </c>
      <c r="E46" s="27">
        <f t="shared" si="9"/>
        <v>-16488.690476190477</v>
      </c>
      <c r="F46" s="27">
        <f t="shared" si="10"/>
        <v>-94717</v>
      </c>
      <c r="G46" s="27">
        <f t="shared" si="11"/>
        <v>10527</v>
      </c>
      <c r="H46" s="27">
        <f t="shared" si="12"/>
        <v>-11906.4375</v>
      </c>
      <c r="I46" s="27">
        <f t="shared" si="13"/>
        <v>-160.5</v>
      </c>
      <c r="J46" s="27">
        <f t="shared" si="14"/>
        <v>30140.894813361669</v>
      </c>
      <c r="K46" s="28">
        <f t="shared" si="15"/>
        <v>-1.8279738380003465</v>
      </c>
      <c r="L46" s="27"/>
      <c r="M46" s="27">
        <v>0</v>
      </c>
      <c r="N46" s="27">
        <v>-16641.75</v>
      </c>
      <c r="O46" s="27">
        <v>-63517.25</v>
      </c>
      <c r="P46" s="27">
        <v>-7624.333333333333</v>
      </c>
      <c r="Q46" s="27"/>
      <c r="R46" s="27" t="s">
        <v>165</v>
      </c>
      <c r="S46" s="27" t="s">
        <v>165</v>
      </c>
      <c r="T46" s="27" t="s">
        <v>165</v>
      </c>
      <c r="U46" s="27" t="s">
        <v>165</v>
      </c>
      <c r="V46" s="27" t="s">
        <v>165</v>
      </c>
      <c r="W46" s="27" t="s">
        <v>165</v>
      </c>
      <c r="X46" s="27" t="s">
        <v>165</v>
      </c>
      <c r="Y46" s="27" t="s">
        <v>165</v>
      </c>
      <c r="Z46" s="27" t="s">
        <v>165</v>
      </c>
      <c r="AA46" s="27" t="s">
        <v>165</v>
      </c>
      <c r="AB46" s="27" t="s">
        <v>165</v>
      </c>
      <c r="AC46" s="27">
        <v>-214</v>
      </c>
      <c r="AD46" s="27">
        <v>-214</v>
      </c>
      <c r="AE46" s="27">
        <v>-214</v>
      </c>
      <c r="AF46" s="27">
        <v>-214</v>
      </c>
      <c r="AG46" s="27">
        <v>157</v>
      </c>
      <c r="AH46" s="27">
        <v>885</v>
      </c>
      <c r="AI46" s="27">
        <v>727</v>
      </c>
      <c r="AJ46" s="27">
        <v>678</v>
      </c>
      <c r="AK46" s="27">
        <v>-2943</v>
      </c>
      <c r="AL46" s="27">
        <v>-6602</v>
      </c>
      <c r="AM46" s="27">
        <v>-1659</v>
      </c>
      <c r="AN46" s="27">
        <v>-2693</v>
      </c>
      <c r="AO46" s="27">
        <v>-4577</v>
      </c>
      <c r="AP46" s="27">
        <v>-2604</v>
      </c>
      <c r="AQ46" s="27">
        <v>-9925</v>
      </c>
      <c r="AR46" s="27">
        <v>-10328</v>
      </c>
      <c r="AS46" s="27">
        <v>-8233</v>
      </c>
      <c r="AT46" s="27">
        <v>-57399</v>
      </c>
      <c r="AU46" s="27">
        <v>-94717</v>
      </c>
      <c r="AV46" s="27">
        <v>-90849</v>
      </c>
      <c r="AW46" s="27">
        <v>-77069</v>
      </c>
      <c r="AX46" s="27">
        <v>-26947</v>
      </c>
      <c r="AY46" s="27">
        <v>10527</v>
      </c>
      <c r="AZ46" s="27">
        <v>10527</v>
      </c>
      <c r="BA46" s="27" t="s">
        <v>165</v>
      </c>
      <c r="BB46" s="27" t="s">
        <v>165</v>
      </c>
      <c r="BC46" s="27" t="s">
        <v>165</v>
      </c>
      <c r="BD46" s="27" t="s">
        <v>165</v>
      </c>
      <c r="BE46" s="27" t="s">
        <v>165</v>
      </c>
      <c r="BF46" s="27" t="s">
        <v>165</v>
      </c>
      <c r="BG46" s="27" t="s">
        <v>165</v>
      </c>
      <c r="BH46" s="27" t="s">
        <v>165</v>
      </c>
      <c r="BI46" s="27" t="s">
        <v>165</v>
      </c>
      <c r="BJ46" s="27" t="s">
        <v>165</v>
      </c>
      <c r="BK46" s="27" t="s">
        <v>165</v>
      </c>
      <c r="BL46" s="27" t="s">
        <v>165</v>
      </c>
      <c r="BM46" s="27" t="s">
        <v>165</v>
      </c>
      <c r="BN46" s="27" t="s">
        <v>165</v>
      </c>
      <c r="BO46" s="27" t="s">
        <v>165</v>
      </c>
      <c r="BP46" s="27" t="s">
        <v>165</v>
      </c>
      <c r="BQ46" s="27" t="s">
        <v>165</v>
      </c>
      <c r="BR46" s="27" t="s">
        <v>165</v>
      </c>
      <c r="BS46" s="27" t="s">
        <v>165</v>
      </c>
      <c r="BT46" s="27" t="s">
        <v>165</v>
      </c>
      <c r="BU46" s="27" t="s">
        <v>165</v>
      </c>
      <c r="BV46" s="27" t="s">
        <v>165</v>
      </c>
      <c r="BW46" s="27" t="s">
        <v>165</v>
      </c>
      <c r="BX46" s="27" t="s">
        <v>165</v>
      </c>
      <c r="BY46" s="27" t="s">
        <v>165</v>
      </c>
      <c r="BZ46" s="27" t="s">
        <v>165</v>
      </c>
      <c r="CA46" s="27" t="s">
        <v>165</v>
      </c>
      <c r="CB46" s="27" t="s">
        <v>165</v>
      </c>
      <c r="CC46" s="27" t="s">
        <v>165</v>
      </c>
      <c r="CD46" s="27" t="s">
        <v>165</v>
      </c>
      <c r="CE46" s="27" t="s">
        <v>165</v>
      </c>
      <c r="CF46" s="27" t="s">
        <v>165</v>
      </c>
      <c r="CG46" s="27" t="s">
        <v>165</v>
      </c>
      <c r="CH46" s="27" t="s">
        <v>165</v>
      </c>
      <c r="CI46" s="27" t="s">
        <v>165</v>
      </c>
      <c r="CK46" s="15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</row>
    <row r="47" spans="1:110" x14ac:dyDescent="0.2">
      <c r="A47" s="14">
        <v>1</v>
      </c>
      <c r="C47" s="11" t="str">
        <f>"Other Net of Taxes Adjustments"</f>
        <v>Other Net of Taxes Adjustments</v>
      </c>
      <c r="D47" s="27">
        <f t="shared" si="8"/>
        <v>7.8259999999999996</v>
      </c>
      <c r="E47" s="27">
        <f t="shared" si="9"/>
        <v>8.8733333333333331</v>
      </c>
      <c r="F47" s="27">
        <f t="shared" si="10"/>
        <v>7.8259999999999996</v>
      </c>
      <c r="G47" s="27">
        <f t="shared" si="11"/>
        <v>10.968</v>
      </c>
      <c r="H47" s="27">
        <f t="shared" si="12"/>
        <v>7.8259999999999996</v>
      </c>
      <c r="I47" s="27">
        <f t="shared" si="13"/>
        <v>9.3970000000000002</v>
      </c>
      <c r="J47" s="27">
        <f t="shared" si="14"/>
        <v>1.8140345457938092</v>
      </c>
      <c r="K47" s="28">
        <f t="shared" si="15"/>
        <v>0.20443665054024898</v>
      </c>
      <c r="L47" s="27"/>
      <c r="M47" s="27" t="s">
        <v>165</v>
      </c>
      <c r="N47" s="27"/>
      <c r="O47" s="27"/>
      <c r="P47" s="27"/>
      <c r="Q47" s="27"/>
      <c r="R47" s="27" t="s">
        <v>165</v>
      </c>
      <c r="S47" s="27" t="s">
        <v>165</v>
      </c>
      <c r="T47" s="27" t="s">
        <v>165</v>
      </c>
      <c r="U47" s="27" t="s">
        <v>165</v>
      </c>
      <c r="V47" s="27" t="s">
        <v>165</v>
      </c>
      <c r="W47" s="27" t="s">
        <v>165</v>
      </c>
      <c r="X47" s="27" t="s">
        <v>165</v>
      </c>
      <c r="Y47" s="27" t="s">
        <v>165</v>
      </c>
      <c r="Z47" s="27" t="s">
        <v>165</v>
      </c>
      <c r="AA47" s="27" t="s">
        <v>165</v>
      </c>
      <c r="AB47" s="27" t="s">
        <v>165</v>
      </c>
      <c r="AC47" s="27" t="s">
        <v>165</v>
      </c>
      <c r="AD47" s="27" t="s">
        <v>165</v>
      </c>
      <c r="AE47" s="27" t="s">
        <v>165</v>
      </c>
      <c r="AF47" s="27" t="s">
        <v>165</v>
      </c>
      <c r="AG47" s="27" t="s">
        <v>165</v>
      </c>
      <c r="AH47" s="27" t="s">
        <v>165</v>
      </c>
      <c r="AI47" s="27" t="s">
        <v>165</v>
      </c>
      <c r="AJ47" s="27" t="s">
        <v>165</v>
      </c>
      <c r="AK47" s="27" t="s">
        <v>165</v>
      </c>
      <c r="AL47" s="27" t="s">
        <v>165</v>
      </c>
      <c r="AM47" s="27" t="s">
        <v>165</v>
      </c>
      <c r="AN47" s="27" t="s">
        <v>165</v>
      </c>
      <c r="AO47" s="27" t="s">
        <v>165</v>
      </c>
      <c r="AP47" s="27" t="s">
        <v>165</v>
      </c>
      <c r="AQ47" s="27" t="s">
        <v>165</v>
      </c>
      <c r="AR47" s="27" t="s">
        <v>165</v>
      </c>
      <c r="AS47" s="27" t="s">
        <v>165</v>
      </c>
      <c r="AT47" s="27" t="s">
        <v>165</v>
      </c>
      <c r="AU47" s="27" t="s">
        <v>165</v>
      </c>
      <c r="AV47" s="27" t="s">
        <v>165</v>
      </c>
      <c r="AW47" s="27" t="s">
        <v>165</v>
      </c>
      <c r="AX47" s="27" t="s">
        <v>165</v>
      </c>
      <c r="AY47" s="27" t="s">
        <v>165</v>
      </c>
      <c r="AZ47" s="27" t="s">
        <v>165</v>
      </c>
      <c r="BA47" s="27" t="s">
        <v>165</v>
      </c>
      <c r="BB47" s="27" t="s">
        <v>165</v>
      </c>
      <c r="BC47" s="27" t="s">
        <v>165</v>
      </c>
      <c r="BD47" s="27" t="s">
        <v>165</v>
      </c>
      <c r="BE47" s="27" t="s">
        <v>165</v>
      </c>
      <c r="BF47" s="27" t="s">
        <v>165</v>
      </c>
      <c r="BG47" s="27" t="s">
        <v>165</v>
      </c>
      <c r="BH47" s="27" t="s">
        <v>165</v>
      </c>
      <c r="BI47" s="27" t="s">
        <v>165</v>
      </c>
      <c r="BJ47" s="27" t="s">
        <v>165</v>
      </c>
      <c r="BK47" s="27" t="s">
        <v>165</v>
      </c>
      <c r="BL47" s="27" t="s">
        <v>165</v>
      </c>
      <c r="BM47" s="27" t="s">
        <v>165</v>
      </c>
      <c r="BN47" s="27" t="s">
        <v>165</v>
      </c>
      <c r="BO47" s="27" t="s">
        <v>165</v>
      </c>
      <c r="BP47" s="27" t="s">
        <v>165</v>
      </c>
      <c r="BQ47" s="27" t="s">
        <v>165</v>
      </c>
      <c r="BR47" s="27" t="s">
        <v>165</v>
      </c>
      <c r="BS47" s="27" t="s">
        <v>165</v>
      </c>
      <c r="BT47" s="27" t="s">
        <v>165</v>
      </c>
      <c r="BU47" s="27" t="s">
        <v>165</v>
      </c>
      <c r="BV47" s="27">
        <v>7.8259999999999996</v>
      </c>
      <c r="BW47" s="27">
        <v>7.8259999999999996</v>
      </c>
      <c r="BX47" s="27" t="s">
        <v>165</v>
      </c>
      <c r="BY47" s="27">
        <v>10.968</v>
      </c>
      <c r="BZ47" s="27" t="s">
        <v>165</v>
      </c>
      <c r="CA47" s="27" t="s">
        <v>165</v>
      </c>
      <c r="CB47" s="27" t="s">
        <v>165</v>
      </c>
      <c r="CC47" s="27" t="s">
        <v>165</v>
      </c>
      <c r="CD47" s="27" t="s">
        <v>165</v>
      </c>
      <c r="CE47" s="27" t="s">
        <v>165</v>
      </c>
      <c r="CF47" s="27" t="s">
        <v>165</v>
      </c>
      <c r="CG47" s="27" t="s">
        <v>165</v>
      </c>
      <c r="CH47" s="27" t="s">
        <v>165</v>
      </c>
      <c r="CI47" s="27" t="s">
        <v>165</v>
      </c>
      <c r="CK47" s="15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</row>
    <row r="48" spans="1:110" x14ac:dyDescent="0.2">
      <c r="A48" s="14">
        <v>1</v>
      </c>
      <c r="C48" s="11" t="str">
        <f>"Net Income after Extraordinary Items and Discontinued Operations"</f>
        <v>Net Income after Extraordinary Items and Discontinued Operations</v>
      </c>
      <c r="D48" s="27">
        <f t="shared" si="8"/>
        <v>54328.5</v>
      </c>
      <c r="E48" s="27">
        <f t="shared" si="9"/>
        <v>54398.025000000001</v>
      </c>
      <c r="F48" s="27">
        <f t="shared" si="10"/>
        <v>-83571</v>
      </c>
      <c r="G48" s="27">
        <f t="shared" si="11"/>
        <v>227177</v>
      </c>
      <c r="H48" s="27">
        <f t="shared" si="12"/>
        <v>32107</v>
      </c>
      <c r="I48" s="27">
        <f t="shared" si="13"/>
        <v>87879.25</v>
      </c>
      <c r="J48" s="27">
        <f t="shared" si="14"/>
        <v>65503.728709091294</v>
      </c>
      <c r="K48" s="28">
        <f t="shared" si="15"/>
        <v>1.2041563771679449</v>
      </c>
      <c r="L48" s="27"/>
      <c r="M48" s="27">
        <v>194494</v>
      </c>
      <c r="N48" s="27">
        <v>227177</v>
      </c>
      <c r="O48" s="27">
        <v>-4254</v>
      </c>
      <c r="P48" s="27">
        <v>11650</v>
      </c>
      <c r="Q48" s="27">
        <v>30898</v>
      </c>
      <c r="R48" s="27">
        <v>33369</v>
      </c>
      <c r="S48" s="27">
        <v>29938</v>
      </c>
      <c r="T48" s="27">
        <v>20128</v>
      </c>
      <c r="U48" s="27">
        <v>40157</v>
      </c>
      <c r="V48" s="27">
        <v>61213</v>
      </c>
      <c r="W48" s="27">
        <v>90464</v>
      </c>
      <c r="X48" s="27">
        <v>127854</v>
      </c>
      <c r="Y48" s="27">
        <v>135808</v>
      </c>
      <c r="Z48" s="27">
        <v>134787</v>
      </c>
      <c r="AA48" s="27">
        <v>114769</v>
      </c>
      <c r="AB48" s="27">
        <v>93958</v>
      </c>
      <c r="AC48" s="27">
        <v>80199</v>
      </c>
      <c r="AD48" s="27">
        <v>56887</v>
      </c>
      <c r="AE48" s="27">
        <v>49471</v>
      </c>
      <c r="AF48" s="27">
        <v>49613</v>
      </c>
      <c r="AG48" s="27">
        <v>52781</v>
      </c>
      <c r="AH48" s="27">
        <v>65447</v>
      </c>
      <c r="AI48" s="27">
        <v>77384</v>
      </c>
      <c r="AJ48" s="27">
        <v>89305</v>
      </c>
      <c r="AK48" s="27">
        <v>89415</v>
      </c>
      <c r="AL48" s="27">
        <v>83205</v>
      </c>
      <c r="AM48" s="27">
        <v>87404</v>
      </c>
      <c r="AN48" s="27">
        <v>78713</v>
      </c>
      <c r="AO48" s="27">
        <v>66014</v>
      </c>
      <c r="AP48" s="27">
        <v>55876</v>
      </c>
      <c r="AQ48" s="27">
        <v>33101</v>
      </c>
      <c r="AR48" s="27">
        <v>16105</v>
      </c>
      <c r="AS48" s="27">
        <v>-79131</v>
      </c>
      <c r="AT48" s="27">
        <v>-83571</v>
      </c>
      <c r="AU48" s="27">
        <v>-81978</v>
      </c>
      <c r="AV48" s="27">
        <v>-82769</v>
      </c>
      <c r="AW48" s="27">
        <v>32510</v>
      </c>
      <c r="AX48" s="27">
        <v>32510</v>
      </c>
      <c r="AY48" s="27">
        <v>32510</v>
      </c>
      <c r="AZ48" s="27">
        <v>32510</v>
      </c>
      <c r="BA48" s="27" t="s">
        <v>165</v>
      </c>
      <c r="BB48" s="27" t="s">
        <v>165</v>
      </c>
      <c r="BC48" s="27" t="s">
        <v>165</v>
      </c>
      <c r="BD48" s="27" t="s">
        <v>165</v>
      </c>
      <c r="BE48" s="27" t="s">
        <v>165</v>
      </c>
      <c r="BF48" s="27" t="s">
        <v>165</v>
      </c>
      <c r="BG48" s="27" t="s">
        <v>165</v>
      </c>
      <c r="BH48" s="27" t="s">
        <v>165</v>
      </c>
      <c r="BI48" s="27" t="s">
        <v>165</v>
      </c>
      <c r="BJ48" s="27" t="s">
        <v>165</v>
      </c>
      <c r="BK48" s="27" t="s">
        <v>165</v>
      </c>
      <c r="BL48" s="27" t="s">
        <v>165</v>
      </c>
      <c r="BM48" s="27" t="s">
        <v>165</v>
      </c>
      <c r="BN48" s="27" t="s">
        <v>165</v>
      </c>
      <c r="BO48" s="27" t="s">
        <v>165</v>
      </c>
      <c r="BP48" s="27" t="s">
        <v>165</v>
      </c>
      <c r="BQ48" s="27" t="s">
        <v>165</v>
      </c>
      <c r="BR48" s="27" t="s">
        <v>165</v>
      </c>
      <c r="BS48" s="27" t="s">
        <v>165</v>
      </c>
      <c r="BT48" s="27" t="s">
        <v>165</v>
      </c>
      <c r="BU48" s="27" t="s">
        <v>165</v>
      </c>
      <c r="BV48" s="27" t="s">
        <v>165</v>
      </c>
      <c r="BW48" s="27" t="s">
        <v>165</v>
      </c>
      <c r="BX48" s="27" t="s">
        <v>165</v>
      </c>
      <c r="BY48" s="27" t="s">
        <v>165</v>
      </c>
      <c r="BZ48" s="27" t="s">
        <v>165</v>
      </c>
      <c r="CA48" s="27" t="s">
        <v>165</v>
      </c>
      <c r="CB48" s="27" t="s">
        <v>165</v>
      </c>
      <c r="CC48" s="27" t="s">
        <v>165</v>
      </c>
      <c r="CD48" s="27" t="s">
        <v>165</v>
      </c>
      <c r="CE48" s="27" t="s">
        <v>165</v>
      </c>
      <c r="CF48" s="27" t="s">
        <v>165</v>
      </c>
      <c r="CG48" s="27" t="s">
        <v>165</v>
      </c>
      <c r="CH48" s="27" t="s">
        <v>165</v>
      </c>
      <c r="CI48" s="27" t="s">
        <v>165</v>
      </c>
      <c r="CK48" s="15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</row>
    <row r="49" spans="1:110" x14ac:dyDescent="0.2">
      <c r="A49" s="14">
        <v>1</v>
      </c>
      <c r="C49" s="11" t="str">
        <f>"Net Income after Non-Controlling/Minority Interests"</f>
        <v>Net Income after Non-Controlling/Minority Interests</v>
      </c>
      <c r="D49" s="27">
        <f t="shared" si="8"/>
        <v>16042.26</v>
      </c>
      <c r="E49" s="27">
        <f t="shared" si="9"/>
        <v>28052.304813333332</v>
      </c>
      <c r="F49" s="27">
        <f t="shared" si="10"/>
        <v>-88190</v>
      </c>
      <c r="G49" s="27">
        <f t="shared" si="11"/>
        <v>227177</v>
      </c>
      <c r="H49" s="27">
        <f t="shared" si="12"/>
        <v>2428.4434999999999</v>
      </c>
      <c r="I49" s="27">
        <f t="shared" si="13"/>
        <v>56381.5</v>
      </c>
      <c r="J49" s="27">
        <f t="shared" si="14"/>
        <v>57491.272440695873</v>
      </c>
      <c r="K49" s="28">
        <f t="shared" si="15"/>
        <v>2.0494313327641485</v>
      </c>
      <c r="L49" s="27"/>
      <c r="M49" s="27">
        <v>194494</v>
      </c>
      <c r="N49" s="27">
        <v>227177</v>
      </c>
      <c r="O49" s="27">
        <v>-4254</v>
      </c>
      <c r="P49" s="27">
        <v>11650</v>
      </c>
      <c r="Q49" s="27">
        <v>30898</v>
      </c>
      <c r="R49" s="27">
        <v>33369</v>
      </c>
      <c r="S49" s="27">
        <v>29938</v>
      </c>
      <c r="T49" s="27">
        <v>20128</v>
      </c>
      <c r="U49" s="27">
        <v>40157</v>
      </c>
      <c r="V49" s="27">
        <v>61213</v>
      </c>
      <c r="W49" s="27">
        <v>90464</v>
      </c>
      <c r="X49" s="27">
        <v>127854</v>
      </c>
      <c r="Y49" s="27">
        <v>135808</v>
      </c>
      <c r="Z49" s="27">
        <v>134787</v>
      </c>
      <c r="AA49" s="27">
        <v>114769</v>
      </c>
      <c r="AB49" s="27">
        <v>93958</v>
      </c>
      <c r="AC49" s="27">
        <v>80199</v>
      </c>
      <c r="AD49" s="27">
        <v>56887</v>
      </c>
      <c r="AE49" s="27">
        <v>49471</v>
      </c>
      <c r="AF49" s="27">
        <v>49613</v>
      </c>
      <c r="AG49" s="27">
        <v>52781</v>
      </c>
      <c r="AH49" s="27">
        <v>65447</v>
      </c>
      <c r="AI49" s="27">
        <v>77384</v>
      </c>
      <c r="AJ49" s="27">
        <v>89305</v>
      </c>
      <c r="AK49" s="27">
        <v>89415</v>
      </c>
      <c r="AL49" s="27">
        <v>83205</v>
      </c>
      <c r="AM49" s="27">
        <v>87404</v>
      </c>
      <c r="AN49" s="27">
        <v>78713</v>
      </c>
      <c r="AO49" s="27">
        <v>66014</v>
      </c>
      <c r="AP49" s="27">
        <v>55876</v>
      </c>
      <c r="AQ49" s="27">
        <v>33101</v>
      </c>
      <c r="AR49" s="27">
        <v>16105</v>
      </c>
      <c r="AS49" s="27">
        <v>4778</v>
      </c>
      <c r="AT49" s="27">
        <v>-52498</v>
      </c>
      <c r="AU49" s="27">
        <v>-88190</v>
      </c>
      <c r="AV49" s="27">
        <v>-82769</v>
      </c>
      <c r="AW49" s="27">
        <v>-81243</v>
      </c>
      <c r="AX49" s="27">
        <v>-25291</v>
      </c>
      <c r="AY49" s="27">
        <v>26373</v>
      </c>
      <c r="AZ49" s="27">
        <v>32510</v>
      </c>
      <c r="BA49" s="27">
        <v>37259</v>
      </c>
      <c r="BB49" s="27">
        <v>36499</v>
      </c>
      <c r="BC49" s="27">
        <v>-54112.46</v>
      </c>
      <c r="BD49" s="27">
        <v>-64207</v>
      </c>
      <c r="BE49" s="27">
        <v>-68326.107000000004</v>
      </c>
      <c r="BF49" s="27">
        <v>-72488.962</v>
      </c>
      <c r="BG49" s="27">
        <v>6684.2979999999998</v>
      </c>
      <c r="BH49" s="27">
        <v>9121.1139999999996</v>
      </c>
      <c r="BI49" s="27">
        <v>11011.535</v>
      </c>
      <c r="BJ49" s="27">
        <v>14369.945</v>
      </c>
      <c r="BK49" s="27">
        <v>14283.109</v>
      </c>
      <c r="BL49" s="27">
        <v>12961.933999999999</v>
      </c>
      <c r="BM49" s="27">
        <v>11975.264999999999</v>
      </c>
      <c r="BN49" s="27">
        <v>11546.218999999999</v>
      </c>
      <c r="BO49" s="27">
        <v>9383.6319999999996</v>
      </c>
      <c r="BP49" s="27">
        <v>8701.5789999999997</v>
      </c>
      <c r="BQ49" s="27">
        <v>6330.5929999999998</v>
      </c>
      <c r="BR49" s="27">
        <v>5055.1869999999999</v>
      </c>
      <c r="BS49" s="27">
        <v>6469.22</v>
      </c>
      <c r="BT49" s="27">
        <v>5248.9560000000001</v>
      </c>
      <c r="BU49" s="27">
        <v>4692.3100000000004</v>
      </c>
      <c r="BV49" s="27">
        <v>3146.3159999999998</v>
      </c>
      <c r="BW49" s="27">
        <v>1710.5709999999999</v>
      </c>
      <c r="BX49" s="27">
        <v>832.28499999999997</v>
      </c>
      <c r="BY49" s="27">
        <v>16042.26</v>
      </c>
      <c r="BZ49" s="27">
        <v>18456.446</v>
      </c>
      <c r="CA49" s="27">
        <v>18037.388999999999</v>
      </c>
      <c r="CB49" s="27">
        <v>17225.492999999999</v>
      </c>
      <c r="CC49" s="27">
        <v>-4764.2920000000004</v>
      </c>
      <c r="CD49" s="27">
        <v>-4266.5330000000004</v>
      </c>
      <c r="CE49" s="27">
        <v>-4944.1450000000004</v>
      </c>
      <c r="CF49" s="27">
        <v>-10778.215</v>
      </c>
      <c r="CG49" s="27">
        <v>-2447.971</v>
      </c>
      <c r="CH49" s="27">
        <v>-2542.0700000000002</v>
      </c>
      <c r="CI49" s="27">
        <v>-1243.04</v>
      </c>
      <c r="CK49" s="15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</row>
    <row r="50" spans="1:110" x14ac:dyDescent="0.2">
      <c r="A50" s="14">
        <v>1</v>
      </c>
      <c r="C50" s="11" t="str">
        <f>"Net Income Available to Common Stockholders"</f>
        <v>Net Income Available to Common Stockholders</v>
      </c>
      <c r="D50" s="27">
        <f t="shared" si="8"/>
        <v>16042.26</v>
      </c>
      <c r="E50" s="27">
        <f t="shared" si="9"/>
        <v>28052.304813333332</v>
      </c>
      <c r="F50" s="27">
        <f t="shared" si="10"/>
        <v>-88190</v>
      </c>
      <c r="G50" s="27">
        <f t="shared" si="11"/>
        <v>227177</v>
      </c>
      <c r="H50" s="27">
        <f t="shared" si="12"/>
        <v>2428.4434999999999</v>
      </c>
      <c r="I50" s="27">
        <f t="shared" si="13"/>
        <v>56381.5</v>
      </c>
      <c r="J50" s="27">
        <f t="shared" si="14"/>
        <v>57491.272440695873</v>
      </c>
      <c r="K50" s="28">
        <f t="shared" si="15"/>
        <v>2.0494313327641485</v>
      </c>
      <c r="L50" s="27"/>
      <c r="M50" s="27">
        <v>194494</v>
      </c>
      <c r="N50" s="27">
        <v>227177</v>
      </c>
      <c r="O50" s="27">
        <v>-4254</v>
      </c>
      <c r="P50" s="27">
        <v>11650</v>
      </c>
      <c r="Q50" s="27">
        <v>30898</v>
      </c>
      <c r="R50" s="27">
        <v>33369</v>
      </c>
      <c r="S50" s="27">
        <v>29938</v>
      </c>
      <c r="T50" s="27">
        <v>20128</v>
      </c>
      <c r="U50" s="27">
        <v>40157</v>
      </c>
      <c r="V50" s="27">
        <v>61213</v>
      </c>
      <c r="W50" s="27">
        <v>90464</v>
      </c>
      <c r="X50" s="27">
        <v>127854</v>
      </c>
      <c r="Y50" s="27">
        <v>135808</v>
      </c>
      <c r="Z50" s="27">
        <v>134787</v>
      </c>
      <c r="AA50" s="27">
        <v>114769</v>
      </c>
      <c r="AB50" s="27">
        <v>93958</v>
      </c>
      <c r="AC50" s="27">
        <v>80199</v>
      </c>
      <c r="AD50" s="27">
        <v>56887</v>
      </c>
      <c r="AE50" s="27">
        <v>49471</v>
      </c>
      <c r="AF50" s="27">
        <v>49613</v>
      </c>
      <c r="AG50" s="27">
        <v>52781</v>
      </c>
      <c r="AH50" s="27">
        <v>65447</v>
      </c>
      <c r="AI50" s="27">
        <v>77384</v>
      </c>
      <c r="AJ50" s="27">
        <v>89305</v>
      </c>
      <c r="AK50" s="27">
        <v>89415</v>
      </c>
      <c r="AL50" s="27">
        <v>83205</v>
      </c>
      <c r="AM50" s="27">
        <v>87404</v>
      </c>
      <c r="AN50" s="27">
        <v>78713</v>
      </c>
      <c r="AO50" s="27">
        <v>66014</v>
      </c>
      <c r="AP50" s="27">
        <v>55876</v>
      </c>
      <c r="AQ50" s="27">
        <v>33101</v>
      </c>
      <c r="AR50" s="27">
        <v>16105</v>
      </c>
      <c r="AS50" s="27">
        <v>4778</v>
      </c>
      <c r="AT50" s="27">
        <v>-52498</v>
      </c>
      <c r="AU50" s="27">
        <v>-88190</v>
      </c>
      <c r="AV50" s="27">
        <v>-82769</v>
      </c>
      <c r="AW50" s="27">
        <v>-81243</v>
      </c>
      <c r="AX50" s="27">
        <v>-25291</v>
      </c>
      <c r="AY50" s="27">
        <v>26373</v>
      </c>
      <c r="AZ50" s="27">
        <v>32510</v>
      </c>
      <c r="BA50" s="27">
        <v>37259</v>
      </c>
      <c r="BB50" s="27">
        <v>36499</v>
      </c>
      <c r="BC50" s="27">
        <v>-54112.46</v>
      </c>
      <c r="BD50" s="27">
        <v>-64207</v>
      </c>
      <c r="BE50" s="27">
        <v>-68326.107000000004</v>
      </c>
      <c r="BF50" s="27">
        <v>-72488.962</v>
      </c>
      <c r="BG50" s="27">
        <v>6684.2979999999998</v>
      </c>
      <c r="BH50" s="27">
        <v>9121.1139999999996</v>
      </c>
      <c r="BI50" s="27">
        <v>11011.535</v>
      </c>
      <c r="BJ50" s="27">
        <v>14369.945</v>
      </c>
      <c r="BK50" s="27">
        <v>14283.109</v>
      </c>
      <c r="BL50" s="27">
        <v>12961.933999999999</v>
      </c>
      <c r="BM50" s="27">
        <v>11975.264999999999</v>
      </c>
      <c r="BN50" s="27">
        <v>11546.218999999999</v>
      </c>
      <c r="BO50" s="27">
        <v>9383.6319999999996</v>
      </c>
      <c r="BP50" s="27">
        <v>8701.5789999999997</v>
      </c>
      <c r="BQ50" s="27">
        <v>6330.5929999999998</v>
      </c>
      <c r="BR50" s="27">
        <v>5055.1869999999999</v>
      </c>
      <c r="BS50" s="27">
        <v>6469.22</v>
      </c>
      <c r="BT50" s="27">
        <v>5248.9560000000001</v>
      </c>
      <c r="BU50" s="27">
        <v>4692.3100000000004</v>
      </c>
      <c r="BV50" s="27">
        <v>3146.3159999999998</v>
      </c>
      <c r="BW50" s="27">
        <v>1710.5709999999999</v>
      </c>
      <c r="BX50" s="27">
        <v>832.28499999999997</v>
      </c>
      <c r="BY50" s="27">
        <v>16042.26</v>
      </c>
      <c r="BZ50" s="27">
        <v>18456.446</v>
      </c>
      <c r="CA50" s="27">
        <v>18037.388999999999</v>
      </c>
      <c r="CB50" s="27">
        <v>17225.492999999999</v>
      </c>
      <c r="CC50" s="27">
        <v>-4764.2920000000004</v>
      </c>
      <c r="CD50" s="27">
        <v>-4266.5330000000004</v>
      </c>
      <c r="CE50" s="27">
        <v>-4944.1450000000004</v>
      </c>
      <c r="CF50" s="27">
        <v>-10778.215</v>
      </c>
      <c r="CG50" s="27">
        <v>-2447.971</v>
      </c>
      <c r="CH50" s="27">
        <v>-2542.0700000000002</v>
      </c>
      <c r="CI50" s="27">
        <v>-1243.04</v>
      </c>
      <c r="CK50" s="15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</row>
    <row r="51" spans="1:110" x14ac:dyDescent="0.2">
      <c r="A51" s="14">
        <v>1</v>
      </c>
      <c r="C51" s="11" t="str">
        <f>"Dilution to Earnings"</f>
        <v>Dilution to Earnings</v>
      </c>
      <c r="D51" s="27">
        <f t="shared" si="8"/>
        <v>0</v>
      </c>
      <c r="E51" s="27">
        <f t="shared" si="9"/>
        <v>0</v>
      </c>
      <c r="F51" s="27">
        <f t="shared" si="10"/>
        <v>0</v>
      </c>
      <c r="G51" s="27">
        <f t="shared" si="11"/>
        <v>0</v>
      </c>
      <c r="H51" s="27">
        <f t="shared" si="12"/>
        <v>0</v>
      </c>
      <c r="I51" s="27">
        <f t="shared" si="13"/>
        <v>0</v>
      </c>
      <c r="J51" s="27" t="str">
        <f t="shared" si="14"/>
        <v/>
      </c>
      <c r="K51" s="28" t="str">
        <f t="shared" si="15"/>
        <v/>
      </c>
      <c r="L51" s="27"/>
      <c r="M51" s="27" t="s">
        <v>165</v>
      </c>
      <c r="N51" s="27"/>
      <c r="O51" s="27"/>
      <c r="P51" s="27">
        <v>0</v>
      </c>
      <c r="Q51" s="27"/>
      <c r="R51" s="27" t="s">
        <v>165</v>
      </c>
      <c r="S51" s="27" t="s">
        <v>165</v>
      </c>
      <c r="T51" s="27" t="s">
        <v>165</v>
      </c>
      <c r="U51" s="27" t="s">
        <v>165</v>
      </c>
      <c r="V51" s="27" t="s">
        <v>165</v>
      </c>
      <c r="W51" s="27" t="s">
        <v>165</v>
      </c>
      <c r="X51" s="27" t="s">
        <v>165</v>
      </c>
      <c r="Y51" s="27" t="s">
        <v>165</v>
      </c>
      <c r="Z51" s="27" t="s">
        <v>165</v>
      </c>
      <c r="AA51" s="27" t="s">
        <v>165</v>
      </c>
      <c r="AB51" s="27" t="s">
        <v>165</v>
      </c>
      <c r="AC51" s="27" t="s">
        <v>165</v>
      </c>
      <c r="AD51" s="27" t="s">
        <v>165</v>
      </c>
      <c r="AE51" s="27" t="s">
        <v>165</v>
      </c>
      <c r="AF51" s="27" t="s">
        <v>165</v>
      </c>
      <c r="AG51" s="27" t="s">
        <v>165</v>
      </c>
      <c r="AH51" s="27" t="s">
        <v>165</v>
      </c>
      <c r="AI51" s="27" t="s">
        <v>165</v>
      </c>
      <c r="AJ51" s="27" t="s">
        <v>165</v>
      </c>
      <c r="AK51" s="27" t="s">
        <v>165</v>
      </c>
      <c r="AL51" s="27" t="s">
        <v>165</v>
      </c>
      <c r="AM51" s="27" t="s">
        <v>165</v>
      </c>
      <c r="AN51" s="27" t="s">
        <v>165</v>
      </c>
      <c r="AO51" s="27" t="s">
        <v>165</v>
      </c>
      <c r="AP51" s="27" t="s">
        <v>165</v>
      </c>
      <c r="AQ51" s="27" t="s">
        <v>165</v>
      </c>
      <c r="AR51" s="27" t="s">
        <v>165</v>
      </c>
      <c r="AS51" s="27" t="s">
        <v>165</v>
      </c>
      <c r="AT51" s="27" t="s">
        <v>165</v>
      </c>
      <c r="AU51" s="27" t="s">
        <v>165</v>
      </c>
      <c r="AV51" s="27" t="s">
        <v>165</v>
      </c>
      <c r="AW51" s="27" t="s">
        <v>165</v>
      </c>
      <c r="AX51" s="27" t="s">
        <v>165</v>
      </c>
      <c r="AY51" s="27" t="s">
        <v>165</v>
      </c>
      <c r="AZ51" s="27" t="s">
        <v>165</v>
      </c>
      <c r="BA51" s="27" t="s">
        <v>165</v>
      </c>
      <c r="BB51" s="27" t="s">
        <v>165</v>
      </c>
      <c r="BC51" s="27" t="s">
        <v>165</v>
      </c>
      <c r="BD51" s="27" t="s">
        <v>165</v>
      </c>
      <c r="BE51" s="27" t="s">
        <v>165</v>
      </c>
      <c r="BF51" s="27" t="s">
        <v>165</v>
      </c>
      <c r="BG51" s="27" t="s">
        <v>165</v>
      </c>
      <c r="BH51" s="27" t="s">
        <v>165</v>
      </c>
      <c r="BI51" s="27" t="s">
        <v>165</v>
      </c>
      <c r="BJ51" s="27" t="s">
        <v>165</v>
      </c>
      <c r="BK51" s="27" t="s">
        <v>165</v>
      </c>
      <c r="BL51" s="27" t="s">
        <v>165</v>
      </c>
      <c r="BM51" s="27" t="s">
        <v>165</v>
      </c>
      <c r="BN51" s="27" t="s">
        <v>165</v>
      </c>
      <c r="BO51" s="27" t="s">
        <v>165</v>
      </c>
      <c r="BP51" s="27" t="s">
        <v>165</v>
      </c>
      <c r="BQ51" s="27" t="s">
        <v>165</v>
      </c>
      <c r="BR51" s="27" t="s">
        <v>165</v>
      </c>
      <c r="BS51" s="27" t="s">
        <v>165</v>
      </c>
      <c r="BT51" s="27" t="s">
        <v>165</v>
      </c>
      <c r="BU51" s="27" t="s">
        <v>165</v>
      </c>
      <c r="BV51" s="27" t="s">
        <v>165</v>
      </c>
      <c r="BW51" s="27" t="s">
        <v>165</v>
      </c>
      <c r="BX51" s="27" t="s">
        <v>165</v>
      </c>
      <c r="BY51" s="27" t="s">
        <v>165</v>
      </c>
      <c r="BZ51" s="27" t="s">
        <v>165</v>
      </c>
      <c r="CA51" s="27" t="s">
        <v>165</v>
      </c>
      <c r="CB51" s="27" t="s">
        <v>165</v>
      </c>
      <c r="CC51" s="27" t="s">
        <v>165</v>
      </c>
      <c r="CD51" s="27" t="s">
        <v>165</v>
      </c>
      <c r="CE51" s="27" t="s">
        <v>165</v>
      </c>
      <c r="CF51" s="27" t="s">
        <v>165</v>
      </c>
      <c r="CG51" s="27" t="s">
        <v>165</v>
      </c>
      <c r="CH51" s="27" t="s">
        <v>165</v>
      </c>
      <c r="CI51" s="27" t="s">
        <v>165</v>
      </c>
      <c r="CK51" s="15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</row>
    <row r="52" spans="1:110" x14ac:dyDescent="0.2">
      <c r="A52" s="14">
        <v>1</v>
      </c>
      <c r="C52" s="11" t="str">
        <f>"Diluted Net Income Available to Common Stockholders"</f>
        <v>Diluted Net Income Available to Common Stockholders</v>
      </c>
      <c r="D52" s="27">
        <f t="shared" si="8"/>
        <v>16042.26</v>
      </c>
      <c r="E52" s="27">
        <f t="shared" si="9"/>
        <v>28052.304813333332</v>
      </c>
      <c r="F52" s="27">
        <f t="shared" si="10"/>
        <v>-88190</v>
      </c>
      <c r="G52" s="27">
        <f t="shared" si="11"/>
        <v>227177</v>
      </c>
      <c r="H52" s="27">
        <f t="shared" si="12"/>
        <v>2428.4434999999999</v>
      </c>
      <c r="I52" s="27">
        <f t="shared" si="13"/>
        <v>56381.5</v>
      </c>
      <c r="J52" s="27">
        <f t="shared" si="14"/>
        <v>57491.272440695873</v>
      </c>
      <c r="K52" s="28">
        <f t="shared" si="15"/>
        <v>2.0494313327641485</v>
      </c>
      <c r="L52" s="27"/>
      <c r="M52" s="27">
        <v>194494</v>
      </c>
      <c r="N52" s="27">
        <v>227177</v>
      </c>
      <c r="O52" s="27">
        <v>-4254</v>
      </c>
      <c r="P52" s="27">
        <v>11650</v>
      </c>
      <c r="Q52" s="27">
        <v>30898</v>
      </c>
      <c r="R52" s="27">
        <v>33369</v>
      </c>
      <c r="S52" s="27">
        <v>29938</v>
      </c>
      <c r="T52" s="27">
        <v>20128</v>
      </c>
      <c r="U52" s="27">
        <v>40157</v>
      </c>
      <c r="V52" s="27">
        <v>61213</v>
      </c>
      <c r="W52" s="27">
        <v>90464</v>
      </c>
      <c r="X52" s="27">
        <v>127854</v>
      </c>
      <c r="Y52" s="27">
        <v>135808</v>
      </c>
      <c r="Z52" s="27">
        <v>134787</v>
      </c>
      <c r="AA52" s="27">
        <v>114769</v>
      </c>
      <c r="AB52" s="27">
        <v>93958</v>
      </c>
      <c r="AC52" s="27">
        <v>80199</v>
      </c>
      <c r="AD52" s="27">
        <v>56887</v>
      </c>
      <c r="AE52" s="27">
        <v>49471</v>
      </c>
      <c r="AF52" s="27">
        <v>49613</v>
      </c>
      <c r="AG52" s="27">
        <v>52781</v>
      </c>
      <c r="AH52" s="27">
        <v>65447</v>
      </c>
      <c r="AI52" s="27">
        <v>77384</v>
      </c>
      <c r="AJ52" s="27">
        <v>89305</v>
      </c>
      <c r="AK52" s="27">
        <v>89415</v>
      </c>
      <c r="AL52" s="27">
        <v>83205</v>
      </c>
      <c r="AM52" s="27">
        <v>87404</v>
      </c>
      <c r="AN52" s="27">
        <v>78713</v>
      </c>
      <c r="AO52" s="27">
        <v>66014</v>
      </c>
      <c r="AP52" s="27">
        <v>55876</v>
      </c>
      <c r="AQ52" s="27">
        <v>33101</v>
      </c>
      <c r="AR52" s="27">
        <v>16105</v>
      </c>
      <c r="AS52" s="27">
        <v>4778</v>
      </c>
      <c r="AT52" s="27">
        <v>-52498</v>
      </c>
      <c r="AU52" s="27">
        <v>-88190</v>
      </c>
      <c r="AV52" s="27">
        <v>-82769</v>
      </c>
      <c r="AW52" s="27">
        <v>-81243</v>
      </c>
      <c r="AX52" s="27">
        <v>-25291</v>
      </c>
      <c r="AY52" s="27">
        <v>26373</v>
      </c>
      <c r="AZ52" s="27">
        <v>32510</v>
      </c>
      <c r="BA52" s="27">
        <v>37259</v>
      </c>
      <c r="BB52" s="27">
        <v>36499</v>
      </c>
      <c r="BC52" s="27">
        <v>-54112.46</v>
      </c>
      <c r="BD52" s="27">
        <v>-64207</v>
      </c>
      <c r="BE52" s="27">
        <v>-68326.107000000004</v>
      </c>
      <c r="BF52" s="27">
        <v>-72488.962</v>
      </c>
      <c r="BG52" s="27">
        <v>6684.2979999999998</v>
      </c>
      <c r="BH52" s="27">
        <v>9121.1139999999996</v>
      </c>
      <c r="BI52" s="27">
        <v>11011.535</v>
      </c>
      <c r="BJ52" s="27">
        <v>14369.945</v>
      </c>
      <c r="BK52" s="27">
        <v>14283.109</v>
      </c>
      <c r="BL52" s="27">
        <v>12961.933999999999</v>
      </c>
      <c r="BM52" s="27">
        <v>11975.264999999999</v>
      </c>
      <c r="BN52" s="27">
        <v>11546.218999999999</v>
      </c>
      <c r="BO52" s="27">
        <v>9383.6319999999996</v>
      </c>
      <c r="BP52" s="27">
        <v>8701.5789999999997</v>
      </c>
      <c r="BQ52" s="27">
        <v>6330.5929999999998</v>
      </c>
      <c r="BR52" s="27">
        <v>5055.1869999999999</v>
      </c>
      <c r="BS52" s="27">
        <v>6469.22</v>
      </c>
      <c r="BT52" s="27">
        <v>5248.9560000000001</v>
      </c>
      <c r="BU52" s="27">
        <v>4692.3100000000004</v>
      </c>
      <c r="BV52" s="27">
        <v>3146.3159999999998</v>
      </c>
      <c r="BW52" s="27">
        <v>1710.5709999999999</v>
      </c>
      <c r="BX52" s="27">
        <v>832.28499999999997</v>
      </c>
      <c r="BY52" s="27">
        <v>16042.26</v>
      </c>
      <c r="BZ52" s="27">
        <v>18456.446</v>
      </c>
      <c r="CA52" s="27">
        <v>18037.388999999999</v>
      </c>
      <c r="CB52" s="27">
        <v>17225.492999999999</v>
      </c>
      <c r="CC52" s="27">
        <v>-4764.2920000000004</v>
      </c>
      <c r="CD52" s="27">
        <v>-4266.5330000000004</v>
      </c>
      <c r="CE52" s="27">
        <v>-4944.1450000000004</v>
      </c>
      <c r="CF52" s="27">
        <v>-10778.215</v>
      </c>
      <c r="CG52" s="27">
        <v>-2447.971</v>
      </c>
      <c r="CH52" s="27">
        <v>-2542.0700000000002</v>
      </c>
      <c r="CI52" s="27">
        <v>-1243.04</v>
      </c>
      <c r="CK52" s="15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</row>
    <row r="53" spans="1:110" x14ac:dyDescent="0.2">
      <c r="A53" s="14">
        <v>1</v>
      </c>
      <c r="C53" s="11" t="str">
        <f>IF(SUBTOTAL(109,A53)=A53,"Basic EPS","Basic EPS")</f>
        <v>Basic EPS</v>
      </c>
      <c r="D53" s="28" t="str">
        <f t="shared" si="8"/>
        <v/>
      </c>
      <c r="E53" s="28" t="str">
        <f t="shared" si="9"/>
        <v/>
      </c>
      <c r="F53" s="28" t="str">
        <f t="shared" si="10"/>
        <v/>
      </c>
      <c r="G53" s="28" t="str">
        <f t="shared" si="11"/>
        <v/>
      </c>
      <c r="H53" s="28" t="str">
        <f t="shared" si="12"/>
        <v/>
      </c>
      <c r="I53" s="28" t="str">
        <f t="shared" si="13"/>
        <v/>
      </c>
      <c r="J53" s="28" t="str">
        <f t="shared" si="14"/>
        <v/>
      </c>
      <c r="K53" s="28" t="str">
        <f t="shared" si="15"/>
        <v/>
      </c>
      <c r="L53" s="28"/>
      <c r="M53" s="28" t="str">
        <f>IF(SUBTOTAL(109,A53)=A53,"",4.12)</f>
        <v/>
      </c>
      <c r="N53" s="28"/>
      <c r="O53" s="28"/>
      <c r="P53" s="28"/>
      <c r="Q53" s="28"/>
      <c r="R53" s="28" t="str">
        <f>IF(SUBTOTAL(109,A53)=A53,"",0.61)</f>
        <v/>
      </c>
      <c r="S53" s="28" t="str">
        <f>IF(SUBTOTAL(109,A53)=A53,"",0.55)</f>
        <v/>
      </c>
      <c r="T53" s="28" t="str">
        <f>IF(SUBTOTAL(109,A53)=A53,"",0.37)</f>
        <v/>
      </c>
      <c r="U53" s="28" t="str">
        <f>IF(SUBTOTAL(109,A53)=A53,"",0.73)</f>
        <v/>
      </c>
      <c r="V53" s="28" t="str">
        <f>IF(SUBTOTAL(109,A53)=A53,"",1.1)</f>
        <v/>
      </c>
      <c r="W53" s="28" t="str">
        <f>IF(SUBTOTAL(109,A53)=A53,"",1.62)</f>
        <v/>
      </c>
      <c r="X53" s="28" t="str">
        <f>IF(SUBTOTAL(109,A53)=A53,"",2.29)</f>
        <v/>
      </c>
      <c r="Y53" s="28" t="str">
        <f>IF(SUBTOTAL(109,A53)=A53,"",2.42)</f>
        <v/>
      </c>
      <c r="Z53" s="28" t="str">
        <f>IF(SUBTOTAL(109,A53)=A53,"",2.42)</f>
        <v/>
      </c>
      <c r="AA53" s="28" t="str">
        <f>IF(SUBTOTAL(109,A53)=A53,"",2.07)</f>
        <v/>
      </c>
      <c r="AB53" s="28" t="str">
        <f>IF(SUBTOTAL(109,A53)=A53,"",1.72)</f>
        <v/>
      </c>
      <c r="AC53" s="28" t="str">
        <f>IF(SUBTOTAL(109,A53)=A53,"",1.48)</f>
        <v/>
      </c>
      <c r="AD53" s="28" t="str">
        <f>IF(SUBTOTAL(109,A53)=A53,"",1.05)</f>
        <v/>
      </c>
      <c r="AE53" s="28" t="str">
        <f>IF(SUBTOTAL(109,A53)=A53,"",0.92)</f>
        <v/>
      </c>
      <c r="AF53" s="28" t="str">
        <f>IF(SUBTOTAL(109,A53)=A53,"",0.92)</f>
        <v/>
      </c>
      <c r="AG53" s="28" t="str">
        <f>IF(SUBTOTAL(109,A53)=A53,"",0.96)</f>
        <v/>
      </c>
      <c r="AH53" s="28" t="str">
        <f>IF(SUBTOTAL(109,A53)=A53,"",1.18)</f>
        <v/>
      </c>
      <c r="AI53" s="28" t="str">
        <f>IF(SUBTOTAL(109,A53)=A53,"",1.37)</f>
        <v/>
      </c>
      <c r="AJ53" s="28" t="str">
        <f>IF(SUBTOTAL(109,A53)=A53,"",1.52)</f>
        <v/>
      </c>
      <c r="AK53" s="28" t="str">
        <f>IF(SUBTOTAL(109,A53)=A53,"",1.46)</f>
        <v/>
      </c>
      <c r="AL53" s="28" t="str">
        <f>IF(SUBTOTAL(109,A53)=A53,"",1.31)</f>
        <v/>
      </c>
      <c r="AM53" s="28" t="str">
        <f>IF(SUBTOTAL(109,A53)=A53,"",1.34)</f>
        <v/>
      </c>
      <c r="AN53" s="28" t="str">
        <f>IF(SUBTOTAL(109,A53)=A53,"",1.21)</f>
        <v/>
      </c>
      <c r="AO53" s="28" t="str">
        <f>IF(SUBTOTAL(109,A53)=A53,"",1.01)</f>
        <v/>
      </c>
      <c r="AP53" s="28" t="str">
        <f>IF(SUBTOTAL(109,A53)=A53,"",0.85)</f>
        <v/>
      </c>
      <c r="AQ53" s="28" t="str">
        <f>IF(SUBTOTAL(109,A53)=A53,"",0.51)</f>
        <v/>
      </c>
      <c r="AR53" s="28" t="str">
        <f>IF(SUBTOTAL(109,A53)=A53,"",0.25)</f>
        <v/>
      </c>
      <c r="AS53" s="28" t="str">
        <f>IF(SUBTOTAL(109,A53)=A53,"",0.08)</f>
        <v/>
      </c>
      <c r="AT53" s="28" t="str">
        <f>IF(SUBTOTAL(109,A53)=A53,"",-0.87)</f>
        <v/>
      </c>
      <c r="AU53" s="28" t="str">
        <f>IF(SUBTOTAL(109,A53)=A53,"",-1.47)</f>
        <v/>
      </c>
      <c r="AV53" s="28" t="str">
        <f>IF(SUBTOTAL(109,A53)=A53,"",-1.37)</f>
        <v/>
      </c>
      <c r="AW53" s="28" t="str">
        <f>IF(SUBTOTAL(109,A53)=A53,"",-1.36)</f>
        <v/>
      </c>
      <c r="AX53" s="28" t="str">
        <f>IF(SUBTOTAL(109,A53)=A53,"",-0.42)</f>
        <v/>
      </c>
      <c r="AY53" s="28" t="str">
        <f>IF(SUBTOTAL(109,A53)=A53,"",0.43)</f>
        <v/>
      </c>
      <c r="AZ53" s="28" t="str">
        <f>IF(SUBTOTAL(109,A53)=A53,"",0.56)</f>
        <v/>
      </c>
      <c r="BA53" s="28" t="str">
        <f>IF(SUBTOTAL(109,A53)=A53,"",0.69)</f>
        <v/>
      </c>
      <c r="BB53" s="28" t="str">
        <f>IF(SUBTOTAL(109,A53)=A53,"",0.69)</f>
        <v/>
      </c>
      <c r="BC53" s="28" t="str">
        <f>IF(SUBTOTAL(109,A53)=A53,"",-1.17)</f>
        <v/>
      </c>
      <c r="BD53" s="28" t="str">
        <f>IF(SUBTOTAL(109,A53)=A53,"",-1.37)</f>
        <v/>
      </c>
      <c r="BE53" s="28" t="str">
        <f>IF(SUBTOTAL(109,A53)=A53,"",-1.45)</f>
        <v/>
      </c>
      <c r="BF53" s="28" t="str">
        <f>IF(SUBTOTAL(109,A53)=A53,"",-1.55)</f>
        <v/>
      </c>
      <c r="BG53" s="28" t="str">
        <f>IF(SUBTOTAL(109,A53)=A53,"",0.17)</f>
        <v/>
      </c>
      <c r="BH53" s="28" t="str">
        <f>IF(SUBTOTAL(109,A53)=A53,"",0.23)</f>
        <v/>
      </c>
      <c r="BI53" s="28" t="str">
        <f>IF(SUBTOTAL(109,A53)=A53,"",0.27)</f>
        <v/>
      </c>
      <c r="BJ53" s="28" t="str">
        <f>IF(SUBTOTAL(109,A53)=A53,"",0.36)</f>
        <v/>
      </c>
      <c r="BK53" s="28" t="str">
        <f>IF(SUBTOTAL(109,A53)=A53,"",0.36)</f>
        <v/>
      </c>
      <c r="BL53" s="28" t="str">
        <f>IF(SUBTOTAL(109,A53)=A53,"",0.33)</f>
        <v/>
      </c>
      <c r="BM53" s="28" t="str">
        <f>IF(SUBTOTAL(109,A53)=A53,"",0.31)</f>
        <v/>
      </c>
      <c r="BN53" s="28" t="str">
        <f>IF(SUBTOTAL(109,A53)=A53,"",0.3)</f>
        <v/>
      </c>
      <c r="BO53" s="28" t="str">
        <f>IF(SUBTOTAL(109,A53)=A53,"",0.25)</f>
        <v/>
      </c>
      <c r="BP53" s="28" t="str">
        <f>IF(SUBTOTAL(109,A53)=A53,"",0.24)</f>
        <v/>
      </c>
      <c r="BQ53" s="28" t="str">
        <f>IF(SUBTOTAL(109,A53)=A53,"",0.19)</f>
        <v/>
      </c>
      <c r="BR53" s="28" t="str">
        <f>IF(SUBTOTAL(109,A53)=A53,"",0.16)</f>
        <v/>
      </c>
      <c r="BS53" s="28" t="str">
        <f>IF(SUBTOTAL(109,A53)=A53,"",0.21)</f>
        <v/>
      </c>
      <c r="BT53" s="28" t="str">
        <f>IF(SUBTOTAL(109,A53)=A53,"",0.17)</f>
        <v/>
      </c>
      <c r="BU53" s="28" t="str">
        <f>IF(SUBTOTAL(109,A53)=A53,"",0.15)</f>
        <v/>
      </c>
      <c r="BV53" s="28" t="str">
        <f>IF(SUBTOTAL(109,A53)=A53,"",0.09)</f>
        <v/>
      </c>
      <c r="BW53" s="28" t="str">
        <f>IF(SUBTOTAL(109,A53)=A53,"",0.05)</f>
        <v/>
      </c>
      <c r="BX53" s="28" t="str">
        <f>IF(SUBTOTAL(109,A53)=A53,"",0.03)</f>
        <v/>
      </c>
      <c r="BY53" s="28" t="str">
        <f>IF(SUBTOTAL(109,A53)=A53,"",0.54)</f>
        <v/>
      </c>
      <c r="BZ53" s="28" t="str">
        <f>IF(SUBTOTAL(109,A53)=A53,"",0.61)</f>
        <v/>
      </c>
      <c r="CA53" s="28" t="str">
        <f>IF(SUBTOTAL(109,A53)=A53,"",0.6)</f>
        <v/>
      </c>
      <c r="CB53" s="28" t="str">
        <f>IF(SUBTOTAL(109,A53)=A53,"",0.58)</f>
        <v/>
      </c>
      <c r="CC53" s="28" t="str">
        <f>IF(SUBTOTAL(109,A53)=A53,"",-0.54)</f>
        <v/>
      </c>
      <c r="CD53" s="28" t="str">
        <f>IF(SUBTOTAL(109,A53)=A53,"",-0.5)</f>
        <v/>
      </c>
      <c r="CE53" s="28" t="str">
        <f>IF(SUBTOTAL(109,A53)=A53,"",-0.53)</f>
        <v/>
      </c>
      <c r="CF53" s="28" t="str">
        <f>IF(SUBTOTAL(109,A53)=A53,"",-0.85)</f>
        <v/>
      </c>
      <c r="CG53" s="28" t="str">
        <f>IF(SUBTOTAL(109,A53)=A53,"",-0.195461)</f>
        <v/>
      </c>
      <c r="CH53" s="28" t="str">
        <f>IF(SUBTOTAL(109,A53)=A53,"",-0.23)</f>
        <v/>
      </c>
      <c r="CI53" s="28" t="str">
        <f>IF(SUBTOTAL(109,A53)=A53,"",-0.15)</f>
        <v/>
      </c>
      <c r="CK53" s="15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</row>
    <row r="54" spans="1:110" outlineLevel="1" x14ac:dyDescent="0.2">
      <c r="A54" s="14">
        <v>1</v>
      </c>
      <c r="C54" s="9" t="str">
        <f>"    Basic EPS from Continuing Operations"</f>
        <v xml:space="preserve">    Basic EPS from Continuing Operations</v>
      </c>
      <c r="D54" s="18">
        <f t="shared" si="8"/>
        <v>0.38</v>
      </c>
      <c r="E54" s="18">
        <f t="shared" si="9"/>
        <v>0.60358701333333353</v>
      </c>
      <c r="F54" s="18">
        <f t="shared" si="10"/>
        <v>-1.55</v>
      </c>
      <c r="G54" s="18">
        <f t="shared" si="11"/>
        <v>4.6125000000000007</v>
      </c>
      <c r="H54" s="18">
        <f t="shared" si="12"/>
        <v>0.155</v>
      </c>
      <c r="I54" s="18">
        <f t="shared" si="13"/>
        <v>1.0611858750000001</v>
      </c>
      <c r="J54" s="18">
        <f t="shared" si="14"/>
        <v>1.0195710591671636</v>
      </c>
      <c r="K54" s="18">
        <f t="shared" si="15"/>
        <v>1.6891865408709532</v>
      </c>
      <c r="L54" s="22"/>
      <c r="M54" s="22">
        <v>4.12</v>
      </c>
      <c r="N54" s="22">
        <v>4.6125000000000007</v>
      </c>
      <c r="O54" s="22">
        <v>1.0723717500000001</v>
      </c>
      <c r="P54" s="22">
        <v>0.32211524999999996</v>
      </c>
      <c r="Q54" s="22">
        <v>0.56750000000000012</v>
      </c>
      <c r="R54" s="22">
        <v>0.61</v>
      </c>
      <c r="S54" s="22">
        <v>0.55000000000000004</v>
      </c>
      <c r="T54" s="22">
        <v>0.37</v>
      </c>
      <c r="U54" s="22">
        <v>0.74</v>
      </c>
      <c r="V54" s="22">
        <v>1.1100000000000001</v>
      </c>
      <c r="W54" s="22">
        <v>1.63</v>
      </c>
      <c r="X54" s="22">
        <v>2.29</v>
      </c>
      <c r="Y54" s="22">
        <v>2.42</v>
      </c>
      <c r="Z54" s="22">
        <v>2.42</v>
      </c>
      <c r="AA54" s="22">
        <v>2.0699999999999998</v>
      </c>
      <c r="AB54" s="22">
        <v>1.72</v>
      </c>
      <c r="AC54" s="22">
        <v>1.48</v>
      </c>
      <c r="AD54" s="22">
        <v>1.05</v>
      </c>
      <c r="AE54" s="22">
        <v>0.92</v>
      </c>
      <c r="AF54" s="22">
        <v>0.92</v>
      </c>
      <c r="AG54" s="22">
        <v>0.96</v>
      </c>
      <c r="AH54" s="22">
        <v>1.17</v>
      </c>
      <c r="AI54" s="22">
        <v>1.37</v>
      </c>
      <c r="AJ54" s="22">
        <v>1.51</v>
      </c>
      <c r="AK54" s="22">
        <v>1.52</v>
      </c>
      <c r="AL54" s="22">
        <v>1.43</v>
      </c>
      <c r="AM54" s="22">
        <v>1.38</v>
      </c>
      <c r="AN54" s="22">
        <v>1.25</v>
      </c>
      <c r="AO54" s="22">
        <v>1.08</v>
      </c>
      <c r="AP54" s="22">
        <v>0.89</v>
      </c>
      <c r="AQ54" s="22">
        <v>0.65</v>
      </c>
      <c r="AR54" s="22">
        <v>0.41</v>
      </c>
      <c r="AS54" s="22">
        <v>0.2</v>
      </c>
      <c r="AT54" s="22">
        <v>7.0000000000000007E-2</v>
      </c>
      <c r="AU54" s="22">
        <v>0.1</v>
      </c>
      <c r="AV54" s="22">
        <v>0.13</v>
      </c>
      <c r="AW54" s="22">
        <v>0.1</v>
      </c>
      <c r="AX54" s="22">
        <v>0.2</v>
      </c>
      <c r="AY54" s="22">
        <v>0.43</v>
      </c>
      <c r="AZ54" s="22">
        <v>0.38</v>
      </c>
      <c r="BA54" s="22">
        <v>0.69</v>
      </c>
      <c r="BB54" s="22">
        <v>0.69</v>
      </c>
      <c r="BC54" s="22">
        <v>-1.17</v>
      </c>
      <c r="BD54" s="22">
        <v>-1.37</v>
      </c>
      <c r="BE54" s="22">
        <v>-1.45</v>
      </c>
      <c r="BF54" s="22">
        <v>-1.55</v>
      </c>
      <c r="BG54" s="22">
        <v>0.17</v>
      </c>
      <c r="BH54" s="22">
        <v>0.23</v>
      </c>
      <c r="BI54" s="22">
        <v>0.27</v>
      </c>
      <c r="BJ54" s="22">
        <v>0.36</v>
      </c>
      <c r="BK54" s="22">
        <v>0.36</v>
      </c>
      <c r="BL54" s="22">
        <v>0.33</v>
      </c>
      <c r="BM54" s="22">
        <v>0.31</v>
      </c>
      <c r="BN54" s="22">
        <v>0.3</v>
      </c>
      <c r="BO54" s="22">
        <v>0.25</v>
      </c>
      <c r="BP54" s="22">
        <v>0.24</v>
      </c>
      <c r="BQ54" s="22">
        <v>0.19</v>
      </c>
      <c r="BR54" s="22">
        <v>0.16</v>
      </c>
      <c r="BS54" s="22">
        <v>0.21</v>
      </c>
      <c r="BT54" s="22">
        <v>0.17</v>
      </c>
      <c r="BU54" s="22">
        <v>0.15</v>
      </c>
      <c r="BV54" s="22">
        <v>0.09</v>
      </c>
      <c r="BW54" s="22">
        <v>0.05</v>
      </c>
      <c r="BX54" s="22">
        <v>0.03</v>
      </c>
      <c r="BY54" s="22">
        <v>0.54</v>
      </c>
      <c r="BZ54" s="22">
        <v>0.61</v>
      </c>
      <c r="CA54" s="22">
        <v>0.6</v>
      </c>
      <c r="CB54" s="22">
        <v>0.57999999999999996</v>
      </c>
      <c r="CC54" s="22">
        <v>-0.54</v>
      </c>
      <c r="CD54" s="22">
        <v>-0.5</v>
      </c>
      <c r="CE54" s="22">
        <v>-0.53</v>
      </c>
      <c r="CF54" s="22">
        <v>-0.85</v>
      </c>
      <c r="CG54" s="22">
        <v>-0.195461</v>
      </c>
      <c r="CH54" s="22">
        <v>-0.23</v>
      </c>
      <c r="CI54" s="22">
        <v>-0.15</v>
      </c>
      <c r="CK54" s="15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</row>
    <row r="55" spans="1:110" outlineLevel="1" x14ac:dyDescent="0.2">
      <c r="A55" s="14">
        <v>1</v>
      </c>
      <c r="C55" s="9" t="str">
        <f>"    Basic EPS from Discontinued Operations"</f>
        <v xml:space="preserve">    Basic EPS from Discontinued Operations</v>
      </c>
      <c r="D55" s="18">
        <f t="shared" si="8"/>
        <v>-0.04</v>
      </c>
      <c r="E55" s="18">
        <f t="shared" si="9"/>
        <v>-0.27423274702380956</v>
      </c>
      <c r="F55" s="18">
        <f t="shared" si="10"/>
        <v>-1.55</v>
      </c>
      <c r="G55" s="18">
        <f t="shared" si="11"/>
        <v>0.18</v>
      </c>
      <c r="H55" s="18">
        <f t="shared" si="12"/>
        <v>-0.195337125</v>
      </c>
      <c r="I55" s="18">
        <f t="shared" si="13"/>
        <v>-7.4999999999999997E-3</v>
      </c>
      <c r="J55" s="18">
        <f t="shared" si="14"/>
        <v>0.50459815541122655</v>
      </c>
      <c r="K55" s="18">
        <f t="shared" si="15"/>
        <v>-1.8400361039574027</v>
      </c>
      <c r="L55" s="22"/>
      <c r="M55" s="22">
        <v>0</v>
      </c>
      <c r="N55" s="22">
        <v>-0.30134850000000002</v>
      </c>
      <c r="O55" s="22">
        <v>-1.16480775</v>
      </c>
      <c r="P55" s="22">
        <v>-0.13961066666666669</v>
      </c>
      <c r="Q55" s="22"/>
      <c r="R55" s="22" t="s">
        <v>165</v>
      </c>
      <c r="S55" s="22" t="s">
        <v>165</v>
      </c>
      <c r="T55" s="22" t="s">
        <v>165</v>
      </c>
      <c r="U55" s="22" t="s">
        <v>165</v>
      </c>
      <c r="V55" s="22" t="s">
        <v>165</v>
      </c>
      <c r="W55" s="22" t="s">
        <v>165</v>
      </c>
      <c r="X55" s="22" t="s">
        <v>165</v>
      </c>
      <c r="Y55" s="22" t="s">
        <v>165</v>
      </c>
      <c r="Z55" s="22" t="s">
        <v>165</v>
      </c>
      <c r="AA55" s="22" t="s">
        <v>165</v>
      </c>
      <c r="AB55" s="22" t="s">
        <v>165</v>
      </c>
      <c r="AC55" s="22">
        <v>-0.01</v>
      </c>
      <c r="AD55" s="22">
        <v>-0.01</v>
      </c>
      <c r="AE55" s="22">
        <v>-0.01</v>
      </c>
      <c r="AF55" s="22">
        <v>-0.01</v>
      </c>
      <c r="AG55" s="22">
        <v>0.01</v>
      </c>
      <c r="AH55" s="22">
        <v>1.6150999999999999E-2</v>
      </c>
      <c r="AI55" s="22">
        <v>1.2909E-2</v>
      </c>
      <c r="AJ55" s="22">
        <v>0.01</v>
      </c>
      <c r="AK55" s="22">
        <v>-0.04</v>
      </c>
      <c r="AL55" s="22">
        <v>-9.3358999999999998E-2</v>
      </c>
      <c r="AM55" s="22">
        <v>-2.0763E-2</v>
      </c>
      <c r="AN55" s="22">
        <v>-0.04</v>
      </c>
      <c r="AO55" s="22">
        <v>-7.0000000000000007E-2</v>
      </c>
      <c r="AP55" s="22">
        <v>-0.03</v>
      </c>
      <c r="AQ55" s="22">
        <v>-0.15</v>
      </c>
      <c r="AR55" s="22">
        <v>-0.16</v>
      </c>
      <c r="AS55" s="22">
        <v>-0.12</v>
      </c>
      <c r="AT55" s="22">
        <v>-0.93</v>
      </c>
      <c r="AU55" s="22">
        <v>-1.55</v>
      </c>
      <c r="AV55" s="22">
        <v>-1.5</v>
      </c>
      <c r="AW55" s="22">
        <v>-1.283839</v>
      </c>
      <c r="AX55" s="22">
        <v>-0.450077</v>
      </c>
      <c r="AY55" s="22">
        <v>0.176228</v>
      </c>
      <c r="AZ55" s="22">
        <v>0.18</v>
      </c>
      <c r="BA55" s="22" t="s">
        <v>165</v>
      </c>
      <c r="BB55" s="22" t="s">
        <v>165</v>
      </c>
      <c r="BC55" s="22" t="s">
        <v>165</v>
      </c>
      <c r="BD55" s="22" t="s">
        <v>165</v>
      </c>
      <c r="BE55" s="22" t="s">
        <v>165</v>
      </c>
      <c r="BF55" s="22" t="s">
        <v>165</v>
      </c>
      <c r="BG55" s="22" t="s">
        <v>165</v>
      </c>
      <c r="BH55" s="22" t="s">
        <v>165</v>
      </c>
      <c r="BI55" s="22" t="s">
        <v>165</v>
      </c>
      <c r="BJ55" s="22" t="s">
        <v>165</v>
      </c>
      <c r="BK55" s="22" t="s">
        <v>165</v>
      </c>
      <c r="BL55" s="22" t="s">
        <v>165</v>
      </c>
      <c r="BM55" s="22" t="s">
        <v>165</v>
      </c>
      <c r="BN55" s="22" t="s">
        <v>165</v>
      </c>
      <c r="BO55" s="22" t="s">
        <v>165</v>
      </c>
      <c r="BP55" s="22" t="s">
        <v>165</v>
      </c>
      <c r="BQ55" s="22" t="s">
        <v>165</v>
      </c>
      <c r="BR55" s="22" t="s">
        <v>165</v>
      </c>
      <c r="BS55" s="22" t="s">
        <v>165</v>
      </c>
      <c r="BT55" s="22" t="s">
        <v>165</v>
      </c>
      <c r="BU55" s="22" t="s">
        <v>165</v>
      </c>
      <c r="BV55" s="22" t="s">
        <v>165</v>
      </c>
      <c r="BW55" s="22" t="s">
        <v>165</v>
      </c>
      <c r="BX55" s="22" t="s">
        <v>165</v>
      </c>
      <c r="BY55" s="22" t="s">
        <v>165</v>
      </c>
      <c r="BZ55" s="22" t="s">
        <v>165</v>
      </c>
      <c r="CA55" s="22" t="s">
        <v>165</v>
      </c>
      <c r="CB55" s="22" t="s">
        <v>165</v>
      </c>
      <c r="CC55" s="22" t="s">
        <v>165</v>
      </c>
      <c r="CD55" s="22" t="s">
        <v>165</v>
      </c>
      <c r="CE55" s="22" t="s">
        <v>165</v>
      </c>
      <c r="CF55" s="22" t="s">
        <v>165</v>
      </c>
      <c r="CG55" s="22" t="s">
        <v>165</v>
      </c>
      <c r="CH55" s="22" t="s">
        <v>165</v>
      </c>
      <c r="CI55" s="22" t="s">
        <v>165</v>
      </c>
      <c r="CK55" s="15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</row>
    <row r="56" spans="1:110" outlineLevel="1" x14ac:dyDescent="0.2">
      <c r="A56" s="14">
        <v>1</v>
      </c>
      <c r="C56" s="11" t="str">
        <f>"    Total Basic EPS"</f>
        <v xml:space="preserve">    Total Basic EPS</v>
      </c>
      <c r="D56" s="30">
        <f t="shared" si="8"/>
        <v>0.36</v>
      </c>
      <c r="E56" s="30">
        <f t="shared" si="9"/>
        <v>0.49319385333333343</v>
      </c>
      <c r="F56" s="30">
        <f t="shared" si="10"/>
        <v>-1.55</v>
      </c>
      <c r="G56" s="30">
        <f t="shared" si="11"/>
        <v>4.3075000000000001</v>
      </c>
      <c r="H56" s="30">
        <f t="shared" si="12"/>
        <v>6.5000000000000002E-2</v>
      </c>
      <c r="I56" s="30">
        <f t="shared" si="13"/>
        <v>0.98499999999999999</v>
      </c>
      <c r="J56" s="30">
        <f t="shared" si="14"/>
        <v>1.0889078599374757</v>
      </c>
      <c r="K56" s="30">
        <f t="shared" si="15"/>
        <v>2.2078698924934064</v>
      </c>
      <c r="L56" s="30"/>
      <c r="M56" s="30">
        <v>4.12</v>
      </c>
      <c r="N56" s="29">
        <v>4.3075000000000001</v>
      </c>
      <c r="O56" s="29">
        <v>-8.500000000000002E-2</v>
      </c>
      <c r="P56" s="29">
        <v>0.21750000000000003</v>
      </c>
      <c r="Q56" s="29">
        <v>0.56500000000000006</v>
      </c>
      <c r="R56" s="30">
        <v>0.61</v>
      </c>
      <c r="S56" s="30">
        <v>0.55000000000000004</v>
      </c>
      <c r="T56" s="30">
        <v>0.37</v>
      </c>
      <c r="U56" s="30">
        <v>0.73</v>
      </c>
      <c r="V56" s="30">
        <v>1.1000000000000001</v>
      </c>
      <c r="W56" s="30">
        <v>1.62</v>
      </c>
      <c r="X56" s="30">
        <v>2.29</v>
      </c>
      <c r="Y56" s="30">
        <v>2.42</v>
      </c>
      <c r="Z56" s="30">
        <v>2.42</v>
      </c>
      <c r="AA56" s="30">
        <v>2.0699999999999998</v>
      </c>
      <c r="AB56" s="30">
        <v>1.72</v>
      </c>
      <c r="AC56" s="30">
        <v>1.48</v>
      </c>
      <c r="AD56" s="30">
        <v>1.05</v>
      </c>
      <c r="AE56" s="30">
        <v>0.92</v>
      </c>
      <c r="AF56" s="30">
        <v>0.92</v>
      </c>
      <c r="AG56" s="30">
        <v>0.96</v>
      </c>
      <c r="AH56" s="30">
        <v>1.18</v>
      </c>
      <c r="AI56" s="30">
        <v>1.37</v>
      </c>
      <c r="AJ56" s="30">
        <v>1.52</v>
      </c>
      <c r="AK56" s="30">
        <v>1.46</v>
      </c>
      <c r="AL56" s="30">
        <v>1.31</v>
      </c>
      <c r="AM56" s="30">
        <v>1.34</v>
      </c>
      <c r="AN56" s="30">
        <v>1.21</v>
      </c>
      <c r="AO56" s="30">
        <v>1.01</v>
      </c>
      <c r="AP56" s="30">
        <v>0.85</v>
      </c>
      <c r="AQ56" s="30">
        <v>0.51</v>
      </c>
      <c r="AR56" s="30">
        <v>0.25</v>
      </c>
      <c r="AS56" s="30">
        <v>0.08</v>
      </c>
      <c r="AT56" s="30">
        <v>-0.87</v>
      </c>
      <c r="AU56" s="30">
        <v>-1.47</v>
      </c>
      <c r="AV56" s="30">
        <v>-1.37</v>
      </c>
      <c r="AW56" s="30">
        <v>-1.36</v>
      </c>
      <c r="AX56" s="30">
        <v>-0.42</v>
      </c>
      <c r="AY56" s="30">
        <v>0.43</v>
      </c>
      <c r="AZ56" s="30">
        <v>0.56000000000000005</v>
      </c>
      <c r="BA56" s="30">
        <v>0.69</v>
      </c>
      <c r="BB56" s="30">
        <v>0.69</v>
      </c>
      <c r="BC56" s="30">
        <v>-1.17</v>
      </c>
      <c r="BD56" s="30">
        <v>-1.37</v>
      </c>
      <c r="BE56" s="30">
        <v>-1.45</v>
      </c>
      <c r="BF56" s="30">
        <v>-1.55</v>
      </c>
      <c r="BG56" s="30">
        <v>0.17</v>
      </c>
      <c r="BH56" s="30">
        <v>0.23</v>
      </c>
      <c r="BI56" s="30">
        <v>0.27</v>
      </c>
      <c r="BJ56" s="30">
        <v>0.36</v>
      </c>
      <c r="BK56" s="30">
        <v>0.36</v>
      </c>
      <c r="BL56" s="30">
        <v>0.33</v>
      </c>
      <c r="BM56" s="30">
        <v>0.31</v>
      </c>
      <c r="BN56" s="30">
        <v>0.3</v>
      </c>
      <c r="BO56" s="30">
        <v>0.25</v>
      </c>
      <c r="BP56" s="30">
        <v>0.24</v>
      </c>
      <c r="BQ56" s="30">
        <v>0.19</v>
      </c>
      <c r="BR56" s="30">
        <v>0.16</v>
      </c>
      <c r="BS56" s="30">
        <v>0.21</v>
      </c>
      <c r="BT56" s="30">
        <v>0.17</v>
      </c>
      <c r="BU56" s="30">
        <v>0.15</v>
      </c>
      <c r="BV56" s="30">
        <v>0.09</v>
      </c>
      <c r="BW56" s="30">
        <v>0.05</v>
      </c>
      <c r="BX56" s="30">
        <v>0.03</v>
      </c>
      <c r="BY56" s="30">
        <v>0.54</v>
      </c>
      <c r="BZ56" s="30">
        <v>0.61</v>
      </c>
      <c r="CA56" s="30">
        <v>0.6</v>
      </c>
      <c r="CB56" s="30">
        <v>0.57999999999999996</v>
      </c>
      <c r="CC56" s="30">
        <v>-0.54</v>
      </c>
      <c r="CD56" s="30">
        <v>-0.5</v>
      </c>
      <c r="CE56" s="30">
        <v>-0.53</v>
      </c>
      <c r="CF56" s="30">
        <v>-0.85</v>
      </c>
      <c r="CG56" s="30">
        <v>-0.195461</v>
      </c>
      <c r="CH56" s="30">
        <v>-0.23</v>
      </c>
      <c r="CI56" s="30">
        <v>-0.15</v>
      </c>
      <c r="CK56" s="15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</row>
    <row r="57" spans="1:110" x14ac:dyDescent="0.2">
      <c r="A57" s="14">
        <v>1</v>
      </c>
      <c r="C57" s="11" t="str">
        <f>IF(SUBTOTAL(109,A57)=A57,"Diluted EPS","Diluted EPS")</f>
        <v>Diluted EPS</v>
      </c>
      <c r="D57" s="28" t="str">
        <f t="shared" si="8"/>
        <v/>
      </c>
      <c r="E57" s="28" t="str">
        <f t="shared" si="9"/>
        <v/>
      </c>
      <c r="F57" s="28" t="str">
        <f t="shared" si="10"/>
        <v/>
      </c>
      <c r="G57" s="28" t="str">
        <f t="shared" si="11"/>
        <v/>
      </c>
      <c r="H57" s="28" t="str">
        <f t="shared" si="12"/>
        <v/>
      </c>
      <c r="I57" s="28" t="str">
        <f t="shared" si="13"/>
        <v/>
      </c>
      <c r="J57" s="28" t="str">
        <f t="shared" si="14"/>
        <v/>
      </c>
      <c r="K57" s="28" t="str">
        <f t="shared" si="15"/>
        <v/>
      </c>
      <c r="L57" s="28"/>
      <c r="M57" s="28" t="str">
        <f>IF(SUBTOTAL(109,A57)=A57,"",4.08)</f>
        <v/>
      </c>
      <c r="N57" s="28"/>
      <c r="O57" s="28"/>
      <c r="P57" s="28"/>
      <c r="Q57" s="28"/>
      <c r="R57" s="28" t="str">
        <f>IF(SUBTOTAL(109,A57)=A57,"",0.61)</f>
        <v/>
      </c>
      <c r="S57" s="28" t="str">
        <f>IF(SUBTOTAL(109,A57)=A57,"",0.55)</f>
        <v/>
      </c>
      <c r="T57" s="28" t="str">
        <f>IF(SUBTOTAL(109,A57)=A57,"",0.37)</f>
        <v/>
      </c>
      <c r="U57" s="28" t="str">
        <f>IF(SUBTOTAL(109,A57)=A57,"",0.73)</f>
        <v/>
      </c>
      <c r="V57" s="28" t="str">
        <f>IF(SUBTOTAL(109,A57)=A57,"",1.09)</f>
        <v/>
      </c>
      <c r="W57" s="28" t="str">
        <f>IF(SUBTOTAL(109,A57)=A57,"",1.6)</f>
        <v/>
      </c>
      <c r="X57" s="28" t="str">
        <f>IF(SUBTOTAL(109,A57)=A57,"",2.25)</f>
        <v/>
      </c>
      <c r="Y57" s="28" t="str">
        <f>IF(SUBTOTAL(109,A57)=A57,"",2.38)</f>
        <v/>
      </c>
      <c r="Z57" s="28" t="str">
        <f>IF(SUBTOTAL(109,A57)=A57,"",2.37)</f>
        <v/>
      </c>
      <c r="AA57" s="28" t="str">
        <f>IF(SUBTOTAL(109,A57)=A57,"",2.03)</f>
        <v/>
      </c>
      <c r="AB57" s="28" t="str">
        <f>IF(SUBTOTAL(109,A57)=A57,"",1.68)</f>
        <v/>
      </c>
      <c r="AC57" s="28" t="str">
        <f>IF(SUBTOTAL(109,A57)=A57,"",1.45)</f>
        <v/>
      </c>
      <c r="AD57" s="28" t="str">
        <f>IF(SUBTOTAL(109,A57)=A57,"",1.03)</f>
        <v/>
      </c>
      <c r="AE57" s="28" t="str">
        <f>IF(SUBTOTAL(109,A57)=A57,"",0.9)</f>
        <v/>
      </c>
      <c r="AF57" s="28" t="str">
        <f>IF(SUBTOTAL(109,A57)=A57,"",0.9)</f>
        <v/>
      </c>
      <c r="AG57" s="28" t="str">
        <f>IF(SUBTOTAL(109,A57)=A57,"",0.94)</f>
        <v/>
      </c>
      <c r="AH57" s="28" t="str">
        <f>IF(SUBTOTAL(109,A57)=A57,"",1.15)</f>
        <v/>
      </c>
      <c r="AI57" s="28" t="str">
        <f>IF(SUBTOTAL(109,A57)=A57,"",1.34)</f>
        <v/>
      </c>
      <c r="AJ57" s="28" t="str">
        <f>IF(SUBTOTAL(109,A57)=A57,"",1.49)</f>
        <v/>
      </c>
      <c r="AK57" s="28" t="str">
        <f>IF(SUBTOTAL(109,A57)=A57,"",1.42)</f>
        <v/>
      </c>
      <c r="AL57" s="28" t="str">
        <f>IF(SUBTOTAL(109,A57)=A57,"",1.28)</f>
        <v/>
      </c>
      <c r="AM57" s="28" t="str">
        <f>IF(SUBTOTAL(109,A57)=A57,"",1.31)</f>
        <v/>
      </c>
      <c r="AN57" s="28" t="str">
        <f>IF(SUBTOTAL(109,A57)=A57,"",1.18)</f>
        <v/>
      </c>
      <c r="AO57" s="28" t="str">
        <f>IF(SUBTOTAL(109,A57)=A57,"",0.99)</f>
        <v/>
      </c>
      <c r="AP57" s="28" t="str">
        <f>IF(SUBTOTAL(109,A57)=A57,"",0.84)</f>
        <v/>
      </c>
      <c r="AQ57" s="28" t="str">
        <f>IF(SUBTOTAL(109,A57)=A57,"",0.51)</f>
        <v/>
      </c>
      <c r="AR57" s="28" t="str">
        <f>IF(SUBTOTAL(109,A57)=A57,"",0.25)</f>
        <v/>
      </c>
      <c r="AS57" s="28" t="str">
        <f>IF(SUBTOTAL(109,A57)=A57,"",0.08)</f>
        <v/>
      </c>
      <c r="AT57" s="28" t="str">
        <f>IF(SUBTOTAL(109,A57)=A57,"",-0.87)</f>
        <v/>
      </c>
      <c r="AU57" s="28" t="str">
        <f>IF(SUBTOTAL(109,A57)=A57,"",-1.43)</f>
        <v/>
      </c>
      <c r="AV57" s="28" t="str">
        <f>IF(SUBTOTAL(109,A57)=A57,"",-1.37)</f>
        <v/>
      </c>
      <c r="AW57" s="28" t="str">
        <f>IF(SUBTOTAL(109,A57)=A57,"",-1.29)</f>
        <v/>
      </c>
      <c r="AX57" s="28" t="str">
        <f>IF(SUBTOTAL(109,A57)=A57,"",-0.41)</f>
        <v/>
      </c>
      <c r="AY57" s="28" t="str">
        <f>IF(SUBTOTAL(109,A57)=A57,"",0.41)</f>
        <v/>
      </c>
      <c r="AZ57" s="28" t="str">
        <f>IF(SUBTOTAL(109,A57)=A57,"",0.53)</f>
        <v/>
      </c>
      <c r="BA57" s="28" t="str">
        <f>IF(SUBTOTAL(109,A57)=A57,"",0.65)</f>
        <v/>
      </c>
      <c r="BB57" s="28" t="str">
        <f>IF(SUBTOTAL(109,A57)=A57,"",0.65)</f>
        <v/>
      </c>
      <c r="BC57" s="28" t="str">
        <f>IF(SUBTOTAL(109,A57)=A57,"",-1.19)</f>
        <v/>
      </c>
      <c r="BD57" s="28" t="str">
        <f>IF(SUBTOTAL(109,A57)=A57,"",-1.37)</f>
        <v/>
      </c>
      <c r="BE57" s="28" t="str">
        <f>IF(SUBTOTAL(109,A57)=A57,"",-1.46)</f>
        <v/>
      </c>
      <c r="BF57" s="28" t="str">
        <f>IF(SUBTOTAL(109,A57)=A57,"",-1.56)</f>
        <v/>
      </c>
      <c r="BG57" s="28" t="str">
        <f>IF(SUBTOTAL(109,A57)=A57,"",0.16)</f>
        <v/>
      </c>
      <c r="BH57" s="28" t="str">
        <f>IF(SUBTOTAL(109,A57)=A57,"",0.22)</f>
        <v/>
      </c>
      <c r="BI57" s="28" t="str">
        <f>IF(SUBTOTAL(109,A57)=A57,"",0.26)</f>
        <v/>
      </c>
      <c r="BJ57" s="28" t="str">
        <f>IF(SUBTOTAL(109,A57)=A57,"",0.34)</f>
        <v/>
      </c>
      <c r="BK57" s="28" t="str">
        <f>IF(SUBTOTAL(109,A57)=A57,"",0.34)</f>
        <v/>
      </c>
      <c r="BL57" s="28" t="str">
        <f>IF(SUBTOTAL(109,A57)=A57,"",0.31)</f>
        <v/>
      </c>
      <c r="BM57" s="28" t="str">
        <f>IF(SUBTOTAL(109,A57)=A57,"",0.3)</f>
        <v/>
      </c>
      <c r="BN57" s="28" t="str">
        <f>IF(SUBTOTAL(109,A57)=A57,"",0.28)</f>
        <v/>
      </c>
      <c r="BO57" s="28" t="str">
        <f>IF(SUBTOTAL(109,A57)=A57,"",0.23)</f>
        <v/>
      </c>
      <c r="BP57" s="28" t="str">
        <f>IF(SUBTOTAL(109,A57)=A57,"",0.22)</f>
        <v/>
      </c>
      <c r="BQ57" s="28" t="str">
        <f>IF(SUBTOTAL(109,A57)=A57,"",0.16)</f>
        <v/>
      </c>
      <c r="BR57" s="28" t="str">
        <f>IF(SUBTOTAL(109,A57)=A57,"",0.14)</f>
        <v/>
      </c>
      <c r="BS57" s="28" t="str">
        <f>IF(SUBTOTAL(109,A57)=A57,"",0.18)</f>
        <v/>
      </c>
      <c r="BT57" s="28" t="str">
        <f>IF(SUBTOTAL(109,A57)=A57,"",0.14)</f>
        <v/>
      </c>
      <c r="BU57" s="28" t="str">
        <f>IF(SUBTOTAL(109,A57)=A57,"",0.12)</f>
        <v/>
      </c>
      <c r="BV57" s="28" t="str">
        <f>IF(SUBTOTAL(109,A57)=A57,"",0.07)</f>
        <v/>
      </c>
      <c r="BW57" s="28" t="str">
        <f>IF(SUBTOTAL(109,A57)=A57,"",0.03)</f>
        <v/>
      </c>
      <c r="BX57" s="28" t="str">
        <f>IF(SUBTOTAL(109,A57)=A57,"",0.02)</f>
        <v/>
      </c>
      <c r="BY57" s="28" t="str">
        <f>IF(SUBTOTAL(109,A57)=A57,"",0.46)</f>
        <v/>
      </c>
      <c r="BZ57" s="28" t="str">
        <f>IF(SUBTOTAL(109,A57)=A57,"",0.52)</f>
        <v/>
      </c>
      <c r="CA57" s="28" t="str">
        <f>IF(SUBTOTAL(109,A57)=A57,"",0.52)</f>
        <v/>
      </c>
      <c r="CB57" s="28" t="str">
        <f>IF(SUBTOTAL(109,A57)=A57,"",0.49)</f>
        <v/>
      </c>
      <c r="CC57" s="28" t="str">
        <f>IF(SUBTOTAL(109,A57)=A57,"",-0.55)</f>
        <v/>
      </c>
      <c r="CD57" s="28" t="str">
        <f>IF(SUBTOTAL(109,A57)=A57,"",-0.504348)</f>
        <v/>
      </c>
      <c r="CE57" s="28" t="str">
        <f>IF(SUBTOTAL(109,A57)=A57,"",-0.537068)</f>
        <v/>
      </c>
      <c r="CF57" s="28" t="str">
        <f>IF(SUBTOTAL(109,A57)=A57,"",-0.85)</f>
        <v/>
      </c>
      <c r="CG57" s="28" t="str">
        <f>IF(SUBTOTAL(109,A57)=A57,"",-0.197295)</f>
        <v/>
      </c>
      <c r="CH57" s="28" t="str">
        <f>IF(SUBTOTAL(109,A57)=A57,"",-0.230637)</f>
        <v/>
      </c>
      <c r="CI57" s="28" t="str">
        <f>IF(SUBTOTAL(109,A57)=A57,"",-0.15)</f>
        <v/>
      </c>
      <c r="CK57" s="15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</row>
    <row r="58" spans="1:110" outlineLevel="1" x14ac:dyDescent="0.2">
      <c r="A58" s="14">
        <v>1</v>
      </c>
      <c r="C58" s="9" t="str">
        <f>"    Diluted EPS from Continuing Operations"</f>
        <v xml:space="preserve">    Diluted EPS from Continuing Operations</v>
      </c>
      <c r="D58" s="18">
        <f t="shared" si="8"/>
        <v>0.37</v>
      </c>
      <c r="E58" s="18">
        <f t="shared" si="9"/>
        <v>0.58110185333333353</v>
      </c>
      <c r="F58" s="18">
        <f t="shared" si="10"/>
        <v>-1.56</v>
      </c>
      <c r="G58" s="18">
        <f t="shared" si="11"/>
        <v>4.5600000000000005</v>
      </c>
      <c r="H58" s="18">
        <f t="shared" si="12"/>
        <v>0.13500000000000001</v>
      </c>
      <c r="I58" s="18">
        <f t="shared" si="13"/>
        <v>1.0449999999999999</v>
      </c>
      <c r="J58" s="18">
        <f t="shared" si="14"/>
        <v>1.0096756027020881</v>
      </c>
      <c r="K58" s="18">
        <f t="shared" si="15"/>
        <v>1.737519157631932</v>
      </c>
      <c r="L58" s="22"/>
      <c r="M58" s="22">
        <v>4.08</v>
      </c>
      <c r="N58" s="22">
        <v>4.5600000000000005</v>
      </c>
      <c r="O58" s="22">
        <v>1.0623717500000001</v>
      </c>
      <c r="P58" s="22">
        <v>0.31461525000000001</v>
      </c>
      <c r="Q58" s="22">
        <v>0.56500000000000006</v>
      </c>
      <c r="R58" s="22">
        <v>0.61</v>
      </c>
      <c r="S58" s="22">
        <v>0.55000000000000004</v>
      </c>
      <c r="T58" s="22">
        <v>0.37</v>
      </c>
      <c r="U58" s="22">
        <v>0.73</v>
      </c>
      <c r="V58" s="22">
        <v>1.0900000000000001</v>
      </c>
      <c r="W58" s="22">
        <v>1.6</v>
      </c>
      <c r="X58" s="22">
        <v>2.25</v>
      </c>
      <c r="Y58" s="22">
        <v>2.38</v>
      </c>
      <c r="Z58" s="22">
        <v>2.37</v>
      </c>
      <c r="AA58" s="22">
        <v>2.0299999999999998</v>
      </c>
      <c r="AB58" s="22">
        <v>1.68</v>
      </c>
      <c r="AC58" s="22">
        <v>1.45</v>
      </c>
      <c r="AD58" s="22">
        <v>1.03</v>
      </c>
      <c r="AE58" s="22">
        <v>0.9</v>
      </c>
      <c r="AF58" s="22">
        <v>0.9</v>
      </c>
      <c r="AG58" s="22">
        <v>0.94</v>
      </c>
      <c r="AH58" s="22">
        <v>1.1399999999999999</v>
      </c>
      <c r="AI58" s="22">
        <v>1.33</v>
      </c>
      <c r="AJ58" s="22">
        <v>1.47</v>
      </c>
      <c r="AK58" s="22">
        <v>1.47</v>
      </c>
      <c r="AL58" s="22">
        <v>1.39</v>
      </c>
      <c r="AM58" s="22">
        <v>1.34</v>
      </c>
      <c r="AN58" s="22">
        <v>1.22</v>
      </c>
      <c r="AO58" s="22">
        <v>1.06</v>
      </c>
      <c r="AP58" s="22">
        <v>0.88</v>
      </c>
      <c r="AQ58" s="22">
        <v>0.64</v>
      </c>
      <c r="AR58" s="22">
        <v>0.4</v>
      </c>
      <c r="AS58" s="22">
        <v>0.2</v>
      </c>
      <c r="AT58" s="22">
        <v>7.0000000000000007E-2</v>
      </c>
      <c r="AU58" s="22">
        <v>0.1</v>
      </c>
      <c r="AV58" s="22">
        <v>0.13</v>
      </c>
      <c r="AW58" s="22">
        <v>0.1</v>
      </c>
      <c r="AX58" s="22">
        <v>0.19</v>
      </c>
      <c r="AY58" s="22">
        <v>0.41</v>
      </c>
      <c r="AZ58" s="22">
        <v>0.37</v>
      </c>
      <c r="BA58" s="22">
        <v>0.65</v>
      </c>
      <c r="BB58" s="22">
        <v>0.65</v>
      </c>
      <c r="BC58" s="22">
        <v>-1.19</v>
      </c>
      <c r="BD58" s="22">
        <v>-1.37</v>
      </c>
      <c r="BE58" s="22">
        <v>-1.46</v>
      </c>
      <c r="BF58" s="22">
        <v>-1.56</v>
      </c>
      <c r="BG58" s="22">
        <v>0.16</v>
      </c>
      <c r="BH58" s="22">
        <v>0.22</v>
      </c>
      <c r="BI58" s="22">
        <v>0.26</v>
      </c>
      <c r="BJ58" s="22">
        <v>0.34</v>
      </c>
      <c r="BK58" s="22">
        <v>0.34</v>
      </c>
      <c r="BL58" s="22">
        <v>0.31</v>
      </c>
      <c r="BM58" s="22">
        <v>0.3</v>
      </c>
      <c r="BN58" s="22">
        <v>0.28000000000000003</v>
      </c>
      <c r="BO58" s="22">
        <v>0.23</v>
      </c>
      <c r="BP58" s="22">
        <v>0.22</v>
      </c>
      <c r="BQ58" s="22">
        <v>0.16</v>
      </c>
      <c r="BR58" s="22">
        <v>0.14000000000000001</v>
      </c>
      <c r="BS58" s="22">
        <v>0.18</v>
      </c>
      <c r="BT58" s="22">
        <v>0.14000000000000001</v>
      </c>
      <c r="BU58" s="22">
        <v>0.12</v>
      </c>
      <c r="BV58" s="22">
        <v>7.0000000000000007E-2</v>
      </c>
      <c r="BW58" s="22">
        <v>0.03</v>
      </c>
      <c r="BX58" s="22">
        <v>0.02</v>
      </c>
      <c r="BY58" s="22">
        <v>0.46</v>
      </c>
      <c r="BZ58" s="22">
        <v>0.52</v>
      </c>
      <c r="CA58" s="22">
        <v>0.52</v>
      </c>
      <c r="CB58" s="22">
        <v>0.49</v>
      </c>
      <c r="CC58" s="22">
        <v>-0.55000000000000004</v>
      </c>
      <c r="CD58" s="22">
        <v>-0.50434800000000002</v>
      </c>
      <c r="CE58" s="22">
        <v>-0.53706799999999999</v>
      </c>
      <c r="CF58" s="22">
        <v>-0.85</v>
      </c>
      <c r="CG58" s="22">
        <v>-0.197295</v>
      </c>
      <c r="CH58" s="22">
        <v>-0.23063700000000001</v>
      </c>
      <c r="CI58" s="22">
        <v>-0.15</v>
      </c>
      <c r="CK58" s="15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</row>
    <row r="59" spans="1:110" outlineLevel="1" x14ac:dyDescent="0.2">
      <c r="A59" s="14">
        <v>1</v>
      </c>
      <c r="C59" s="9" t="str">
        <f>"    Diluted EPS from Discontinued Operations"</f>
        <v xml:space="preserve">    Diluted EPS from Discontinued Operations</v>
      </c>
      <c r="D59" s="18">
        <f t="shared" si="8"/>
        <v>-0.04</v>
      </c>
      <c r="E59" s="18">
        <f t="shared" si="9"/>
        <v>-0.26697319345238096</v>
      </c>
      <c r="F59" s="18">
        <f t="shared" si="10"/>
        <v>-1.51</v>
      </c>
      <c r="G59" s="18">
        <f t="shared" si="11"/>
        <v>0.19</v>
      </c>
      <c r="H59" s="18">
        <f t="shared" si="12"/>
        <v>-0.1879825</v>
      </c>
      <c r="I59" s="18">
        <f t="shared" si="13"/>
        <v>-7.4999999999999997E-3</v>
      </c>
      <c r="J59" s="18">
        <f t="shared" si="14"/>
        <v>0.49026970577713747</v>
      </c>
      <c r="K59" s="18">
        <f t="shared" si="15"/>
        <v>-1.8364004993804184</v>
      </c>
      <c r="L59" s="22"/>
      <c r="M59" s="22">
        <v>0</v>
      </c>
      <c r="N59" s="22">
        <v>-0.30192999999999998</v>
      </c>
      <c r="O59" s="22">
        <v>-1.1523077500000001</v>
      </c>
      <c r="P59" s="22">
        <v>-0.13961066666666669</v>
      </c>
      <c r="Q59" s="22"/>
      <c r="R59" s="22" t="s">
        <v>165</v>
      </c>
      <c r="S59" s="22" t="s">
        <v>165</v>
      </c>
      <c r="T59" s="22" t="s">
        <v>165</v>
      </c>
      <c r="U59" s="22" t="s">
        <v>165</v>
      </c>
      <c r="V59" s="22" t="s">
        <v>165</v>
      </c>
      <c r="W59" s="22" t="s">
        <v>165</v>
      </c>
      <c r="X59" s="22" t="s">
        <v>165</v>
      </c>
      <c r="Y59" s="22" t="s">
        <v>165</v>
      </c>
      <c r="Z59" s="22" t="s">
        <v>165</v>
      </c>
      <c r="AA59" s="22" t="s">
        <v>165</v>
      </c>
      <c r="AB59" s="22" t="s">
        <v>165</v>
      </c>
      <c r="AC59" s="22">
        <v>-0.01</v>
      </c>
      <c r="AD59" s="22">
        <v>-0.01</v>
      </c>
      <c r="AE59" s="22">
        <v>-0.01</v>
      </c>
      <c r="AF59" s="22">
        <v>-0.01</v>
      </c>
      <c r="AG59" s="22">
        <v>0.01</v>
      </c>
      <c r="AH59" s="22">
        <v>1.5816E-2</v>
      </c>
      <c r="AI59" s="22">
        <v>1.259E-2</v>
      </c>
      <c r="AJ59" s="22">
        <v>0.01</v>
      </c>
      <c r="AK59" s="22">
        <v>-0.04</v>
      </c>
      <c r="AL59" s="22">
        <v>-9.3358999999999998E-2</v>
      </c>
      <c r="AM59" s="22">
        <v>-2.0763E-2</v>
      </c>
      <c r="AN59" s="22">
        <v>-0.04</v>
      </c>
      <c r="AO59" s="22">
        <v>-0.06</v>
      </c>
      <c r="AP59" s="22">
        <v>-0.02</v>
      </c>
      <c r="AQ59" s="22">
        <v>-0.14000000000000001</v>
      </c>
      <c r="AR59" s="22">
        <v>-0.15</v>
      </c>
      <c r="AS59" s="22">
        <v>-0.12</v>
      </c>
      <c r="AT59" s="22">
        <v>-0.93</v>
      </c>
      <c r="AU59" s="22">
        <v>-1.51</v>
      </c>
      <c r="AV59" s="22">
        <v>-1.43</v>
      </c>
      <c r="AW59" s="22">
        <v>-1.2328479999999999</v>
      </c>
      <c r="AX59" s="22">
        <v>-0.450077</v>
      </c>
      <c r="AY59" s="22">
        <v>0.15723999999999999</v>
      </c>
      <c r="AZ59" s="22">
        <v>0.19</v>
      </c>
      <c r="BA59" s="22" t="s">
        <v>165</v>
      </c>
      <c r="BB59" s="22" t="s">
        <v>165</v>
      </c>
      <c r="BC59" s="22" t="s">
        <v>165</v>
      </c>
      <c r="BD59" s="22" t="s">
        <v>165</v>
      </c>
      <c r="BE59" s="22" t="s">
        <v>165</v>
      </c>
      <c r="BF59" s="22" t="s">
        <v>165</v>
      </c>
      <c r="BG59" s="22" t="s">
        <v>165</v>
      </c>
      <c r="BH59" s="22" t="s">
        <v>165</v>
      </c>
      <c r="BI59" s="22" t="s">
        <v>165</v>
      </c>
      <c r="BJ59" s="22" t="s">
        <v>165</v>
      </c>
      <c r="BK59" s="22" t="s">
        <v>165</v>
      </c>
      <c r="BL59" s="22" t="s">
        <v>165</v>
      </c>
      <c r="BM59" s="22" t="s">
        <v>165</v>
      </c>
      <c r="BN59" s="22" t="s">
        <v>165</v>
      </c>
      <c r="BO59" s="22" t="s">
        <v>165</v>
      </c>
      <c r="BP59" s="22" t="s">
        <v>165</v>
      </c>
      <c r="BQ59" s="22" t="s">
        <v>165</v>
      </c>
      <c r="BR59" s="22" t="s">
        <v>165</v>
      </c>
      <c r="BS59" s="22" t="s">
        <v>165</v>
      </c>
      <c r="BT59" s="22" t="s">
        <v>165</v>
      </c>
      <c r="BU59" s="22" t="s">
        <v>165</v>
      </c>
      <c r="BV59" s="22" t="s">
        <v>165</v>
      </c>
      <c r="BW59" s="22" t="s">
        <v>165</v>
      </c>
      <c r="BX59" s="22" t="s">
        <v>165</v>
      </c>
      <c r="BY59" s="22" t="s">
        <v>165</v>
      </c>
      <c r="BZ59" s="22" t="s">
        <v>165</v>
      </c>
      <c r="CA59" s="22" t="s">
        <v>165</v>
      </c>
      <c r="CB59" s="22" t="s">
        <v>165</v>
      </c>
      <c r="CC59" s="22" t="s">
        <v>165</v>
      </c>
      <c r="CD59" s="22" t="s">
        <v>165</v>
      </c>
      <c r="CE59" s="22" t="s">
        <v>165</v>
      </c>
      <c r="CF59" s="22" t="s">
        <v>165</v>
      </c>
      <c r="CG59" s="22" t="s">
        <v>165</v>
      </c>
      <c r="CH59" s="22" t="s">
        <v>165</v>
      </c>
      <c r="CI59" s="22" t="s">
        <v>165</v>
      </c>
      <c r="CK59" s="15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</row>
    <row r="60" spans="1:110" outlineLevel="1" x14ac:dyDescent="0.2">
      <c r="A60" s="14">
        <v>1</v>
      </c>
      <c r="C60" s="11" t="str">
        <f>"    Total Diluted EPS"</f>
        <v xml:space="preserve">    Total Diluted EPS</v>
      </c>
      <c r="D60" s="30">
        <f t="shared" si="8"/>
        <v>0.34</v>
      </c>
      <c r="E60" s="30">
        <f t="shared" si="9"/>
        <v>0.47357536000000028</v>
      </c>
      <c r="F60" s="30">
        <f t="shared" si="10"/>
        <v>-1.56</v>
      </c>
      <c r="G60" s="30">
        <f t="shared" si="11"/>
        <v>4.2524999999999995</v>
      </c>
      <c r="H60" s="30">
        <f t="shared" si="12"/>
        <v>0.05</v>
      </c>
      <c r="I60" s="30">
        <f t="shared" si="13"/>
        <v>0.96499999999999997</v>
      </c>
      <c r="J60" s="30">
        <f t="shared" si="14"/>
        <v>1.0757859308970554</v>
      </c>
      <c r="K60" s="30">
        <f t="shared" si="15"/>
        <v>2.2716256413700551</v>
      </c>
      <c r="L60" s="30"/>
      <c r="M60" s="30">
        <v>4.08</v>
      </c>
      <c r="N60" s="29">
        <v>4.2524999999999995</v>
      </c>
      <c r="O60" s="29">
        <v>-9.5000000000000001E-2</v>
      </c>
      <c r="P60" s="29">
        <v>0.21500000000000002</v>
      </c>
      <c r="Q60" s="29">
        <v>0.56500000000000006</v>
      </c>
      <c r="R60" s="30">
        <v>0.61</v>
      </c>
      <c r="S60" s="30">
        <v>0.55000000000000004</v>
      </c>
      <c r="T60" s="30">
        <v>0.37</v>
      </c>
      <c r="U60" s="30">
        <v>0.73</v>
      </c>
      <c r="V60" s="30">
        <v>1.0900000000000001</v>
      </c>
      <c r="W60" s="30">
        <v>1.6</v>
      </c>
      <c r="X60" s="30">
        <v>2.25</v>
      </c>
      <c r="Y60" s="30">
        <v>2.38</v>
      </c>
      <c r="Z60" s="30">
        <v>2.37</v>
      </c>
      <c r="AA60" s="30">
        <v>2.0299999999999998</v>
      </c>
      <c r="AB60" s="30">
        <v>1.68</v>
      </c>
      <c r="AC60" s="30">
        <v>1.45</v>
      </c>
      <c r="AD60" s="30">
        <v>1.03</v>
      </c>
      <c r="AE60" s="30">
        <v>0.9</v>
      </c>
      <c r="AF60" s="30">
        <v>0.9</v>
      </c>
      <c r="AG60" s="30">
        <v>0.94</v>
      </c>
      <c r="AH60" s="30">
        <v>1.1499999999999999</v>
      </c>
      <c r="AI60" s="30">
        <v>1.34</v>
      </c>
      <c r="AJ60" s="30">
        <v>1.49</v>
      </c>
      <c r="AK60" s="30">
        <v>1.42</v>
      </c>
      <c r="AL60" s="30">
        <v>1.28</v>
      </c>
      <c r="AM60" s="30">
        <v>1.31</v>
      </c>
      <c r="AN60" s="30">
        <v>1.18</v>
      </c>
      <c r="AO60" s="30">
        <v>0.99</v>
      </c>
      <c r="AP60" s="30">
        <v>0.84</v>
      </c>
      <c r="AQ60" s="30">
        <v>0.51</v>
      </c>
      <c r="AR60" s="30">
        <v>0.25</v>
      </c>
      <c r="AS60" s="30">
        <v>0.08</v>
      </c>
      <c r="AT60" s="30">
        <v>-0.87</v>
      </c>
      <c r="AU60" s="30">
        <v>-1.43</v>
      </c>
      <c r="AV60" s="30">
        <v>-1.37</v>
      </c>
      <c r="AW60" s="30">
        <v>-1.29</v>
      </c>
      <c r="AX60" s="30">
        <v>-0.41</v>
      </c>
      <c r="AY60" s="30">
        <v>0.41</v>
      </c>
      <c r="AZ60" s="30">
        <v>0.53</v>
      </c>
      <c r="BA60" s="30">
        <v>0.65</v>
      </c>
      <c r="BB60" s="30">
        <v>0.65</v>
      </c>
      <c r="BC60" s="30">
        <v>-1.19</v>
      </c>
      <c r="BD60" s="30">
        <v>-1.37</v>
      </c>
      <c r="BE60" s="30">
        <v>-1.46</v>
      </c>
      <c r="BF60" s="30">
        <v>-1.56</v>
      </c>
      <c r="BG60" s="30">
        <v>0.16</v>
      </c>
      <c r="BH60" s="30">
        <v>0.22</v>
      </c>
      <c r="BI60" s="30">
        <v>0.26</v>
      </c>
      <c r="BJ60" s="30">
        <v>0.34</v>
      </c>
      <c r="BK60" s="30">
        <v>0.34</v>
      </c>
      <c r="BL60" s="30">
        <v>0.31</v>
      </c>
      <c r="BM60" s="30">
        <v>0.3</v>
      </c>
      <c r="BN60" s="30">
        <v>0.28000000000000003</v>
      </c>
      <c r="BO60" s="30">
        <v>0.23</v>
      </c>
      <c r="BP60" s="30">
        <v>0.22</v>
      </c>
      <c r="BQ60" s="30">
        <v>0.16</v>
      </c>
      <c r="BR60" s="30">
        <v>0.14000000000000001</v>
      </c>
      <c r="BS60" s="30">
        <v>0.18</v>
      </c>
      <c r="BT60" s="30">
        <v>0.14000000000000001</v>
      </c>
      <c r="BU60" s="30">
        <v>0.12</v>
      </c>
      <c r="BV60" s="30">
        <v>7.0000000000000007E-2</v>
      </c>
      <c r="BW60" s="30">
        <v>0.03</v>
      </c>
      <c r="BX60" s="30">
        <v>0.02</v>
      </c>
      <c r="BY60" s="30">
        <v>0.46</v>
      </c>
      <c r="BZ60" s="30">
        <v>0.52</v>
      </c>
      <c r="CA60" s="30">
        <v>0.52</v>
      </c>
      <c r="CB60" s="30">
        <v>0.49</v>
      </c>
      <c r="CC60" s="30">
        <v>-0.55000000000000004</v>
      </c>
      <c r="CD60" s="30">
        <v>-0.50434800000000002</v>
      </c>
      <c r="CE60" s="30">
        <v>-0.53706799999999999</v>
      </c>
      <c r="CF60" s="30">
        <v>-0.85</v>
      </c>
      <c r="CG60" s="30">
        <v>-0.197295</v>
      </c>
      <c r="CH60" s="30">
        <v>-0.23063700000000001</v>
      </c>
      <c r="CI60" s="30">
        <v>-0.15</v>
      </c>
      <c r="CK60" s="15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</row>
    <row r="61" spans="1:110" x14ac:dyDescent="0.2">
      <c r="A61" s="14">
        <v>1</v>
      </c>
      <c r="C61" s="11" t="str">
        <f>"Basic Weighted Average Shares Outstanding"</f>
        <v>Basic Weighted Average Shares Outstanding</v>
      </c>
      <c r="D61" s="27">
        <f t="shared" si="8"/>
        <v>53988000</v>
      </c>
      <c r="E61" s="27">
        <f t="shared" si="9"/>
        <v>46776975.039999999</v>
      </c>
      <c r="F61" s="27">
        <f t="shared" si="10"/>
        <v>8426412</v>
      </c>
      <c r="G61" s="27">
        <f t="shared" si="11"/>
        <v>65355750</v>
      </c>
      <c r="H61" s="27">
        <f t="shared" si="12"/>
        <v>35648206</v>
      </c>
      <c r="I61" s="27">
        <f t="shared" si="13"/>
        <v>55985000</v>
      </c>
      <c r="J61" s="27">
        <f t="shared" si="14"/>
        <v>14296858.084048567</v>
      </c>
      <c r="K61" s="28">
        <f t="shared" si="15"/>
        <v>0.30563879070467931</v>
      </c>
      <c r="L61" s="27"/>
      <c r="M61" s="27">
        <v>47227000</v>
      </c>
      <c r="N61" s="27">
        <v>53445875</v>
      </c>
      <c r="O61" s="27">
        <v>55097000</v>
      </c>
      <c r="P61" s="27">
        <v>54540125</v>
      </c>
      <c r="Q61" s="27">
        <v>54198750</v>
      </c>
      <c r="R61" s="27">
        <v>54271000</v>
      </c>
      <c r="S61" s="27">
        <v>54171000</v>
      </c>
      <c r="T61" s="27">
        <v>54061000</v>
      </c>
      <c r="U61" s="27">
        <v>54292000</v>
      </c>
      <c r="V61" s="27">
        <v>54847500</v>
      </c>
      <c r="W61" s="27">
        <v>55394000</v>
      </c>
      <c r="X61" s="27">
        <v>55930000</v>
      </c>
      <c r="Y61" s="27">
        <v>56040000</v>
      </c>
      <c r="Z61" s="27">
        <v>55668500</v>
      </c>
      <c r="AA61" s="27">
        <v>55222750</v>
      </c>
      <c r="AB61" s="27">
        <v>54765000</v>
      </c>
      <c r="AC61" s="27">
        <v>54344250</v>
      </c>
      <c r="AD61" s="27">
        <v>54060500</v>
      </c>
      <c r="AE61" s="27">
        <v>53835250</v>
      </c>
      <c r="AF61" s="27">
        <v>53988000</v>
      </c>
      <c r="AG61" s="27">
        <v>54331500</v>
      </c>
      <c r="AH61" s="27">
        <v>54796500</v>
      </c>
      <c r="AI61" s="27">
        <v>56316500</v>
      </c>
      <c r="AJ61" s="27">
        <v>58668000</v>
      </c>
      <c r="AK61" s="27">
        <v>60923500</v>
      </c>
      <c r="AL61" s="27">
        <v>63315000</v>
      </c>
      <c r="AM61" s="27">
        <v>64875750</v>
      </c>
      <c r="AN61" s="27">
        <v>65155000</v>
      </c>
      <c r="AO61" s="27">
        <v>65355750</v>
      </c>
      <c r="AP61" s="27">
        <v>65287000</v>
      </c>
      <c r="AQ61" s="27">
        <v>64993750</v>
      </c>
      <c r="AR61" s="27">
        <v>64788000</v>
      </c>
      <c r="AS61" s="27">
        <v>64082500</v>
      </c>
      <c r="AT61" s="27">
        <v>62926000</v>
      </c>
      <c r="AU61" s="27">
        <v>61769250</v>
      </c>
      <c r="AV61" s="27">
        <v>60622000</v>
      </c>
      <c r="AW61" s="27">
        <v>60004000</v>
      </c>
      <c r="AX61" s="27">
        <v>59872000</v>
      </c>
      <c r="AY61" s="27">
        <v>59735250</v>
      </c>
      <c r="AZ61" s="27">
        <v>58195000</v>
      </c>
      <c r="BA61" s="27">
        <v>55113500</v>
      </c>
      <c r="BB61" s="27">
        <v>51995695</v>
      </c>
      <c r="BC61" s="27">
        <v>48881144</v>
      </c>
      <c r="BD61" s="27">
        <v>46802000</v>
      </c>
      <c r="BE61" s="27">
        <v>46725329</v>
      </c>
      <c r="BF61" s="27">
        <v>45010697</v>
      </c>
      <c r="BG61" s="27">
        <v>43315693</v>
      </c>
      <c r="BH61" s="27">
        <v>41938710</v>
      </c>
      <c r="BI61" s="27">
        <v>40087689</v>
      </c>
      <c r="BJ61" s="27">
        <v>39902144</v>
      </c>
      <c r="BK61" s="27">
        <v>39782092</v>
      </c>
      <c r="BL61" s="27">
        <v>39655459</v>
      </c>
      <c r="BM61" s="27">
        <v>39516157</v>
      </c>
      <c r="BN61" s="27">
        <v>39405803</v>
      </c>
      <c r="BO61" s="27">
        <v>38419365</v>
      </c>
      <c r="BP61" s="27">
        <v>36586794</v>
      </c>
      <c r="BQ61" s="27">
        <v>34709618</v>
      </c>
      <c r="BR61" s="27">
        <v>32782755</v>
      </c>
      <c r="BS61" s="27">
        <v>31637983</v>
      </c>
      <c r="BT61" s="27">
        <v>31361009</v>
      </c>
      <c r="BU61" s="27">
        <v>31152173</v>
      </c>
      <c r="BV61" s="27">
        <v>30967951</v>
      </c>
      <c r="BW61" s="27">
        <v>30816462</v>
      </c>
      <c r="BX61" s="27">
        <v>27742833</v>
      </c>
      <c r="BY61" s="27">
        <v>30578685</v>
      </c>
      <c r="BZ61" s="27">
        <v>30336494</v>
      </c>
      <c r="CA61" s="27">
        <v>30094422</v>
      </c>
      <c r="CB61" s="27">
        <v>29860228</v>
      </c>
      <c r="CC61" s="27">
        <v>28739386</v>
      </c>
      <c r="CD61" s="27">
        <v>26149565</v>
      </c>
      <c r="CE61" s="27">
        <v>23410654</v>
      </c>
      <c r="CF61" s="27">
        <v>20878937</v>
      </c>
      <c r="CG61" s="27">
        <v>13055603</v>
      </c>
      <c r="CH61" s="27">
        <v>11021937</v>
      </c>
      <c r="CI61" s="27">
        <v>8426412</v>
      </c>
      <c r="CK61" s="15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</row>
    <row r="62" spans="1:110" x14ac:dyDescent="0.2">
      <c r="A62" s="14">
        <v>1</v>
      </c>
      <c r="C62" s="11" t="str">
        <f>"Diluted Weighted Average Shares Outstanding"</f>
        <v>Diluted Weighted Average Shares Outstanding</v>
      </c>
      <c r="D62" s="27">
        <f t="shared" si="8"/>
        <v>55005250</v>
      </c>
      <c r="E62" s="27">
        <f t="shared" si="9"/>
        <v>49040718.593333334</v>
      </c>
      <c r="F62" s="27">
        <f t="shared" si="10"/>
        <v>8426412</v>
      </c>
      <c r="G62" s="27">
        <f t="shared" si="11"/>
        <v>68593250</v>
      </c>
      <c r="H62" s="27">
        <f t="shared" si="12"/>
        <v>40104580.5</v>
      </c>
      <c r="I62" s="27">
        <f t="shared" si="13"/>
        <v>57373125</v>
      </c>
      <c r="J62" s="27">
        <f t="shared" si="14"/>
        <v>14118370.362354478</v>
      </c>
      <c r="K62" s="28">
        <f t="shared" si="15"/>
        <v>0.28789077255229595</v>
      </c>
      <c r="L62" s="27"/>
      <c r="M62" s="27">
        <v>47728000</v>
      </c>
      <c r="N62" s="27">
        <v>53929875</v>
      </c>
      <c r="O62" s="27">
        <v>55604062.5</v>
      </c>
      <c r="P62" s="27">
        <v>55142875</v>
      </c>
      <c r="Q62" s="27">
        <v>55005250</v>
      </c>
      <c r="R62" s="27">
        <v>54957500</v>
      </c>
      <c r="S62" s="27">
        <v>55090500</v>
      </c>
      <c r="T62" s="27">
        <v>54834000</v>
      </c>
      <c r="U62" s="27">
        <v>55139000</v>
      </c>
      <c r="V62" s="27">
        <v>55718500</v>
      </c>
      <c r="W62" s="27">
        <v>56146500</v>
      </c>
      <c r="X62" s="27">
        <v>56891000</v>
      </c>
      <c r="Y62" s="27">
        <v>57001500</v>
      </c>
      <c r="Z62" s="27">
        <v>56727000</v>
      </c>
      <c r="AA62" s="27">
        <v>56316500</v>
      </c>
      <c r="AB62" s="27">
        <v>55965000</v>
      </c>
      <c r="AC62" s="27">
        <v>55622500</v>
      </c>
      <c r="AD62" s="27">
        <v>55321000</v>
      </c>
      <c r="AE62" s="27">
        <v>55061000</v>
      </c>
      <c r="AF62" s="27">
        <v>55228000</v>
      </c>
      <c r="AG62" s="27">
        <v>55008750</v>
      </c>
      <c r="AH62" s="27">
        <v>55956000</v>
      </c>
      <c r="AI62" s="27">
        <v>57744750</v>
      </c>
      <c r="AJ62" s="27">
        <v>60114000</v>
      </c>
      <c r="AK62" s="27">
        <v>63009000</v>
      </c>
      <c r="AL62" s="27">
        <v>65060500</v>
      </c>
      <c r="AM62" s="27">
        <v>66348000</v>
      </c>
      <c r="AN62" s="27">
        <v>66642000</v>
      </c>
      <c r="AO62" s="27">
        <v>68593250</v>
      </c>
      <c r="AP62" s="27">
        <v>68169000</v>
      </c>
      <c r="AQ62" s="27">
        <v>67741000</v>
      </c>
      <c r="AR62" s="27">
        <v>67277000</v>
      </c>
      <c r="AS62" s="27">
        <v>64082500</v>
      </c>
      <c r="AT62" s="27">
        <v>62926000</v>
      </c>
      <c r="AU62" s="27">
        <v>61769250</v>
      </c>
      <c r="AV62" s="27">
        <v>63621000</v>
      </c>
      <c r="AW62" s="27">
        <v>64147250</v>
      </c>
      <c r="AX62" s="27">
        <v>64596500</v>
      </c>
      <c r="AY62" s="27">
        <v>66948750</v>
      </c>
      <c r="AZ62" s="27">
        <v>65456000</v>
      </c>
      <c r="BA62" s="27">
        <v>60567500</v>
      </c>
      <c r="BB62" s="27">
        <v>55652195</v>
      </c>
      <c r="BC62" s="27">
        <v>50427941</v>
      </c>
      <c r="BD62" s="27">
        <v>46802000</v>
      </c>
      <c r="BE62" s="27">
        <v>46725329</v>
      </c>
      <c r="BF62" s="27">
        <v>45010697</v>
      </c>
      <c r="BG62" s="27">
        <v>43315693</v>
      </c>
      <c r="BH62" s="27">
        <v>41938710</v>
      </c>
      <c r="BI62" s="27">
        <v>41758661</v>
      </c>
      <c r="BJ62" s="27">
        <v>44835107</v>
      </c>
      <c r="BK62" s="27">
        <v>43153849</v>
      </c>
      <c r="BL62" s="27">
        <v>41401106</v>
      </c>
      <c r="BM62" s="27">
        <v>41231383</v>
      </c>
      <c r="BN62" s="27">
        <v>40846014</v>
      </c>
      <c r="BO62" s="27">
        <v>40422116</v>
      </c>
      <c r="BP62" s="27">
        <v>39787045</v>
      </c>
      <c r="BQ62" s="27">
        <v>39023638</v>
      </c>
      <c r="BR62" s="27">
        <v>38141923</v>
      </c>
      <c r="BS62" s="27">
        <v>37233472</v>
      </c>
      <c r="BT62" s="27">
        <v>36636170</v>
      </c>
      <c r="BU62" s="27">
        <v>40827810</v>
      </c>
      <c r="BV62" s="27">
        <v>36205750</v>
      </c>
      <c r="BW62" s="27">
        <v>36556949</v>
      </c>
      <c r="BX62" s="27">
        <v>30685493</v>
      </c>
      <c r="BY62" s="27">
        <v>31572746</v>
      </c>
      <c r="BZ62" s="27">
        <v>39396921</v>
      </c>
      <c r="CA62" s="27">
        <v>37361786</v>
      </c>
      <c r="CB62" s="27">
        <v>35372633</v>
      </c>
      <c r="CC62" s="27">
        <v>33580087</v>
      </c>
      <c r="CD62" s="27">
        <v>26149565</v>
      </c>
      <c r="CE62" s="27">
        <v>23410654</v>
      </c>
      <c r="CF62" s="27">
        <v>20878937</v>
      </c>
      <c r="CG62" s="27">
        <v>13055603</v>
      </c>
      <c r="CH62" s="27">
        <v>11021937</v>
      </c>
      <c r="CI62" s="27">
        <v>8426412</v>
      </c>
      <c r="CK62" s="15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</row>
    <row r="63" spans="1:110" x14ac:dyDescent="0.2">
      <c r="A63" s="14">
        <v>1</v>
      </c>
      <c r="C63" s="11" t="str">
        <f>"Income Statement Supplemental Section"</f>
        <v>Income Statement Supplemental Section</v>
      </c>
      <c r="D63" s="28"/>
      <c r="E63" s="28"/>
      <c r="F63" s="28"/>
      <c r="G63" s="28"/>
      <c r="H63" s="28"/>
      <c r="I63" s="28"/>
      <c r="J63" s="28"/>
      <c r="K63" s="28"/>
      <c r="L63" s="28"/>
      <c r="M63" s="28" t="s">
        <v>165</v>
      </c>
      <c r="N63" s="27"/>
      <c r="O63" s="27"/>
      <c r="P63" s="27"/>
      <c r="Q63" s="27"/>
      <c r="R63" s="28" t="s">
        <v>165</v>
      </c>
      <c r="S63" s="28" t="s">
        <v>165</v>
      </c>
      <c r="T63" s="28" t="s">
        <v>165</v>
      </c>
      <c r="U63" s="28" t="s">
        <v>165</v>
      </c>
      <c r="V63" s="28" t="s">
        <v>165</v>
      </c>
      <c r="W63" s="28" t="s">
        <v>165</v>
      </c>
      <c r="X63" s="28" t="s">
        <v>165</v>
      </c>
      <c r="Y63" s="28" t="s">
        <v>165</v>
      </c>
      <c r="Z63" s="28" t="s">
        <v>165</v>
      </c>
      <c r="AA63" s="28" t="s">
        <v>165</v>
      </c>
      <c r="AB63" s="28" t="s">
        <v>165</v>
      </c>
      <c r="AC63" s="28" t="s">
        <v>165</v>
      </c>
      <c r="AD63" s="28" t="s">
        <v>165</v>
      </c>
      <c r="AE63" s="28" t="s">
        <v>165</v>
      </c>
      <c r="AF63" s="28" t="s">
        <v>165</v>
      </c>
      <c r="AG63" s="28" t="s">
        <v>165</v>
      </c>
      <c r="AH63" s="28" t="s">
        <v>165</v>
      </c>
      <c r="AI63" s="28" t="s">
        <v>165</v>
      </c>
      <c r="AJ63" s="28" t="s">
        <v>165</v>
      </c>
      <c r="AK63" s="28" t="s">
        <v>165</v>
      </c>
      <c r="AL63" s="28" t="s">
        <v>165</v>
      </c>
      <c r="AM63" s="28" t="s">
        <v>165</v>
      </c>
      <c r="AN63" s="28" t="s">
        <v>165</v>
      </c>
      <c r="AO63" s="28" t="s">
        <v>165</v>
      </c>
      <c r="AP63" s="28" t="s">
        <v>165</v>
      </c>
      <c r="AQ63" s="28" t="s">
        <v>165</v>
      </c>
      <c r="AR63" s="28" t="s">
        <v>165</v>
      </c>
      <c r="AS63" s="28" t="s">
        <v>165</v>
      </c>
      <c r="AT63" s="28" t="s">
        <v>165</v>
      </c>
      <c r="AU63" s="28" t="s">
        <v>165</v>
      </c>
      <c r="AV63" s="28" t="s">
        <v>165</v>
      </c>
      <c r="AW63" s="28" t="s">
        <v>165</v>
      </c>
      <c r="AX63" s="28" t="s">
        <v>165</v>
      </c>
      <c r="AY63" s="28" t="s">
        <v>165</v>
      </c>
      <c r="AZ63" s="28" t="s">
        <v>165</v>
      </c>
      <c r="BA63" s="28" t="s">
        <v>165</v>
      </c>
      <c r="BB63" s="28" t="s">
        <v>165</v>
      </c>
      <c r="BC63" s="28" t="s">
        <v>165</v>
      </c>
      <c r="BD63" s="28" t="s">
        <v>165</v>
      </c>
      <c r="BE63" s="28" t="s">
        <v>165</v>
      </c>
      <c r="BF63" s="28" t="s">
        <v>165</v>
      </c>
      <c r="BG63" s="28" t="s">
        <v>165</v>
      </c>
      <c r="BH63" s="28" t="s">
        <v>165</v>
      </c>
      <c r="BI63" s="28" t="s">
        <v>165</v>
      </c>
      <c r="BJ63" s="28" t="s">
        <v>165</v>
      </c>
      <c r="BK63" s="28" t="s">
        <v>165</v>
      </c>
      <c r="BL63" s="28" t="s">
        <v>165</v>
      </c>
      <c r="BM63" s="28" t="s">
        <v>165</v>
      </c>
      <c r="BN63" s="28" t="s">
        <v>165</v>
      </c>
      <c r="BO63" s="28" t="s">
        <v>165</v>
      </c>
      <c r="BP63" s="28" t="s">
        <v>165</v>
      </c>
      <c r="BQ63" s="28" t="s">
        <v>165</v>
      </c>
      <c r="BR63" s="28" t="s">
        <v>165</v>
      </c>
      <c r="BS63" s="28" t="s">
        <v>165</v>
      </c>
      <c r="BT63" s="28" t="s">
        <v>165</v>
      </c>
      <c r="BU63" s="28" t="s">
        <v>165</v>
      </c>
      <c r="BV63" s="28" t="s">
        <v>165</v>
      </c>
      <c r="BW63" s="28" t="s">
        <v>165</v>
      </c>
      <c r="BX63" s="28" t="s">
        <v>165</v>
      </c>
      <c r="BY63" s="28" t="s">
        <v>165</v>
      </c>
      <c r="BZ63" s="28" t="s">
        <v>165</v>
      </c>
      <c r="CA63" s="28" t="s">
        <v>165</v>
      </c>
      <c r="CB63" s="28" t="s">
        <v>165</v>
      </c>
      <c r="CC63" s="28" t="s">
        <v>165</v>
      </c>
      <c r="CD63" s="28" t="s">
        <v>165</v>
      </c>
      <c r="CE63" s="28" t="s">
        <v>165</v>
      </c>
      <c r="CF63" s="28" t="s">
        <v>165</v>
      </c>
      <c r="CG63" s="28" t="s">
        <v>165</v>
      </c>
      <c r="CH63" s="28" t="s">
        <v>165</v>
      </c>
      <c r="CI63" s="28" t="s">
        <v>165</v>
      </c>
      <c r="CK63" s="15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</row>
    <row r="64" spans="1:110" outlineLevel="1" x14ac:dyDescent="0.2">
      <c r="A64" s="14">
        <v>1</v>
      </c>
      <c r="C64" s="9" t="str">
        <f>"    Per Share Calculations"</f>
        <v xml:space="preserve">    Per Share Calculations</v>
      </c>
      <c r="D64" s="20"/>
      <c r="E64" s="20"/>
      <c r="F64" s="20"/>
      <c r="G64" s="20"/>
      <c r="H64" s="20"/>
      <c r="I64" s="20"/>
      <c r="J64" s="20"/>
      <c r="K64" s="20"/>
      <c r="L64" s="25"/>
      <c r="M64" s="25" t="s">
        <v>165</v>
      </c>
      <c r="N64" s="25"/>
      <c r="O64" s="25"/>
      <c r="P64" s="25"/>
      <c r="Q64" s="25"/>
      <c r="R64" s="25" t="s">
        <v>165</v>
      </c>
      <c r="S64" s="25" t="s">
        <v>165</v>
      </c>
      <c r="T64" s="25" t="s">
        <v>165</v>
      </c>
      <c r="U64" s="25" t="s">
        <v>165</v>
      </c>
      <c r="V64" s="25" t="s">
        <v>165</v>
      </c>
      <c r="W64" s="25" t="s">
        <v>165</v>
      </c>
      <c r="X64" s="25" t="s">
        <v>165</v>
      </c>
      <c r="Y64" s="25" t="s">
        <v>165</v>
      </c>
      <c r="Z64" s="25" t="s">
        <v>165</v>
      </c>
      <c r="AA64" s="25" t="s">
        <v>165</v>
      </c>
      <c r="AB64" s="25" t="s">
        <v>165</v>
      </c>
      <c r="AC64" s="25" t="s">
        <v>165</v>
      </c>
      <c r="AD64" s="25" t="s">
        <v>165</v>
      </c>
      <c r="AE64" s="25" t="s">
        <v>165</v>
      </c>
      <c r="AF64" s="25" t="s">
        <v>165</v>
      </c>
      <c r="AG64" s="25" t="s">
        <v>165</v>
      </c>
      <c r="AH64" s="25" t="s">
        <v>165</v>
      </c>
      <c r="AI64" s="25" t="s">
        <v>165</v>
      </c>
      <c r="AJ64" s="25" t="s">
        <v>165</v>
      </c>
      <c r="AK64" s="25" t="s">
        <v>165</v>
      </c>
      <c r="AL64" s="25" t="s">
        <v>165</v>
      </c>
      <c r="AM64" s="25" t="s">
        <v>165</v>
      </c>
      <c r="AN64" s="25" t="s">
        <v>165</v>
      </c>
      <c r="AO64" s="25" t="s">
        <v>165</v>
      </c>
      <c r="AP64" s="25" t="s">
        <v>165</v>
      </c>
      <c r="AQ64" s="25" t="s">
        <v>165</v>
      </c>
      <c r="AR64" s="25" t="s">
        <v>165</v>
      </c>
      <c r="AS64" s="25" t="s">
        <v>165</v>
      </c>
      <c r="AT64" s="25" t="s">
        <v>165</v>
      </c>
      <c r="AU64" s="25" t="s">
        <v>165</v>
      </c>
      <c r="AV64" s="25" t="s">
        <v>165</v>
      </c>
      <c r="AW64" s="25" t="s">
        <v>165</v>
      </c>
      <c r="AX64" s="25" t="s">
        <v>165</v>
      </c>
      <c r="AY64" s="25" t="s">
        <v>165</v>
      </c>
      <c r="AZ64" s="25" t="s">
        <v>165</v>
      </c>
      <c r="BA64" s="25" t="s">
        <v>165</v>
      </c>
      <c r="BB64" s="25" t="s">
        <v>165</v>
      </c>
      <c r="BC64" s="25" t="s">
        <v>165</v>
      </c>
      <c r="BD64" s="25" t="s">
        <v>165</v>
      </c>
      <c r="BE64" s="25" t="s">
        <v>165</v>
      </c>
      <c r="BF64" s="25" t="s">
        <v>165</v>
      </c>
      <c r="BG64" s="25" t="s">
        <v>165</v>
      </c>
      <c r="BH64" s="25" t="s">
        <v>165</v>
      </c>
      <c r="BI64" s="25" t="s">
        <v>165</v>
      </c>
      <c r="BJ64" s="25" t="s">
        <v>165</v>
      </c>
      <c r="BK64" s="25" t="s">
        <v>165</v>
      </c>
      <c r="BL64" s="25" t="s">
        <v>165</v>
      </c>
      <c r="BM64" s="25" t="s">
        <v>165</v>
      </c>
      <c r="BN64" s="25" t="s">
        <v>165</v>
      </c>
      <c r="BO64" s="25" t="s">
        <v>165</v>
      </c>
      <c r="BP64" s="25" t="s">
        <v>165</v>
      </c>
      <c r="BQ64" s="25" t="s">
        <v>165</v>
      </c>
      <c r="BR64" s="25" t="s">
        <v>165</v>
      </c>
      <c r="BS64" s="25" t="s">
        <v>165</v>
      </c>
      <c r="BT64" s="25" t="s">
        <v>165</v>
      </c>
      <c r="BU64" s="25" t="s">
        <v>165</v>
      </c>
      <c r="BV64" s="25" t="s">
        <v>165</v>
      </c>
      <c r="BW64" s="25" t="s">
        <v>165</v>
      </c>
      <c r="BX64" s="25" t="s">
        <v>165</v>
      </c>
      <c r="BY64" s="25" t="s">
        <v>165</v>
      </c>
      <c r="BZ64" s="25" t="s">
        <v>165</v>
      </c>
      <c r="CA64" s="25" t="s">
        <v>165</v>
      </c>
      <c r="CB64" s="25" t="s">
        <v>165</v>
      </c>
      <c r="CC64" s="25" t="s">
        <v>165</v>
      </c>
      <c r="CD64" s="25" t="s">
        <v>165</v>
      </c>
      <c r="CE64" s="25" t="s">
        <v>165</v>
      </c>
      <c r="CF64" s="25" t="s">
        <v>165</v>
      </c>
      <c r="CG64" s="25" t="s">
        <v>165</v>
      </c>
      <c r="CH64" s="25" t="s">
        <v>165</v>
      </c>
      <c r="CI64" s="25" t="s">
        <v>165</v>
      </c>
      <c r="CK64" s="15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</row>
    <row r="65" spans="1:110" outlineLevel="2" x14ac:dyDescent="0.2">
      <c r="A65" s="14">
        <v>1</v>
      </c>
      <c r="C65" s="9" t="str">
        <f>"        Common Dividend per Share (Ex-date)"</f>
        <v xml:space="preserve">        Common Dividend per Share (Ex-date)</v>
      </c>
      <c r="D65" s="18">
        <f t="shared" ref="D65:D75" si="16">IF(COUNT(M65:CI65)&gt;0,MEDIAN(M65:CI65),"")</f>
        <v>0.18500000000000003</v>
      </c>
      <c r="E65" s="18">
        <f t="shared" ref="E65:E75" si="17">IF(COUNT(M65:CI65)&gt;0,AVERAGE(M65:CI65),"")</f>
        <v>0.1738888888888889</v>
      </c>
      <c r="F65" s="18">
        <f t="shared" ref="F65:F75" si="18">IF(COUNT(M65:CI65)&gt;0,MIN(M65:CI65),"")</f>
        <v>1.6666666666666666E-2</v>
      </c>
      <c r="G65" s="18">
        <f t="shared" ref="G65:G75" si="19">IF(COUNT(M65:CI65)&gt;0,MAX(M65:CI65),"")</f>
        <v>0.32</v>
      </c>
      <c r="H65" s="18">
        <f t="shared" ref="H65:H75" si="20">IF(COUNT(M65:CI65)&gt;0,QUARTILE(M65:CI65,1),"")</f>
        <v>0.10083333333333334</v>
      </c>
      <c r="I65" s="18">
        <f t="shared" ref="I65:I75" si="21">IF(COUNT(M65:CI65)&gt;0,QUARTILE(M65:CI65,3),"")</f>
        <v>0.2525</v>
      </c>
      <c r="J65" s="18">
        <f t="shared" ref="J65:J75" si="22">IF(COUNT(M65:CI65)&gt;1,STDEV(M65:CI65),"")</f>
        <v>0.15197161040921545</v>
      </c>
      <c r="K65" s="18">
        <f t="shared" ref="K65:K75" si="23">IF(COUNT(M65:CI65)&gt;1,STDEV(M65:CI65)/AVERAGE(M65:CI65),"")</f>
        <v>0.87395814292839546</v>
      </c>
      <c r="L65" s="22"/>
      <c r="M65" s="22">
        <v>0.32</v>
      </c>
      <c r="N65" s="22">
        <v>0.18500000000000003</v>
      </c>
      <c r="O65" s="22">
        <v>1.6666666666666666E-2</v>
      </c>
      <c r="P65" s="22"/>
      <c r="Q65" s="22"/>
      <c r="R65" s="22" t="s">
        <v>165</v>
      </c>
      <c r="S65" s="22" t="s">
        <v>165</v>
      </c>
      <c r="T65" s="22" t="s">
        <v>165</v>
      </c>
      <c r="U65" s="22" t="s">
        <v>165</v>
      </c>
      <c r="V65" s="22" t="s">
        <v>165</v>
      </c>
      <c r="W65" s="22" t="s">
        <v>165</v>
      </c>
      <c r="X65" s="22" t="s">
        <v>165</v>
      </c>
      <c r="Y65" s="22" t="s">
        <v>165</v>
      </c>
      <c r="Z65" s="22" t="s">
        <v>165</v>
      </c>
      <c r="AA65" s="22" t="s">
        <v>165</v>
      </c>
      <c r="AB65" s="22" t="s">
        <v>165</v>
      </c>
      <c r="AC65" s="22" t="s">
        <v>165</v>
      </c>
      <c r="AD65" s="22" t="s">
        <v>165</v>
      </c>
      <c r="AE65" s="22" t="s">
        <v>165</v>
      </c>
      <c r="AF65" s="22" t="s">
        <v>165</v>
      </c>
      <c r="AG65" s="22" t="s">
        <v>165</v>
      </c>
      <c r="AH65" s="22" t="s">
        <v>165</v>
      </c>
      <c r="AI65" s="22" t="s">
        <v>165</v>
      </c>
      <c r="AJ65" s="22" t="s">
        <v>165</v>
      </c>
      <c r="AK65" s="22" t="s">
        <v>165</v>
      </c>
      <c r="AL65" s="22" t="s">
        <v>165</v>
      </c>
      <c r="AM65" s="22" t="s">
        <v>165</v>
      </c>
      <c r="AN65" s="22" t="s">
        <v>165</v>
      </c>
      <c r="AO65" s="22" t="s">
        <v>165</v>
      </c>
      <c r="AP65" s="22" t="s">
        <v>165</v>
      </c>
      <c r="AQ65" s="22" t="s">
        <v>165</v>
      </c>
      <c r="AR65" s="22" t="s">
        <v>165</v>
      </c>
      <c r="AS65" s="22" t="s">
        <v>165</v>
      </c>
      <c r="AT65" s="22" t="s">
        <v>165</v>
      </c>
      <c r="AU65" s="22" t="s">
        <v>165</v>
      </c>
      <c r="AV65" s="22" t="s">
        <v>165</v>
      </c>
      <c r="AW65" s="22" t="s">
        <v>165</v>
      </c>
      <c r="AX65" s="22" t="s">
        <v>165</v>
      </c>
      <c r="AY65" s="22" t="s">
        <v>165</v>
      </c>
      <c r="AZ65" s="22" t="s">
        <v>165</v>
      </c>
      <c r="BA65" s="22" t="s">
        <v>165</v>
      </c>
      <c r="BB65" s="22" t="s">
        <v>165</v>
      </c>
      <c r="BC65" s="22" t="s">
        <v>165</v>
      </c>
      <c r="BD65" s="22" t="s">
        <v>165</v>
      </c>
      <c r="BE65" s="22" t="s">
        <v>165</v>
      </c>
      <c r="BF65" s="22" t="s">
        <v>165</v>
      </c>
      <c r="BG65" s="22" t="s">
        <v>165</v>
      </c>
      <c r="BH65" s="22" t="s">
        <v>165</v>
      </c>
      <c r="BI65" s="22" t="s">
        <v>165</v>
      </c>
      <c r="BJ65" s="22" t="s">
        <v>165</v>
      </c>
      <c r="BK65" s="22" t="s">
        <v>165</v>
      </c>
      <c r="BL65" s="22" t="s">
        <v>165</v>
      </c>
      <c r="BM65" s="22" t="s">
        <v>165</v>
      </c>
      <c r="BN65" s="22" t="s">
        <v>165</v>
      </c>
      <c r="BO65" s="22" t="s">
        <v>165</v>
      </c>
      <c r="BP65" s="22" t="s">
        <v>165</v>
      </c>
      <c r="BQ65" s="22" t="s">
        <v>165</v>
      </c>
      <c r="BR65" s="22" t="s">
        <v>165</v>
      </c>
      <c r="BS65" s="22" t="s">
        <v>165</v>
      </c>
      <c r="BT65" s="22" t="s">
        <v>165</v>
      </c>
      <c r="BU65" s="22" t="s">
        <v>165</v>
      </c>
      <c r="BV65" s="22" t="s">
        <v>165</v>
      </c>
      <c r="BW65" s="22" t="s">
        <v>165</v>
      </c>
      <c r="BX65" s="22" t="s">
        <v>165</v>
      </c>
      <c r="BY65" s="22" t="s">
        <v>165</v>
      </c>
      <c r="BZ65" s="22" t="s">
        <v>165</v>
      </c>
      <c r="CA65" s="22" t="s">
        <v>165</v>
      </c>
      <c r="CB65" s="22" t="s">
        <v>165</v>
      </c>
      <c r="CC65" s="22" t="s">
        <v>165</v>
      </c>
      <c r="CD65" s="22" t="s">
        <v>165</v>
      </c>
      <c r="CE65" s="22" t="s">
        <v>165</v>
      </c>
      <c r="CF65" s="22" t="s">
        <v>165</v>
      </c>
      <c r="CG65" s="22" t="s">
        <v>165</v>
      </c>
      <c r="CH65" s="22" t="s">
        <v>165</v>
      </c>
      <c r="CI65" s="22" t="s">
        <v>165</v>
      </c>
      <c r="CK65" s="15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</row>
    <row r="66" spans="1:110" outlineLevel="2" x14ac:dyDescent="0.2">
      <c r="A66" s="14">
        <v>1</v>
      </c>
      <c r="C66" s="9" t="str">
        <f>"        EBITDA per Share"</f>
        <v xml:space="preserve">        EBITDA per Share</v>
      </c>
      <c r="D66" s="18">
        <f t="shared" si="16"/>
        <v>0.74432994120064933</v>
      </c>
      <c r="E66" s="18">
        <f t="shared" si="17"/>
        <v>1.3460092037193436</v>
      </c>
      <c r="F66" s="18">
        <f t="shared" si="18"/>
        <v>-1.7242842073740827</v>
      </c>
      <c r="G66" s="18">
        <f t="shared" si="19"/>
        <v>6.5674057940604493</v>
      </c>
      <c r="H66" s="18">
        <f t="shared" si="20"/>
        <v>0.31397117836903754</v>
      </c>
      <c r="I66" s="18">
        <f t="shared" si="21"/>
        <v>2.2722266526722623</v>
      </c>
      <c r="J66" s="18">
        <f t="shared" si="22"/>
        <v>1.608020069332341</v>
      </c>
      <c r="K66" s="18">
        <f t="shared" si="23"/>
        <v>1.1946575587217376</v>
      </c>
      <c r="L66" s="22"/>
      <c r="M66" s="22">
        <v>5.9508255112303052</v>
      </c>
      <c r="N66" s="22">
        <v>6.5674057940604493</v>
      </c>
      <c r="O66" s="22">
        <v>2.0777898511739279</v>
      </c>
      <c r="P66" s="22">
        <v>1.2564496582527294</v>
      </c>
      <c r="Q66" s="22">
        <v>1.746125348527519</v>
      </c>
      <c r="R66" s="22">
        <v>1.8058317791020333</v>
      </c>
      <c r="S66" s="22">
        <v>1.7299171363483723</v>
      </c>
      <c r="T66" s="22">
        <v>1.4746325272641063</v>
      </c>
      <c r="U66" s="22">
        <v>1.9741199513955638</v>
      </c>
      <c r="V66" s="22">
        <v>2.7653113418343995</v>
      </c>
      <c r="W66" s="22">
        <v>3.5464009332727775</v>
      </c>
      <c r="X66" s="22">
        <v>4.3961259250145011</v>
      </c>
      <c r="Y66" s="22">
        <v>4.5495293983491658</v>
      </c>
      <c r="Z66" s="22">
        <v>4.5061963438926789</v>
      </c>
      <c r="AA66" s="22">
        <v>3.9395559027993574</v>
      </c>
      <c r="AB66" s="22">
        <v>3.5711248101492004</v>
      </c>
      <c r="AC66" s="22">
        <v>3.2338172502134928</v>
      </c>
      <c r="AD66" s="22">
        <v>2.5993926357079591</v>
      </c>
      <c r="AE66" s="22">
        <v>2.3542797987686384</v>
      </c>
      <c r="AF66" s="22">
        <v>2.1829506771927285</v>
      </c>
      <c r="AG66" s="22">
        <v>2.1775081237075922</v>
      </c>
      <c r="AH66" s="22">
        <v>2.3584959611123026</v>
      </c>
      <c r="AI66" s="22">
        <v>2.5735672939964238</v>
      </c>
      <c r="AJ66" s="22">
        <v>2.836909871244635</v>
      </c>
      <c r="AK66" s="22">
        <v>2.786617784760907</v>
      </c>
      <c r="AL66" s="22">
        <v>2.6367919090692511</v>
      </c>
      <c r="AM66" s="22">
        <v>2.5324651835775005</v>
      </c>
      <c r="AN66" s="22">
        <v>2.2448756039734703</v>
      </c>
      <c r="AO66" s="22">
        <v>1.8648190601844934</v>
      </c>
      <c r="AP66" s="22">
        <v>1.6080036380172806</v>
      </c>
      <c r="AQ66" s="22">
        <v>1.2779262189811194</v>
      </c>
      <c r="AR66" s="22">
        <v>0.89898479420901645</v>
      </c>
      <c r="AS66" s="22">
        <v>0.63315257675652481</v>
      </c>
      <c r="AT66" s="22">
        <v>0.44865397450974159</v>
      </c>
      <c r="AU66" s="22">
        <v>0.47965613958401632</v>
      </c>
      <c r="AV66" s="22">
        <v>0.4911742977947533</v>
      </c>
      <c r="AW66" s="22">
        <v>0.30931957332543486</v>
      </c>
      <c r="AX66" s="22">
        <v>0.42198880744312772</v>
      </c>
      <c r="AY66" s="22">
        <v>0.66020650124162139</v>
      </c>
      <c r="AZ66" s="22">
        <v>0.8183512588609142</v>
      </c>
      <c r="BA66" s="22">
        <v>1.1573203450695504</v>
      </c>
      <c r="BB66" s="22">
        <v>1.2343908986878236</v>
      </c>
      <c r="BC66" s="22">
        <v>-1.0486647670187446</v>
      </c>
      <c r="BD66" s="22">
        <v>-1.3003290457672749</v>
      </c>
      <c r="BE66" s="22">
        <v>-1.5370430457536211</v>
      </c>
      <c r="BF66" s="22">
        <v>-1.7242842073740827</v>
      </c>
      <c r="BG66" s="22">
        <v>0.56565383820593618</v>
      </c>
      <c r="BH66" s="22">
        <v>0.65203176254109863</v>
      </c>
      <c r="BI66" s="22">
        <v>0.71789069098743374</v>
      </c>
      <c r="BJ66" s="22">
        <v>0.75009619136182726</v>
      </c>
      <c r="BK66" s="22">
        <v>0.73856369103947139</v>
      </c>
      <c r="BL66" s="22">
        <v>0.67758554566150964</v>
      </c>
      <c r="BM66" s="22">
        <v>0.60154826725070076</v>
      </c>
      <c r="BN66" s="22">
        <v>0.57355109362690815</v>
      </c>
      <c r="BO66" s="22">
        <v>0.47887733041981279</v>
      </c>
      <c r="BP66" s="22">
        <v>0.45570200048784726</v>
      </c>
      <c r="BQ66" s="22">
        <v>0.36518535252915169</v>
      </c>
      <c r="BR66" s="22">
        <v>0.31461116944732964</v>
      </c>
      <c r="BS66" s="22">
        <v>0.37565677463546776</v>
      </c>
      <c r="BT66" s="22">
        <v>0.31205120513416112</v>
      </c>
      <c r="BU66" s="22">
        <v>0.22438575568956551</v>
      </c>
      <c r="BV66" s="22">
        <v>0.17682948150500957</v>
      </c>
      <c r="BW66" s="22">
        <v>0.10464396249260298</v>
      </c>
      <c r="BX66" s="22">
        <v>7.1425836306426627E-2</v>
      </c>
      <c r="BY66" s="22">
        <v>4.9231859655159547E-2</v>
      </c>
      <c r="BZ66" s="22">
        <v>0.11921403705634763</v>
      </c>
      <c r="CA66" s="22">
        <v>9.8241556225390297E-2</v>
      </c>
      <c r="CB66" s="22">
        <v>7.3291999495768381E-2</v>
      </c>
      <c r="CC66" s="22">
        <v>-4.618674752093406E-2</v>
      </c>
      <c r="CD66" s="22">
        <v>-4.1193687160761563E-2</v>
      </c>
      <c r="CE66" s="22">
        <v>-0.1125155239148808</v>
      </c>
      <c r="CF66" s="22">
        <v>-0.45235210010931109</v>
      </c>
      <c r="CG66" s="22" t="s">
        <v>165</v>
      </c>
      <c r="CH66" s="22" t="s">
        <v>165</v>
      </c>
      <c r="CI66" s="22" t="s">
        <v>165</v>
      </c>
      <c r="CK66" s="15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</row>
    <row r="67" spans="1:110" outlineLevel="2" x14ac:dyDescent="0.2">
      <c r="A67" s="14">
        <v>1</v>
      </c>
      <c r="C67" s="9" t="str">
        <f>"        EBITDAR per Share"</f>
        <v xml:space="preserve">        EBITDAR per Share</v>
      </c>
      <c r="D67" s="18">
        <f t="shared" si="16"/>
        <v>0.74432994120064933</v>
      </c>
      <c r="E67" s="18">
        <f t="shared" si="17"/>
        <v>1.3460092037193436</v>
      </c>
      <c r="F67" s="18">
        <f t="shared" si="18"/>
        <v>-1.7242842073740827</v>
      </c>
      <c r="G67" s="18">
        <f t="shared" si="19"/>
        <v>6.5674057940604493</v>
      </c>
      <c r="H67" s="18">
        <f t="shared" si="20"/>
        <v>0.31397117836903754</v>
      </c>
      <c r="I67" s="18">
        <f t="shared" si="21"/>
        <v>2.2722266526722623</v>
      </c>
      <c r="J67" s="18">
        <f t="shared" si="22"/>
        <v>1.608020069332341</v>
      </c>
      <c r="K67" s="18">
        <f t="shared" si="23"/>
        <v>1.1946575587217376</v>
      </c>
      <c r="L67" s="22"/>
      <c r="M67" s="22">
        <v>5.9508255112303052</v>
      </c>
      <c r="N67" s="22">
        <v>6.5674057940604493</v>
      </c>
      <c r="O67" s="22">
        <v>2.0777898511739279</v>
      </c>
      <c r="P67" s="22">
        <v>1.2564496582527294</v>
      </c>
      <c r="Q67" s="22">
        <v>1.746125348527519</v>
      </c>
      <c r="R67" s="22">
        <v>1.8058317791020333</v>
      </c>
      <c r="S67" s="22">
        <v>1.7299171363483723</v>
      </c>
      <c r="T67" s="22">
        <v>1.4746325272641063</v>
      </c>
      <c r="U67" s="22">
        <v>1.9741199513955638</v>
      </c>
      <c r="V67" s="22">
        <v>2.7653113418343995</v>
      </c>
      <c r="W67" s="22">
        <v>3.5464009332727775</v>
      </c>
      <c r="X67" s="22">
        <v>4.3961259250145011</v>
      </c>
      <c r="Y67" s="22">
        <v>4.5495293983491658</v>
      </c>
      <c r="Z67" s="22">
        <v>4.5061963438926789</v>
      </c>
      <c r="AA67" s="22">
        <v>3.9395559027993574</v>
      </c>
      <c r="AB67" s="22">
        <v>3.5711248101492004</v>
      </c>
      <c r="AC67" s="22">
        <v>3.2338172502134928</v>
      </c>
      <c r="AD67" s="22">
        <v>2.5993926357079591</v>
      </c>
      <c r="AE67" s="22">
        <v>2.3542797987686384</v>
      </c>
      <c r="AF67" s="22">
        <v>2.1829506771927285</v>
      </c>
      <c r="AG67" s="22">
        <v>2.1775081237075922</v>
      </c>
      <c r="AH67" s="22">
        <v>2.3584959611123026</v>
      </c>
      <c r="AI67" s="22">
        <v>2.5735672939964238</v>
      </c>
      <c r="AJ67" s="22">
        <v>2.836909871244635</v>
      </c>
      <c r="AK67" s="22">
        <v>2.786617784760907</v>
      </c>
      <c r="AL67" s="22">
        <v>2.6367919090692511</v>
      </c>
      <c r="AM67" s="22">
        <v>2.5324651835775005</v>
      </c>
      <c r="AN67" s="22">
        <v>2.2448756039734703</v>
      </c>
      <c r="AO67" s="22">
        <v>1.8648190601844934</v>
      </c>
      <c r="AP67" s="22">
        <v>1.6080036380172806</v>
      </c>
      <c r="AQ67" s="22">
        <v>1.2779262189811194</v>
      </c>
      <c r="AR67" s="22">
        <v>0.89898479420901645</v>
      </c>
      <c r="AS67" s="22">
        <v>0.63315257675652481</v>
      </c>
      <c r="AT67" s="22">
        <v>0.44865397450974159</v>
      </c>
      <c r="AU67" s="22">
        <v>0.47965613958401632</v>
      </c>
      <c r="AV67" s="22">
        <v>0.4911742977947533</v>
      </c>
      <c r="AW67" s="22">
        <v>0.30931957332543486</v>
      </c>
      <c r="AX67" s="22">
        <v>0.42198880744312772</v>
      </c>
      <c r="AY67" s="22">
        <v>0.66020650124162139</v>
      </c>
      <c r="AZ67" s="22">
        <v>0.8183512588609142</v>
      </c>
      <c r="BA67" s="22">
        <v>1.1573203450695504</v>
      </c>
      <c r="BB67" s="22">
        <v>1.2343908986878236</v>
      </c>
      <c r="BC67" s="22">
        <v>-1.0486647670187446</v>
      </c>
      <c r="BD67" s="22">
        <v>-1.3003290457672749</v>
      </c>
      <c r="BE67" s="22">
        <v>-1.5370430457536211</v>
      </c>
      <c r="BF67" s="22">
        <v>-1.7242842073740827</v>
      </c>
      <c r="BG67" s="22">
        <v>0.56565383820593618</v>
      </c>
      <c r="BH67" s="22">
        <v>0.65203176254109863</v>
      </c>
      <c r="BI67" s="22">
        <v>0.71789069098743374</v>
      </c>
      <c r="BJ67" s="22">
        <v>0.75009619136182726</v>
      </c>
      <c r="BK67" s="22">
        <v>0.73856369103947139</v>
      </c>
      <c r="BL67" s="22">
        <v>0.67758554566150964</v>
      </c>
      <c r="BM67" s="22">
        <v>0.60154826725070076</v>
      </c>
      <c r="BN67" s="22">
        <v>0.57355109362690815</v>
      </c>
      <c r="BO67" s="22">
        <v>0.47887733041981279</v>
      </c>
      <c r="BP67" s="22">
        <v>0.45570200048784726</v>
      </c>
      <c r="BQ67" s="22">
        <v>0.36518535252915169</v>
      </c>
      <c r="BR67" s="22">
        <v>0.31461116944732964</v>
      </c>
      <c r="BS67" s="22">
        <v>0.37565677463546776</v>
      </c>
      <c r="BT67" s="22">
        <v>0.31205120513416112</v>
      </c>
      <c r="BU67" s="22">
        <v>0.22438575568956551</v>
      </c>
      <c r="BV67" s="22">
        <v>0.17682948150500957</v>
      </c>
      <c r="BW67" s="22">
        <v>0.10464396249260298</v>
      </c>
      <c r="BX67" s="22">
        <v>7.1425836306426627E-2</v>
      </c>
      <c r="BY67" s="22">
        <v>4.9231859655159547E-2</v>
      </c>
      <c r="BZ67" s="22">
        <v>0.11921403705634763</v>
      </c>
      <c r="CA67" s="22">
        <v>9.8241556225390297E-2</v>
      </c>
      <c r="CB67" s="22">
        <v>7.3291999495768381E-2</v>
      </c>
      <c r="CC67" s="22">
        <v>-4.618674752093406E-2</v>
      </c>
      <c r="CD67" s="22">
        <v>-4.1193687160761563E-2</v>
      </c>
      <c r="CE67" s="22">
        <v>-0.1125155239148808</v>
      </c>
      <c r="CF67" s="22">
        <v>-0.45235210010931109</v>
      </c>
      <c r="CG67" s="22" t="s">
        <v>165</v>
      </c>
      <c r="CH67" s="22" t="s">
        <v>165</v>
      </c>
      <c r="CI67" s="22" t="s">
        <v>165</v>
      </c>
      <c r="CK67" s="15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</row>
    <row r="68" spans="1:110" outlineLevel="2" x14ac:dyDescent="0.2">
      <c r="A68" s="14">
        <v>1</v>
      </c>
      <c r="C68" s="9" t="str">
        <f>"        Basic EPS (Normalized)"</f>
        <v xml:space="preserve">        Basic EPS (Normalized)</v>
      </c>
      <c r="D68" s="18">
        <f t="shared" si="16"/>
        <v>0.57964420992278098</v>
      </c>
      <c r="E68" s="18">
        <f t="shared" si="17"/>
        <v>0.83032349993074739</v>
      </c>
      <c r="F68" s="18">
        <f t="shared" si="18"/>
        <v>-1.55</v>
      </c>
      <c r="G68" s="18">
        <f t="shared" si="19"/>
        <v>4.7353980782504692</v>
      </c>
      <c r="H68" s="18">
        <f t="shared" si="20"/>
        <v>0.2</v>
      </c>
      <c r="I68" s="18">
        <f t="shared" si="21"/>
        <v>1.2675769343065681</v>
      </c>
      <c r="J68" s="18">
        <f t="shared" si="22"/>
        <v>1.0927746298291159</v>
      </c>
      <c r="K68" s="18">
        <f t="shared" si="23"/>
        <v>1.3160829844274649</v>
      </c>
      <c r="L68" s="22"/>
      <c r="M68" s="22">
        <v>4.2951066127427104</v>
      </c>
      <c r="N68" s="22">
        <v>4.7353980782504692</v>
      </c>
      <c r="O68" s="22">
        <v>1.2781547657561521</v>
      </c>
      <c r="P68" s="22">
        <v>0.71932519783526261</v>
      </c>
      <c r="Q68" s="22">
        <v>0.67136591152527814</v>
      </c>
      <c r="R68" s="22">
        <v>0.7497742809235135</v>
      </c>
      <c r="S68" s="22">
        <v>0.66288235402706241</v>
      </c>
      <c r="T68" s="22">
        <v>0.46423484582231184</v>
      </c>
      <c r="U68" s="22">
        <v>0.80857216532822518</v>
      </c>
      <c r="V68" s="22">
        <v>1.3999179543279092</v>
      </c>
      <c r="W68" s="22">
        <v>1.9809365635267357</v>
      </c>
      <c r="X68" s="22">
        <v>2.6201859467191131</v>
      </c>
      <c r="Y68" s="22">
        <v>2.7167558886509635</v>
      </c>
      <c r="Z68" s="22">
        <v>2.656349641179482</v>
      </c>
      <c r="AA68" s="22">
        <v>2.1532061646250851</v>
      </c>
      <c r="AB68" s="22">
        <v>1.8724367753126998</v>
      </c>
      <c r="AC68" s="22">
        <v>1.6548760908467777</v>
      </c>
      <c r="AD68" s="22">
        <v>1.2569991028569842</v>
      </c>
      <c r="AE68" s="22">
        <v>0.99360822687922412</v>
      </c>
      <c r="AF68" s="22">
        <v>1.0424353560050381</v>
      </c>
      <c r="AG68" s="22">
        <v>1.0633794391835307</v>
      </c>
      <c r="AH68" s="22">
        <v>1.2432969621492407</v>
      </c>
      <c r="AI68" s="22">
        <v>1.4566819225677878</v>
      </c>
      <c r="AJ68" s="22">
        <v>1.5917365514420128</v>
      </c>
      <c r="AK68" s="22">
        <v>1.9641189360427422</v>
      </c>
      <c r="AL68" s="22">
        <v>2.8135197030719419</v>
      </c>
      <c r="AM68" s="22">
        <v>2.6714450314639908</v>
      </c>
      <c r="AN68" s="22">
        <v>2.3669864170056019</v>
      </c>
      <c r="AO68" s="22">
        <v>2.0296913431488433</v>
      </c>
      <c r="AP68" s="22">
        <v>1.7479436947631228</v>
      </c>
      <c r="AQ68" s="22">
        <v>0.72377419883281369</v>
      </c>
      <c r="AR68" s="22">
        <v>1.055596715441131</v>
      </c>
      <c r="AS68" s="22">
        <v>0.37874008947553095</v>
      </c>
      <c r="AT68" s="22">
        <v>8.910925101999248E-2</v>
      </c>
      <c r="AU68" s="22">
        <v>0.11787863702408562</v>
      </c>
      <c r="AV68" s="22">
        <v>1.2293236778727197</v>
      </c>
      <c r="AW68" s="22">
        <v>1.1007491167255516</v>
      </c>
      <c r="AX68" s="22">
        <v>0.64718983832175314</v>
      </c>
      <c r="AY68" s="22">
        <v>0.37962886283253372</v>
      </c>
      <c r="AZ68" s="22">
        <v>0.41979483437511877</v>
      </c>
      <c r="BA68" s="22">
        <v>0.57964420992278098</v>
      </c>
      <c r="BB68" s="22">
        <v>0.53992869858691706</v>
      </c>
      <c r="BC68" s="22">
        <v>-1.1823813657543019</v>
      </c>
      <c r="BD68" s="22">
        <v>0.39776915151882131</v>
      </c>
      <c r="BE68" s="22">
        <v>0.24683460142399372</v>
      </c>
      <c r="BF68" s="22">
        <v>-1.55</v>
      </c>
      <c r="BG68" s="22">
        <v>0.17</v>
      </c>
      <c r="BH68" s="22">
        <v>0.23</v>
      </c>
      <c r="BI68" s="22">
        <v>0.27</v>
      </c>
      <c r="BJ68" s="22">
        <v>0.36</v>
      </c>
      <c r="BK68" s="22">
        <v>0.36</v>
      </c>
      <c r="BL68" s="22">
        <v>0.33</v>
      </c>
      <c r="BM68" s="22">
        <v>0.31</v>
      </c>
      <c r="BN68" s="22">
        <v>0.3</v>
      </c>
      <c r="BO68" s="22">
        <v>0.25</v>
      </c>
      <c r="BP68" s="22">
        <v>0.24</v>
      </c>
      <c r="BQ68" s="22">
        <v>0.19</v>
      </c>
      <c r="BR68" s="22">
        <v>0.16</v>
      </c>
      <c r="BS68" s="22">
        <v>0.21</v>
      </c>
      <c r="BT68" s="22">
        <v>0.17</v>
      </c>
      <c r="BU68" s="22">
        <v>0.17829116873804457</v>
      </c>
      <c r="BV68" s="22">
        <v>0.13962623207601479</v>
      </c>
      <c r="BW68" s="22">
        <v>0.11131341649218462</v>
      </c>
      <c r="BX68" s="22">
        <v>8.3978932144384816E-2</v>
      </c>
      <c r="BY68" s="22">
        <v>0.56161130375619495</v>
      </c>
      <c r="BZ68" s="22">
        <v>0.61</v>
      </c>
      <c r="CA68" s="22">
        <v>0.6</v>
      </c>
      <c r="CB68" s="22">
        <v>0.57999999999999996</v>
      </c>
      <c r="CC68" s="22">
        <v>-0.54</v>
      </c>
      <c r="CD68" s="22">
        <v>-0.5</v>
      </c>
      <c r="CE68" s="22">
        <v>-0.53</v>
      </c>
      <c r="CF68" s="22">
        <v>-0.85</v>
      </c>
      <c r="CG68" s="22">
        <v>-0.195461</v>
      </c>
      <c r="CH68" s="22">
        <v>-0.23</v>
      </c>
      <c r="CI68" s="22">
        <v>-0.15</v>
      </c>
      <c r="CK68" s="15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</row>
    <row r="69" spans="1:110" outlineLevel="2" x14ac:dyDescent="0.2">
      <c r="A69" s="14">
        <v>1</v>
      </c>
      <c r="C69" s="9" t="str">
        <f>"        Diluted EPS (Normalized)"</f>
        <v xml:space="preserve">        Diluted EPS (Normalized)</v>
      </c>
      <c r="D69" s="18">
        <f t="shared" si="16"/>
        <v>0.50978878970492136</v>
      </c>
      <c r="E69" s="18">
        <f t="shared" si="17"/>
        <v>0.80530831798188574</v>
      </c>
      <c r="F69" s="18">
        <f t="shared" si="18"/>
        <v>-1.56</v>
      </c>
      <c r="G69" s="18">
        <f t="shared" si="19"/>
        <v>4.7024999999999997</v>
      </c>
      <c r="H69" s="18">
        <f t="shared" si="20"/>
        <v>0.16999999999999998</v>
      </c>
      <c r="I69" s="18">
        <f t="shared" si="21"/>
        <v>1.29</v>
      </c>
      <c r="J69" s="18">
        <f t="shared" si="22"/>
        <v>1.0810709043505271</v>
      </c>
      <c r="K69" s="18">
        <f t="shared" si="23"/>
        <v>1.3424310667244894</v>
      </c>
      <c r="L69" s="22"/>
      <c r="M69" s="22">
        <v>4.25</v>
      </c>
      <c r="N69" s="22">
        <v>4.7024999999999997</v>
      </c>
      <c r="O69" s="22">
        <v>1.4025000000000001</v>
      </c>
      <c r="P69" s="22">
        <v>0.86750000000000005</v>
      </c>
      <c r="Q69" s="22">
        <v>0.66</v>
      </c>
      <c r="R69" s="22">
        <v>0.74</v>
      </c>
      <c r="S69" s="22">
        <v>0.65</v>
      </c>
      <c r="T69" s="22">
        <v>0.46</v>
      </c>
      <c r="U69" s="22">
        <v>0.79</v>
      </c>
      <c r="V69" s="22">
        <v>1.36</v>
      </c>
      <c r="W69" s="22">
        <v>1.93</v>
      </c>
      <c r="X69" s="22">
        <v>2.58</v>
      </c>
      <c r="Y69" s="22">
        <v>2.67</v>
      </c>
      <c r="Z69" s="22">
        <v>2.6</v>
      </c>
      <c r="AA69" s="22">
        <v>2.12</v>
      </c>
      <c r="AB69" s="22">
        <v>1.83</v>
      </c>
      <c r="AC69" s="22">
        <v>1.61</v>
      </c>
      <c r="AD69" s="22">
        <v>1.22</v>
      </c>
      <c r="AE69" s="22">
        <v>1.07</v>
      </c>
      <c r="AF69" s="22">
        <v>1.02</v>
      </c>
      <c r="AG69" s="22">
        <v>1.04</v>
      </c>
      <c r="AH69" s="22">
        <v>1.18</v>
      </c>
      <c r="AI69" s="22">
        <v>1.4145379448744486</v>
      </c>
      <c r="AJ69" s="22">
        <v>1.55</v>
      </c>
      <c r="AK69" s="22">
        <v>1.8991096510022378</v>
      </c>
      <c r="AL69" s="22">
        <v>2.7380361355968676</v>
      </c>
      <c r="AM69" s="22">
        <v>2.6121661542171579</v>
      </c>
      <c r="AN69" s="22">
        <v>2.3141712433600432</v>
      </c>
      <c r="AO69" s="22">
        <v>1.9338929122034603</v>
      </c>
      <c r="AP69" s="22">
        <v>1.6740453871994601</v>
      </c>
      <c r="AQ69" s="22">
        <v>0.71078227122998161</v>
      </c>
      <c r="AR69" s="22">
        <v>1.0165435438559984</v>
      </c>
      <c r="AS69" s="22">
        <v>0.37874008947553095</v>
      </c>
      <c r="AT69" s="22">
        <v>8.910925101999248E-2</v>
      </c>
      <c r="AU69" s="22">
        <v>0.11787863702408562</v>
      </c>
      <c r="AV69" s="22">
        <v>1.1775031829113027</v>
      </c>
      <c r="AW69" s="22">
        <v>1.0361110569821776</v>
      </c>
      <c r="AX69" s="22">
        <v>0.60448298282414681</v>
      </c>
      <c r="AY69" s="22">
        <v>0.36505618145995422</v>
      </c>
      <c r="AZ69" s="22">
        <v>0.40538041411727016</v>
      </c>
      <c r="BA69" s="22">
        <v>0.54958156046690376</v>
      </c>
      <c r="BB69" s="22">
        <v>0.50978878970492136</v>
      </c>
      <c r="BC69" s="22">
        <v>-1.2020015870240011</v>
      </c>
      <c r="BD69" s="22">
        <v>0.39776915151882131</v>
      </c>
      <c r="BE69" s="22">
        <v>0.23683460142399371</v>
      </c>
      <c r="BF69" s="22">
        <v>-1.56</v>
      </c>
      <c r="BG69" s="22">
        <v>0.16</v>
      </c>
      <c r="BH69" s="22">
        <v>0.22</v>
      </c>
      <c r="BI69" s="22">
        <v>0.26</v>
      </c>
      <c r="BJ69" s="22">
        <v>0.34</v>
      </c>
      <c r="BK69" s="22">
        <v>0.34</v>
      </c>
      <c r="BL69" s="22">
        <v>0.31</v>
      </c>
      <c r="BM69" s="22">
        <v>0.3</v>
      </c>
      <c r="BN69" s="22">
        <v>0.28000000000000003</v>
      </c>
      <c r="BO69" s="22">
        <v>0.23</v>
      </c>
      <c r="BP69" s="22">
        <v>0.22</v>
      </c>
      <c r="BQ69" s="22">
        <v>0.16</v>
      </c>
      <c r="BR69" s="22">
        <v>0.14000000000000001</v>
      </c>
      <c r="BS69" s="22">
        <v>0.18</v>
      </c>
      <c r="BT69" s="22">
        <v>0.14000000000000001</v>
      </c>
      <c r="BU69" s="22">
        <v>0.14158654561436815</v>
      </c>
      <c r="BV69" s="22">
        <v>0.11244692412792595</v>
      </c>
      <c r="BW69" s="22">
        <v>8.1685455737063303E-2</v>
      </c>
      <c r="BX69" s="22">
        <v>6.880249113155848E-2</v>
      </c>
      <c r="BY69" s="22">
        <v>0.48093087658577433</v>
      </c>
      <c r="BZ69" s="22">
        <v>0.52</v>
      </c>
      <c r="CA69" s="22">
        <v>0.52</v>
      </c>
      <c r="CB69" s="22">
        <v>0.49</v>
      </c>
      <c r="CC69" s="22">
        <v>-0.55000000000000004</v>
      </c>
      <c r="CD69" s="22">
        <v>-0.50434800000000002</v>
      </c>
      <c r="CE69" s="22">
        <v>-0.53706799999999999</v>
      </c>
      <c r="CF69" s="22">
        <v>-0.85</v>
      </c>
      <c r="CG69" s="22">
        <v>-0.197295</v>
      </c>
      <c r="CH69" s="22">
        <v>-0.23063700000000001</v>
      </c>
      <c r="CI69" s="22">
        <v>-0.15</v>
      </c>
      <c r="CK69" s="15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</row>
    <row r="70" spans="1:110" outlineLevel="2" x14ac:dyDescent="0.2">
      <c r="A70" s="14">
        <v>1</v>
      </c>
      <c r="C70" s="9" t="str">
        <f>"        Normalized EBITDA per Share"</f>
        <v xml:space="preserve">        Normalized EBITDA per Share</v>
      </c>
      <c r="D70" s="18">
        <f t="shared" si="16"/>
        <v>0.96363937380266451</v>
      </c>
      <c r="E70" s="18">
        <f t="shared" si="17"/>
        <v>1.5060643107260987</v>
      </c>
      <c r="F70" s="18">
        <f t="shared" si="18"/>
        <v>-1.7242842073740827</v>
      </c>
      <c r="G70" s="18">
        <f t="shared" si="19"/>
        <v>6.833448145528636</v>
      </c>
      <c r="H70" s="18">
        <f t="shared" si="20"/>
        <v>0.43569069402475236</v>
      </c>
      <c r="I70" s="18">
        <f t="shared" si="21"/>
        <v>2.4674931578137835</v>
      </c>
      <c r="J70" s="18">
        <f t="shared" si="22"/>
        <v>1.5974354709305976</v>
      </c>
      <c r="K70" s="18">
        <f t="shared" si="23"/>
        <v>1.0606688303771352</v>
      </c>
      <c r="L70" s="22"/>
      <c r="M70" s="22">
        <v>6.2776357693597049</v>
      </c>
      <c r="N70" s="22">
        <v>6.833448145528636</v>
      </c>
      <c r="O70" s="22">
        <v>2.5323388073515849</v>
      </c>
      <c r="P70" s="22">
        <v>1.5030179115552973</v>
      </c>
      <c r="Q70" s="22">
        <v>1.6241950974409027</v>
      </c>
      <c r="R70" s="22">
        <v>1.9741982440977119</v>
      </c>
      <c r="S70" s="22">
        <v>1.903812817091876</v>
      </c>
      <c r="T70" s="22">
        <v>0.49941642046905205</v>
      </c>
      <c r="U70" s="22">
        <v>2.1193529081049709</v>
      </c>
      <c r="V70" s="22">
        <v>2.9246839021150963</v>
      </c>
      <c r="W70" s="22">
        <v>3.70270631294916</v>
      </c>
      <c r="X70" s="22">
        <v>4.5488565854001513</v>
      </c>
      <c r="Y70" s="22">
        <v>4.6931396542196255</v>
      </c>
      <c r="Z70" s="22">
        <v>4.6381264653515961</v>
      </c>
      <c r="AA70" s="22">
        <v>4.0625393978674103</v>
      </c>
      <c r="AB70" s="22">
        <v>3.6913428035379257</v>
      </c>
      <c r="AC70" s="22">
        <v>3.3579217043462628</v>
      </c>
      <c r="AD70" s="22">
        <v>2.7191663202039007</v>
      </c>
      <c r="AE70" s="22">
        <v>2.4667368918109007</v>
      </c>
      <c r="AF70" s="22">
        <v>2.2929492286521329</v>
      </c>
      <c r="AG70" s="22">
        <v>2.2839275569795716</v>
      </c>
      <c r="AH70" s="22">
        <v>2.469761955822432</v>
      </c>
      <c r="AI70" s="22">
        <v>2.704782685871876</v>
      </c>
      <c r="AJ70" s="22">
        <v>2.9760122434041989</v>
      </c>
      <c r="AK70" s="22">
        <v>2.8868256915678714</v>
      </c>
      <c r="AL70" s="22">
        <v>2.7450142559617587</v>
      </c>
      <c r="AM70" s="22">
        <v>2.620259842044975</v>
      </c>
      <c r="AN70" s="22">
        <v>2.3138561267669036</v>
      </c>
      <c r="AO70" s="22">
        <v>1.9344323238802652</v>
      </c>
      <c r="AP70" s="22">
        <v>1.6483885637166453</v>
      </c>
      <c r="AQ70" s="22">
        <v>1.3843019736939224</v>
      </c>
      <c r="AR70" s="22">
        <v>1.0166921830640487</v>
      </c>
      <c r="AS70" s="22">
        <v>0.91224593297702183</v>
      </c>
      <c r="AT70" s="22">
        <v>0.47864157899755266</v>
      </c>
      <c r="AU70" s="22">
        <v>0.50716173500568651</v>
      </c>
      <c r="AV70" s="22">
        <v>2.1027176561198346</v>
      </c>
      <c r="AW70" s="22">
        <v>1.749490430221093</v>
      </c>
      <c r="AX70" s="22">
        <v>1.059654934864892</v>
      </c>
      <c r="AY70" s="22">
        <v>0.58561212868052059</v>
      </c>
      <c r="AZ70" s="22">
        <v>0.87640552432168173</v>
      </c>
      <c r="BA70" s="22">
        <v>1.0150328146283072</v>
      </c>
      <c r="BB70" s="22">
        <v>1.0330151937403367</v>
      </c>
      <c r="BC70" s="22">
        <v>-1.0629425659080549</v>
      </c>
      <c r="BD70" s="22">
        <v>0.87816759967522751</v>
      </c>
      <c r="BE70" s="22">
        <v>0.57654292814075214</v>
      </c>
      <c r="BF70" s="22">
        <v>-1.7242842073740827</v>
      </c>
      <c r="BG70" s="22">
        <v>0.56565383820593618</v>
      </c>
      <c r="BH70" s="22">
        <v>0.65203176254109863</v>
      </c>
      <c r="BI70" s="22">
        <v>0.71789069098743374</v>
      </c>
      <c r="BJ70" s="22">
        <v>0.75009619136182726</v>
      </c>
      <c r="BK70" s="22">
        <v>0.73856369103947139</v>
      </c>
      <c r="BL70" s="22">
        <v>0.67758554566150964</v>
      </c>
      <c r="BM70" s="22">
        <v>0.60154826725070076</v>
      </c>
      <c r="BN70" s="22">
        <v>0.57355109362690815</v>
      </c>
      <c r="BO70" s="22">
        <v>0.47887733041981279</v>
      </c>
      <c r="BP70" s="22">
        <v>0.45570200048784726</v>
      </c>
      <c r="BQ70" s="22">
        <v>0.36518535252915169</v>
      </c>
      <c r="BR70" s="22">
        <v>0.31461116944732964</v>
      </c>
      <c r="BS70" s="22">
        <v>0.37565677463546776</v>
      </c>
      <c r="BT70" s="22">
        <v>0.31205120513416112</v>
      </c>
      <c r="BU70" s="22">
        <v>0.25591340804221435</v>
      </c>
      <c r="BV70" s="22">
        <v>0.23535902446434614</v>
      </c>
      <c r="BW70" s="22">
        <v>0.16261121791099142</v>
      </c>
      <c r="BX70" s="22">
        <v>0.14650659189343967</v>
      </c>
      <c r="BY70" s="22">
        <v>8.1433208248658517E-2</v>
      </c>
      <c r="BZ70" s="22">
        <v>0.11921403705634763</v>
      </c>
      <c r="CA70" s="22">
        <v>9.8241556225390297E-2</v>
      </c>
      <c r="CB70" s="22">
        <v>7.3291999495768381E-2</v>
      </c>
      <c r="CC70" s="22">
        <v>-4.618674752093406E-2</v>
      </c>
      <c r="CD70" s="22">
        <v>-4.1193687160761563E-2</v>
      </c>
      <c r="CE70" s="22">
        <v>-0.1125155239148808</v>
      </c>
      <c r="CF70" s="22">
        <v>-0.45235210010931109</v>
      </c>
      <c r="CG70" s="22" t="s">
        <v>165</v>
      </c>
      <c r="CH70" s="22" t="s">
        <v>165</v>
      </c>
      <c r="CI70" s="22" t="s">
        <v>165</v>
      </c>
      <c r="CK70" s="15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</row>
    <row r="71" spans="1:110" outlineLevel="2" x14ac:dyDescent="0.2">
      <c r="A71" s="14">
        <v>1</v>
      </c>
      <c r="C71" s="9" t="str">
        <f>"        Normalized EBITDAR per Share"</f>
        <v xml:space="preserve">        Normalized EBITDAR per Share</v>
      </c>
      <c r="D71" s="18">
        <f t="shared" si="16"/>
        <v>1.0182184302937751</v>
      </c>
      <c r="E71" s="18">
        <f t="shared" si="17"/>
        <v>1.5130467076328902</v>
      </c>
      <c r="F71" s="18">
        <f t="shared" si="18"/>
        <v>-1.7242842073740827</v>
      </c>
      <c r="G71" s="18">
        <f t="shared" si="19"/>
        <v>6.6635352401138306</v>
      </c>
      <c r="H71" s="18">
        <f t="shared" si="20"/>
        <v>0.43569069402475236</v>
      </c>
      <c r="I71" s="18">
        <f t="shared" si="21"/>
        <v>2.3363961444418249</v>
      </c>
      <c r="J71" s="18">
        <f t="shared" si="22"/>
        <v>1.5733822991823343</v>
      </c>
      <c r="K71" s="18">
        <f t="shared" si="23"/>
        <v>1.0398768863149221</v>
      </c>
      <c r="L71" s="22"/>
      <c r="M71" s="22">
        <v>6.0607609788803218</v>
      </c>
      <c r="N71" s="22">
        <v>6.6635352401138306</v>
      </c>
      <c r="O71" s="22">
        <v>2.1207929446623037</v>
      </c>
      <c r="P71" s="22">
        <v>1.5161295797533454</v>
      </c>
      <c r="Q71" s="22">
        <v>1.8855273930842997</v>
      </c>
      <c r="R71" s="22">
        <v>1.9251967429377246</v>
      </c>
      <c r="S71" s="22">
        <v>1.8744611139851699</v>
      </c>
      <c r="T71" s="22">
        <v>1.6230988073093335</v>
      </c>
      <c r="U71" s="22">
        <v>2.1193529081049709</v>
      </c>
      <c r="V71" s="22">
        <v>2.9246839021150963</v>
      </c>
      <c r="W71" s="22">
        <v>3.70270631294916</v>
      </c>
      <c r="X71" s="22">
        <v>4.5488565854001513</v>
      </c>
      <c r="Y71" s="22">
        <v>4.6931396542196255</v>
      </c>
      <c r="Z71" s="22">
        <v>4.6381264653515961</v>
      </c>
      <c r="AA71" s="22">
        <v>4.0625393978674103</v>
      </c>
      <c r="AB71" s="22">
        <v>3.6913428035379257</v>
      </c>
      <c r="AC71" s="22">
        <v>3.3579217043462628</v>
      </c>
      <c r="AD71" s="22">
        <v>2.7191663202039007</v>
      </c>
      <c r="AE71" s="22">
        <v>2.4667368918109007</v>
      </c>
      <c r="AF71" s="22">
        <v>2.2929492286521329</v>
      </c>
      <c r="AG71" s="22">
        <v>2.2839275569795716</v>
      </c>
      <c r="AH71" s="22">
        <v>2.469761955822432</v>
      </c>
      <c r="AI71" s="22">
        <v>2.704782685871876</v>
      </c>
      <c r="AJ71" s="22">
        <v>2.9760122434041989</v>
      </c>
      <c r="AK71" s="22">
        <v>2.9092669301210936</v>
      </c>
      <c r="AL71" s="22">
        <v>2.7450142559617587</v>
      </c>
      <c r="AM71" s="22">
        <v>2.620259842044975</v>
      </c>
      <c r="AN71" s="22">
        <v>2.2924882206416375</v>
      </c>
      <c r="AO71" s="22">
        <v>1.9099401180145277</v>
      </c>
      <c r="AP71" s="22">
        <v>1.6483885637166453</v>
      </c>
      <c r="AQ71" s="22">
        <v>1.3843019736939224</v>
      </c>
      <c r="AR71" s="22">
        <v>1.0214040459592431</v>
      </c>
      <c r="AS71" s="22">
        <v>0.91224593297702183</v>
      </c>
      <c r="AT71" s="22">
        <v>0.47864157899755266</v>
      </c>
      <c r="AU71" s="22">
        <v>0.50716173500568651</v>
      </c>
      <c r="AV71" s="22">
        <v>2.1027176561198346</v>
      </c>
      <c r="AW71" s="22">
        <v>1.749490430221093</v>
      </c>
      <c r="AX71" s="22">
        <v>1.059654934864892</v>
      </c>
      <c r="AY71" s="22">
        <v>0.58561212868052059</v>
      </c>
      <c r="AZ71" s="22">
        <v>0.87640552432168173</v>
      </c>
      <c r="BA71" s="22">
        <v>1.0150328146283072</v>
      </c>
      <c r="BB71" s="22">
        <v>1.0330151937403367</v>
      </c>
      <c r="BC71" s="22">
        <v>-1.0629425659080549</v>
      </c>
      <c r="BD71" s="22">
        <v>0.87816759967522751</v>
      </c>
      <c r="BE71" s="22">
        <v>0.57654292814075214</v>
      </c>
      <c r="BF71" s="22">
        <v>-1.7242842073740827</v>
      </c>
      <c r="BG71" s="22">
        <v>0.56565383820593618</v>
      </c>
      <c r="BH71" s="22">
        <v>0.65203176254109863</v>
      </c>
      <c r="BI71" s="22">
        <v>0.71789069098743374</v>
      </c>
      <c r="BJ71" s="22">
        <v>0.75009619136182726</v>
      </c>
      <c r="BK71" s="22">
        <v>0.73856369103947139</v>
      </c>
      <c r="BL71" s="22">
        <v>0.67758554566150964</v>
      </c>
      <c r="BM71" s="22">
        <v>0.60154826725070076</v>
      </c>
      <c r="BN71" s="22">
        <v>0.57355109362690815</v>
      </c>
      <c r="BO71" s="22">
        <v>0.47887733041981279</v>
      </c>
      <c r="BP71" s="22">
        <v>0.45570200048784726</v>
      </c>
      <c r="BQ71" s="22">
        <v>0.36518535252915169</v>
      </c>
      <c r="BR71" s="22">
        <v>0.31461116944732964</v>
      </c>
      <c r="BS71" s="22">
        <v>0.37565677463546776</v>
      </c>
      <c r="BT71" s="22">
        <v>0.31205120513416112</v>
      </c>
      <c r="BU71" s="22">
        <v>0.25591340804221435</v>
      </c>
      <c r="BV71" s="22">
        <v>0.23535902446434614</v>
      </c>
      <c r="BW71" s="22">
        <v>0.16261121791099142</v>
      </c>
      <c r="BX71" s="22">
        <v>0.14650659189343967</v>
      </c>
      <c r="BY71" s="22">
        <v>8.1433208248658517E-2</v>
      </c>
      <c r="BZ71" s="22">
        <v>0.11921403705634763</v>
      </c>
      <c r="CA71" s="22">
        <v>9.8241556225390297E-2</v>
      </c>
      <c r="CB71" s="22">
        <v>7.3291999495768381E-2</v>
      </c>
      <c r="CC71" s="22">
        <v>-4.618674752093406E-2</v>
      </c>
      <c r="CD71" s="22">
        <v>-4.1193687160761563E-2</v>
      </c>
      <c r="CE71" s="22">
        <v>-0.1125155239148808</v>
      </c>
      <c r="CF71" s="22">
        <v>-0.45235210010931109</v>
      </c>
      <c r="CG71" s="22" t="s">
        <v>165</v>
      </c>
      <c r="CH71" s="22" t="s">
        <v>165</v>
      </c>
      <c r="CI71" s="22" t="s">
        <v>165</v>
      </c>
      <c r="CK71" s="15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</row>
    <row r="72" spans="1:110" outlineLevel="2" x14ac:dyDescent="0.2">
      <c r="A72" s="14">
        <v>1</v>
      </c>
      <c r="C72" s="9" t="str">
        <f>"        Recommended Normalized Basic EPS"</f>
        <v xml:space="preserve">        Recommended Normalized Basic EPS</v>
      </c>
      <c r="D72" s="18">
        <f t="shared" si="16"/>
        <v>0.57964420992278098</v>
      </c>
      <c r="E72" s="18">
        <f t="shared" si="17"/>
        <v>0.83032349993074739</v>
      </c>
      <c r="F72" s="18">
        <f t="shared" si="18"/>
        <v>-1.55</v>
      </c>
      <c r="G72" s="18">
        <f t="shared" si="19"/>
        <v>4.7353980782504692</v>
      </c>
      <c r="H72" s="18">
        <f t="shared" si="20"/>
        <v>0.2</v>
      </c>
      <c r="I72" s="18">
        <f t="shared" si="21"/>
        <v>1.2675769343065681</v>
      </c>
      <c r="J72" s="18">
        <f t="shared" si="22"/>
        <v>1.0927746298291159</v>
      </c>
      <c r="K72" s="18">
        <f t="shared" si="23"/>
        <v>1.3160829844274649</v>
      </c>
      <c r="L72" s="22"/>
      <c r="M72" s="22">
        <v>4.2951066127427104</v>
      </c>
      <c r="N72" s="22">
        <v>4.7353980782504692</v>
      </c>
      <c r="O72" s="22">
        <v>1.2781547657561521</v>
      </c>
      <c r="P72" s="22">
        <v>0.71932519783526261</v>
      </c>
      <c r="Q72" s="22">
        <v>0.67136591152527814</v>
      </c>
      <c r="R72" s="22">
        <v>0.7497742809235135</v>
      </c>
      <c r="S72" s="22">
        <v>0.66288235402706241</v>
      </c>
      <c r="T72" s="22">
        <v>0.46423484582231184</v>
      </c>
      <c r="U72" s="22">
        <v>0.80857216532822518</v>
      </c>
      <c r="V72" s="22">
        <v>1.3999179543279092</v>
      </c>
      <c r="W72" s="22">
        <v>1.9809365635267357</v>
      </c>
      <c r="X72" s="22">
        <v>2.6201859467191131</v>
      </c>
      <c r="Y72" s="22">
        <v>2.7167558886509635</v>
      </c>
      <c r="Z72" s="22">
        <v>2.656349641179482</v>
      </c>
      <c r="AA72" s="22">
        <v>2.1532061646250851</v>
      </c>
      <c r="AB72" s="22">
        <v>1.8724367753126998</v>
      </c>
      <c r="AC72" s="22">
        <v>1.6548760908467777</v>
      </c>
      <c r="AD72" s="22">
        <v>1.2569991028569842</v>
      </c>
      <c r="AE72" s="22">
        <v>0.99360822687922412</v>
      </c>
      <c r="AF72" s="22">
        <v>1.0424353560050381</v>
      </c>
      <c r="AG72" s="22">
        <v>1.0633794391835307</v>
      </c>
      <c r="AH72" s="22">
        <v>1.2432969621492407</v>
      </c>
      <c r="AI72" s="22">
        <v>1.4566819225677878</v>
      </c>
      <c r="AJ72" s="22">
        <v>1.5917365514420128</v>
      </c>
      <c r="AK72" s="22">
        <v>1.9641189360427422</v>
      </c>
      <c r="AL72" s="22">
        <v>2.8135197030719419</v>
      </c>
      <c r="AM72" s="22">
        <v>2.6714450314639908</v>
      </c>
      <c r="AN72" s="22">
        <v>2.3669864170056019</v>
      </c>
      <c r="AO72" s="22">
        <v>2.0296913431488433</v>
      </c>
      <c r="AP72" s="22">
        <v>1.7479436947631228</v>
      </c>
      <c r="AQ72" s="22">
        <v>0.72377419883281369</v>
      </c>
      <c r="AR72" s="22">
        <v>1.055596715441131</v>
      </c>
      <c r="AS72" s="22">
        <v>0.37874008947553095</v>
      </c>
      <c r="AT72" s="22">
        <v>8.910925101999248E-2</v>
      </c>
      <c r="AU72" s="22">
        <v>0.11787863702408562</v>
      </c>
      <c r="AV72" s="22">
        <v>1.2293236778727197</v>
      </c>
      <c r="AW72" s="22">
        <v>1.1007491167255516</v>
      </c>
      <c r="AX72" s="22">
        <v>0.64718983832175314</v>
      </c>
      <c r="AY72" s="22">
        <v>0.37962886283253372</v>
      </c>
      <c r="AZ72" s="22">
        <v>0.41979483437511877</v>
      </c>
      <c r="BA72" s="22">
        <v>0.57964420992278098</v>
      </c>
      <c r="BB72" s="22">
        <v>0.53992869858691706</v>
      </c>
      <c r="BC72" s="22">
        <v>-1.1823813657543019</v>
      </c>
      <c r="BD72" s="22">
        <v>0.39776915151882131</v>
      </c>
      <c r="BE72" s="22">
        <v>0.24683460142399372</v>
      </c>
      <c r="BF72" s="22">
        <v>-1.55</v>
      </c>
      <c r="BG72" s="22">
        <v>0.17</v>
      </c>
      <c r="BH72" s="22">
        <v>0.23</v>
      </c>
      <c r="BI72" s="22">
        <v>0.27</v>
      </c>
      <c r="BJ72" s="22">
        <v>0.36</v>
      </c>
      <c r="BK72" s="22">
        <v>0.36</v>
      </c>
      <c r="BL72" s="22">
        <v>0.33</v>
      </c>
      <c r="BM72" s="22">
        <v>0.31</v>
      </c>
      <c r="BN72" s="22">
        <v>0.3</v>
      </c>
      <c r="BO72" s="22">
        <v>0.25</v>
      </c>
      <c r="BP72" s="22">
        <v>0.24</v>
      </c>
      <c r="BQ72" s="22">
        <v>0.19</v>
      </c>
      <c r="BR72" s="22">
        <v>0.16</v>
      </c>
      <c r="BS72" s="22">
        <v>0.21</v>
      </c>
      <c r="BT72" s="22">
        <v>0.17</v>
      </c>
      <c r="BU72" s="22">
        <v>0.17829116873804457</v>
      </c>
      <c r="BV72" s="22">
        <v>0.13962623207601479</v>
      </c>
      <c r="BW72" s="22">
        <v>0.11131341649218462</v>
      </c>
      <c r="BX72" s="22">
        <v>8.3978932144384816E-2</v>
      </c>
      <c r="BY72" s="22">
        <v>0.56161130375619495</v>
      </c>
      <c r="BZ72" s="22">
        <v>0.61</v>
      </c>
      <c r="CA72" s="22">
        <v>0.6</v>
      </c>
      <c r="CB72" s="22">
        <v>0.57999999999999996</v>
      </c>
      <c r="CC72" s="22">
        <v>-0.54</v>
      </c>
      <c r="CD72" s="22">
        <v>-0.5</v>
      </c>
      <c r="CE72" s="22">
        <v>-0.53</v>
      </c>
      <c r="CF72" s="22">
        <v>-0.85</v>
      </c>
      <c r="CG72" s="22">
        <v>-0.195461</v>
      </c>
      <c r="CH72" s="22">
        <v>-0.23</v>
      </c>
      <c r="CI72" s="22">
        <v>-0.15</v>
      </c>
      <c r="CK72" s="15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</row>
    <row r="73" spans="1:110" outlineLevel="2" x14ac:dyDescent="0.2">
      <c r="A73" s="14">
        <v>1</v>
      </c>
      <c r="C73" s="9" t="str">
        <f>"        Recommended Normalized Diluted EPS"</f>
        <v xml:space="preserve">        Recommended Normalized Diluted EPS</v>
      </c>
      <c r="D73" s="18">
        <f t="shared" si="16"/>
        <v>0.50978878970492136</v>
      </c>
      <c r="E73" s="18">
        <f t="shared" si="17"/>
        <v>0.80530831798188574</v>
      </c>
      <c r="F73" s="18">
        <f t="shared" si="18"/>
        <v>-1.56</v>
      </c>
      <c r="G73" s="18">
        <f t="shared" si="19"/>
        <v>4.7024999999999997</v>
      </c>
      <c r="H73" s="18">
        <f t="shared" si="20"/>
        <v>0.16999999999999998</v>
      </c>
      <c r="I73" s="18">
        <f t="shared" si="21"/>
        <v>1.29</v>
      </c>
      <c r="J73" s="18">
        <f t="shared" si="22"/>
        <v>1.0810709043505271</v>
      </c>
      <c r="K73" s="18">
        <f t="shared" si="23"/>
        <v>1.3424310667244894</v>
      </c>
      <c r="L73" s="22"/>
      <c r="M73" s="22">
        <v>4.25</v>
      </c>
      <c r="N73" s="22">
        <v>4.7024999999999997</v>
      </c>
      <c r="O73" s="22">
        <v>1.4025000000000001</v>
      </c>
      <c r="P73" s="22">
        <v>0.86750000000000005</v>
      </c>
      <c r="Q73" s="22">
        <v>0.66</v>
      </c>
      <c r="R73" s="22">
        <v>0.74</v>
      </c>
      <c r="S73" s="22">
        <v>0.65</v>
      </c>
      <c r="T73" s="22">
        <v>0.46</v>
      </c>
      <c r="U73" s="22">
        <v>0.79</v>
      </c>
      <c r="V73" s="22">
        <v>1.36</v>
      </c>
      <c r="W73" s="22">
        <v>1.93</v>
      </c>
      <c r="X73" s="22">
        <v>2.58</v>
      </c>
      <c r="Y73" s="22">
        <v>2.67</v>
      </c>
      <c r="Z73" s="22">
        <v>2.6</v>
      </c>
      <c r="AA73" s="22">
        <v>2.12</v>
      </c>
      <c r="AB73" s="22">
        <v>1.83</v>
      </c>
      <c r="AC73" s="22">
        <v>1.61</v>
      </c>
      <c r="AD73" s="22">
        <v>1.22</v>
      </c>
      <c r="AE73" s="22">
        <v>1.07</v>
      </c>
      <c r="AF73" s="22">
        <v>1.02</v>
      </c>
      <c r="AG73" s="22">
        <v>1.04</v>
      </c>
      <c r="AH73" s="22">
        <v>1.18</v>
      </c>
      <c r="AI73" s="22">
        <v>1.4145379448744486</v>
      </c>
      <c r="AJ73" s="22">
        <v>1.55</v>
      </c>
      <c r="AK73" s="22">
        <v>1.8991096510022378</v>
      </c>
      <c r="AL73" s="22">
        <v>2.7380361355968676</v>
      </c>
      <c r="AM73" s="22">
        <v>2.6121661542171579</v>
      </c>
      <c r="AN73" s="22">
        <v>2.3141712433600432</v>
      </c>
      <c r="AO73" s="22">
        <v>1.9338929122034603</v>
      </c>
      <c r="AP73" s="22">
        <v>1.6740453871994601</v>
      </c>
      <c r="AQ73" s="22">
        <v>0.71078227122998161</v>
      </c>
      <c r="AR73" s="22">
        <v>1.0165435438559984</v>
      </c>
      <c r="AS73" s="22">
        <v>0.37874008947553095</v>
      </c>
      <c r="AT73" s="22">
        <v>8.910925101999248E-2</v>
      </c>
      <c r="AU73" s="22">
        <v>0.11787863702408562</v>
      </c>
      <c r="AV73" s="22">
        <v>1.1775031829113027</v>
      </c>
      <c r="AW73" s="22">
        <v>1.0361110569821776</v>
      </c>
      <c r="AX73" s="22">
        <v>0.60448298282414681</v>
      </c>
      <c r="AY73" s="22">
        <v>0.36505618145995422</v>
      </c>
      <c r="AZ73" s="22">
        <v>0.40538041411727016</v>
      </c>
      <c r="BA73" s="22">
        <v>0.54958156046690376</v>
      </c>
      <c r="BB73" s="22">
        <v>0.50978878970492136</v>
      </c>
      <c r="BC73" s="22">
        <v>-1.2020015870240011</v>
      </c>
      <c r="BD73" s="22">
        <v>0.39776915151882131</v>
      </c>
      <c r="BE73" s="22">
        <v>0.23683460142399371</v>
      </c>
      <c r="BF73" s="22">
        <v>-1.56</v>
      </c>
      <c r="BG73" s="22">
        <v>0.16</v>
      </c>
      <c r="BH73" s="22">
        <v>0.22</v>
      </c>
      <c r="BI73" s="22">
        <v>0.26</v>
      </c>
      <c r="BJ73" s="22">
        <v>0.34</v>
      </c>
      <c r="BK73" s="22">
        <v>0.34</v>
      </c>
      <c r="BL73" s="22">
        <v>0.31</v>
      </c>
      <c r="BM73" s="22">
        <v>0.3</v>
      </c>
      <c r="BN73" s="22">
        <v>0.28000000000000003</v>
      </c>
      <c r="BO73" s="22">
        <v>0.23</v>
      </c>
      <c r="BP73" s="22">
        <v>0.22</v>
      </c>
      <c r="BQ73" s="22">
        <v>0.16</v>
      </c>
      <c r="BR73" s="22">
        <v>0.14000000000000001</v>
      </c>
      <c r="BS73" s="22">
        <v>0.18</v>
      </c>
      <c r="BT73" s="22">
        <v>0.14000000000000001</v>
      </c>
      <c r="BU73" s="22">
        <v>0.14158654561436815</v>
      </c>
      <c r="BV73" s="22">
        <v>0.11244692412792595</v>
      </c>
      <c r="BW73" s="22">
        <v>8.1685455737063303E-2</v>
      </c>
      <c r="BX73" s="22">
        <v>6.880249113155848E-2</v>
      </c>
      <c r="BY73" s="22">
        <v>0.48093087658577433</v>
      </c>
      <c r="BZ73" s="22">
        <v>0.52</v>
      </c>
      <c r="CA73" s="22">
        <v>0.52</v>
      </c>
      <c r="CB73" s="22">
        <v>0.49</v>
      </c>
      <c r="CC73" s="22">
        <v>-0.55000000000000004</v>
      </c>
      <c r="CD73" s="22">
        <v>-0.50434800000000002</v>
      </c>
      <c r="CE73" s="22">
        <v>-0.53706799999999999</v>
      </c>
      <c r="CF73" s="22">
        <v>-0.85</v>
      </c>
      <c r="CG73" s="22">
        <v>-0.197295</v>
      </c>
      <c r="CH73" s="22">
        <v>-0.23063700000000001</v>
      </c>
      <c r="CI73" s="22">
        <v>-0.15</v>
      </c>
      <c r="CK73" s="15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</row>
    <row r="74" spans="1:110" outlineLevel="2" x14ac:dyDescent="0.2">
      <c r="A74" s="14">
        <v>1</v>
      </c>
      <c r="C74" s="9" t="str">
        <f>"        Sales per Share"</f>
        <v xml:space="preserve">        Sales per Share</v>
      </c>
      <c r="D74" s="18">
        <f t="shared" si="16"/>
        <v>6.7353892029937557</v>
      </c>
      <c r="E74" s="18">
        <f t="shared" si="17"/>
        <v>7.487337217306437</v>
      </c>
      <c r="F74" s="18">
        <f t="shared" si="18"/>
        <v>0</v>
      </c>
      <c r="G74" s="18">
        <f t="shared" si="19"/>
        <v>19.411049210495481</v>
      </c>
      <c r="H74" s="18">
        <f t="shared" si="20"/>
        <v>3.9587284523553778</v>
      </c>
      <c r="I74" s="18">
        <f t="shared" si="21"/>
        <v>10.242474164094663</v>
      </c>
      <c r="J74" s="18">
        <f t="shared" si="22"/>
        <v>4.2231207426940562</v>
      </c>
      <c r="K74" s="18">
        <f t="shared" si="23"/>
        <v>0.56403506615577814</v>
      </c>
      <c r="L74" s="22"/>
      <c r="M74" s="22">
        <v>18.105221253771372</v>
      </c>
      <c r="N74" s="22">
        <v>19.411049210495481</v>
      </c>
      <c r="O74" s="22">
        <v>10.555821674766348</v>
      </c>
      <c r="P74" s="22">
        <v>8.9414219978399618</v>
      </c>
      <c r="Q74" s="22">
        <v>11.441347032347062</v>
      </c>
      <c r="R74" s="22">
        <v>11.462257198744485</v>
      </c>
      <c r="S74" s="22">
        <v>11.193599622439441</v>
      </c>
      <c r="T74" s="22">
        <v>11.067038698617646</v>
      </c>
      <c r="U74" s="22">
        <v>12.042492609586681</v>
      </c>
      <c r="V74" s="22">
        <v>13.283864425639599</v>
      </c>
      <c r="W74" s="22">
        <v>14.698298202025059</v>
      </c>
      <c r="X74" s="22">
        <v>15.875762422878838</v>
      </c>
      <c r="Y74" s="22">
        <v>15.703428857135339</v>
      </c>
      <c r="Z74" s="22">
        <v>15.378602781744142</v>
      </c>
      <c r="AA74" s="22">
        <v>13.887510765051095</v>
      </c>
      <c r="AB74" s="22">
        <v>12.917144643973913</v>
      </c>
      <c r="AC74" s="22">
        <v>12.275392152456289</v>
      </c>
      <c r="AD74" s="22">
        <v>10.89192169338949</v>
      </c>
      <c r="AE74" s="22">
        <v>10.311400083543706</v>
      </c>
      <c r="AF74" s="22">
        <v>9.9924313753892946</v>
      </c>
      <c r="AG74" s="22">
        <v>9.840070897811712</v>
      </c>
      <c r="AH74" s="22">
        <v>9.9474765887483017</v>
      </c>
      <c r="AI74" s="22">
        <v>10.173548244645618</v>
      </c>
      <c r="AJ74" s="22">
        <v>10.423861330139403</v>
      </c>
      <c r="AK74" s="22">
        <v>10.076528749861131</v>
      </c>
      <c r="AL74" s="22">
        <v>9.6106393280100821</v>
      </c>
      <c r="AM74" s="22">
        <v>9.3829354313619096</v>
      </c>
      <c r="AN74" s="22">
        <v>8.8159719096065547</v>
      </c>
      <c r="AO74" s="22">
        <v>7.8526677187624143</v>
      </c>
      <c r="AP74" s="22">
        <v>7.3423843682612331</v>
      </c>
      <c r="AQ74" s="22">
        <v>6.7353892029937557</v>
      </c>
      <c r="AR74" s="22">
        <v>6.1238907799099245</v>
      </c>
      <c r="AS74" s="22">
        <v>5.9894823079623922</v>
      </c>
      <c r="AT74" s="22">
        <v>5.7994151860915997</v>
      </c>
      <c r="AU74" s="22">
        <v>5.7666233603289658</v>
      </c>
      <c r="AV74" s="22">
        <v>5.3792458464972261</v>
      </c>
      <c r="AW74" s="22">
        <v>4.6161604745332028</v>
      </c>
      <c r="AX74" s="22">
        <v>4.7656916396399183</v>
      </c>
      <c r="AY74" s="22">
        <v>5.2446236860284916</v>
      </c>
      <c r="AZ74" s="22">
        <v>5.4681923735028111</v>
      </c>
      <c r="BA74" s="22">
        <v>6.635803029677632</v>
      </c>
      <c r="BB74" s="22">
        <v>7.0914363755104359</v>
      </c>
      <c r="BC74" s="22">
        <v>7.1024649410135545</v>
      </c>
      <c r="BD74" s="22">
        <v>7.1568522712704583</v>
      </c>
      <c r="BE74" s="22">
        <v>6.8169955956864428</v>
      </c>
      <c r="BF74" s="22">
        <v>6.6956982470189255</v>
      </c>
      <c r="BG74" s="22">
        <v>6.9154532977228369</v>
      </c>
      <c r="BH74" s="22">
        <v>7.0557649722654796</v>
      </c>
      <c r="BI74" s="22">
        <v>7.0788284614777277</v>
      </c>
      <c r="BJ74" s="22">
        <v>6.3210407861857005</v>
      </c>
      <c r="BK74" s="22">
        <v>6.1035284708902795</v>
      </c>
      <c r="BL74" s="22">
        <v>5.713664557656986</v>
      </c>
      <c r="BM74" s="22">
        <v>4.9980732152496561</v>
      </c>
      <c r="BN74" s="22">
        <v>4.6703473685339283</v>
      </c>
      <c r="BO74" s="22">
        <v>4.3392522548794821</v>
      </c>
      <c r="BP74" s="22">
        <v>4.0226315877442014</v>
      </c>
      <c r="BQ74" s="22">
        <v>3.6946543272054746</v>
      </c>
      <c r="BR74" s="22">
        <v>3.5836485748240854</v>
      </c>
      <c r="BS74" s="22">
        <v>3.4987906848977177</v>
      </c>
      <c r="BT74" s="22">
        <v>3.433438866562744</v>
      </c>
      <c r="BU74" s="22">
        <v>2.9998016548034294</v>
      </c>
      <c r="BV74" s="22">
        <v>3.2821112392368614</v>
      </c>
      <c r="BW74" s="22">
        <v>3.2405357733764926</v>
      </c>
      <c r="BX74" s="22">
        <v>3.8948253169665548</v>
      </c>
      <c r="BY74" s="22">
        <v>3.6214719492564886</v>
      </c>
      <c r="BZ74" s="22">
        <v>2.8514989026680535</v>
      </c>
      <c r="CA74" s="22">
        <v>2.8524734604496689</v>
      </c>
      <c r="CB74" s="22">
        <v>2.8262304929350326</v>
      </c>
      <c r="CC74" s="22">
        <v>2.9719174938409183</v>
      </c>
      <c r="CD74" s="22">
        <v>3.5728748833871613</v>
      </c>
      <c r="CE74" s="22">
        <v>3.83918027236659</v>
      </c>
      <c r="CF74" s="22">
        <v>3.8581958458900472</v>
      </c>
      <c r="CG74" s="22">
        <v>0.01</v>
      </c>
      <c r="CH74" s="22">
        <v>0.01</v>
      </c>
      <c r="CI74" s="22">
        <v>0</v>
      </c>
      <c r="CK74" s="15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</row>
    <row r="75" spans="1:110" outlineLevel="2" x14ac:dyDescent="0.2">
      <c r="A75" s="14">
        <v>1</v>
      </c>
      <c r="C75" s="9" t="str">
        <f>"        Total Dividend per Share"</f>
        <v xml:space="preserve">        Total Dividend per Share</v>
      </c>
      <c r="D75" s="18">
        <f t="shared" si="16"/>
        <v>0.18500000000000003</v>
      </c>
      <c r="E75" s="18">
        <f t="shared" si="17"/>
        <v>0.1738888888888889</v>
      </c>
      <c r="F75" s="18">
        <f t="shared" si="18"/>
        <v>1.6666666666666666E-2</v>
      </c>
      <c r="G75" s="18">
        <f t="shared" si="19"/>
        <v>0.32</v>
      </c>
      <c r="H75" s="18">
        <f t="shared" si="20"/>
        <v>0.10083333333333334</v>
      </c>
      <c r="I75" s="18">
        <f t="shared" si="21"/>
        <v>0.2525</v>
      </c>
      <c r="J75" s="18">
        <f t="shared" si="22"/>
        <v>0.15197161040921545</v>
      </c>
      <c r="K75" s="18">
        <f t="shared" si="23"/>
        <v>0.87395814292839546</v>
      </c>
      <c r="L75" s="22"/>
      <c r="M75" s="22">
        <v>0.32</v>
      </c>
      <c r="N75" s="22">
        <v>0.18500000000000003</v>
      </c>
      <c r="O75" s="22">
        <v>1.6666666666666666E-2</v>
      </c>
      <c r="P75" s="22"/>
      <c r="Q75" s="22"/>
      <c r="R75" s="22" t="s">
        <v>165</v>
      </c>
      <c r="S75" s="22" t="s">
        <v>165</v>
      </c>
      <c r="T75" s="22" t="s">
        <v>165</v>
      </c>
      <c r="U75" s="22" t="s">
        <v>165</v>
      </c>
      <c r="V75" s="22" t="s">
        <v>165</v>
      </c>
      <c r="W75" s="22" t="s">
        <v>165</v>
      </c>
      <c r="X75" s="22" t="s">
        <v>165</v>
      </c>
      <c r="Y75" s="22" t="s">
        <v>165</v>
      </c>
      <c r="Z75" s="22" t="s">
        <v>165</v>
      </c>
      <c r="AA75" s="22" t="s">
        <v>165</v>
      </c>
      <c r="AB75" s="22" t="s">
        <v>165</v>
      </c>
      <c r="AC75" s="22" t="s">
        <v>165</v>
      </c>
      <c r="AD75" s="22" t="s">
        <v>165</v>
      </c>
      <c r="AE75" s="22" t="s">
        <v>165</v>
      </c>
      <c r="AF75" s="22" t="s">
        <v>165</v>
      </c>
      <c r="AG75" s="22" t="s">
        <v>165</v>
      </c>
      <c r="AH75" s="22" t="s">
        <v>165</v>
      </c>
      <c r="AI75" s="22" t="s">
        <v>165</v>
      </c>
      <c r="AJ75" s="22" t="s">
        <v>165</v>
      </c>
      <c r="AK75" s="22" t="s">
        <v>165</v>
      </c>
      <c r="AL75" s="22" t="s">
        <v>165</v>
      </c>
      <c r="AM75" s="22" t="s">
        <v>165</v>
      </c>
      <c r="AN75" s="22" t="s">
        <v>165</v>
      </c>
      <c r="AO75" s="22" t="s">
        <v>165</v>
      </c>
      <c r="AP75" s="22" t="s">
        <v>165</v>
      </c>
      <c r="AQ75" s="22" t="s">
        <v>165</v>
      </c>
      <c r="AR75" s="22" t="s">
        <v>165</v>
      </c>
      <c r="AS75" s="22" t="s">
        <v>165</v>
      </c>
      <c r="AT75" s="22" t="s">
        <v>165</v>
      </c>
      <c r="AU75" s="22" t="s">
        <v>165</v>
      </c>
      <c r="AV75" s="22" t="s">
        <v>165</v>
      </c>
      <c r="AW75" s="22" t="s">
        <v>165</v>
      </c>
      <c r="AX75" s="22" t="s">
        <v>165</v>
      </c>
      <c r="AY75" s="22" t="s">
        <v>165</v>
      </c>
      <c r="AZ75" s="22" t="s">
        <v>165</v>
      </c>
      <c r="BA75" s="22" t="s">
        <v>165</v>
      </c>
      <c r="BB75" s="22" t="s">
        <v>165</v>
      </c>
      <c r="BC75" s="22" t="s">
        <v>165</v>
      </c>
      <c r="BD75" s="22" t="s">
        <v>165</v>
      </c>
      <c r="BE75" s="22" t="s">
        <v>165</v>
      </c>
      <c r="BF75" s="22" t="s">
        <v>165</v>
      </c>
      <c r="BG75" s="22" t="s">
        <v>165</v>
      </c>
      <c r="BH75" s="22" t="s">
        <v>165</v>
      </c>
      <c r="BI75" s="22" t="s">
        <v>165</v>
      </c>
      <c r="BJ75" s="22" t="s">
        <v>165</v>
      </c>
      <c r="BK75" s="22" t="s">
        <v>165</v>
      </c>
      <c r="BL75" s="22" t="s">
        <v>165</v>
      </c>
      <c r="BM75" s="22" t="s">
        <v>165</v>
      </c>
      <c r="BN75" s="22" t="s">
        <v>165</v>
      </c>
      <c r="BO75" s="22" t="s">
        <v>165</v>
      </c>
      <c r="BP75" s="22" t="s">
        <v>165</v>
      </c>
      <c r="BQ75" s="22" t="s">
        <v>165</v>
      </c>
      <c r="BR75" s="22" t="s">
        <v>165</v>
      </c>
      <c r="BS75" s="22" t="s">
        <v>165</v>
      </c>
      <c r="BT75" s="22" t="s">
        <v>165</v>
      </c>
      <c r="BU75" s="22" t="s">
        <v>165</v>
      </c>
      <c r="BV75" s="22" t="s">
        <v>165</v>
      </c>
      <c r="BW75" s="22" t="s">
        <v>165</v>
      </c>
      <c r="BX75" s="22" t="s">
        <v>165</v>
      </c>
      <c r="BY75" s="22" t="s">
        <v>165</v>
      </c>
      <c r="BZ75" s="22" t="s">
        <v>165</v>
      </c>
      <c r="CA75" s="22" t="s">
        <v>165</v>
      </c>
      <c r="CB75" s="22" t="s">
        <v>165</v>
      </c>
      <c r="CC75" s="22" t="s">
        <v>165</v>
      </c>
      <c r="CD75" s="22" t="s">
        <v>165</v>
      </c>
      <c r="CE75" s="22" t="s">
        <v>165</v>
      </c>
      <c r="CF75" s="22" t="s">
        <v>165</v>
      </c>
      <c r="CG75" s="22" t="s">
        <v>165</v>
      </c>
      <c r="CH75" s="22" t="s">
        <v>165</v>
      </c>
      <c r="CI75" s="22" t="s">
        <v>165</v>
      </c>
      <c r="CK75" s="15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</row>
    <row r="76" spans="1:110" outlineLevel="1" x14ac:dyDescent="0.2">
      <c r="A76" s="14">
        <v>1</v>
      </c>
      <c r="C76" s="9" t="str">
        <f>"    Reported Normalized and Operating Income/Expense Supplemental Section"</f>
        <v xml:space="preserve">    Reported Normalized and Operating Income/Expense Supplemental Section</v>
      </c>
      <c r="D76" s="20"/>
      <c r="E76" s="20"/>
      <c r="F76" s="20"/>
      <c r="G76" s="20"/>
      <c r="H76" s="20"/>
      <c r="I76" s="20"/>
      <c r="J76" s="20"/>
      <c r="K76" s="20"/>
      <c r="L76" s="25"/>
      <c r="M76" s="25" t="s">
        <v>165</v>
      </c>
      <c r="N76" s="25"/>
      <c r="O76" s="25"/>
      <c r="P76" s="25"/>
      <c r="Q76" s="25"/>
      <c r="R76" s="25" t="s">
        <v>165</v>
      </c>
      <c r="S76" s="25" t="s">
        <v>165</v>
      </c>
      <c r="T76" s="25" t="s">
        <v>165</v>
      </c>
      <c r="U76" s="25" t="s">
        <v>165</v>
      </c>
      <c r="V76" s="25" t="s">
        <v>165</v>
      </c>
      <c r="W76" s="25" t="s">
        <v>165</v>
      </c>
      <c r="X76" s="25" t="s">
        <v>165</v>
      </c>
      <c r="Y76" s="25" t="s">
        <v>165</v>
      </c>
      <c r="Z76" s="25" t="s">
        <v>165</v>
      </c>
      <c r="AA76" s="25" t="s">
        <v>165</v>
      </c>
      <c r="AB76" s="25" t="s">
        <v>165</v>
      </c>
      <c r="AC76" s="25" t="s">
        <v>165</v>
      </c>
      <c r="AD76" s="25" t="s">
        <v>165</v>
      </c>
      <c r="AE76" s="25" t="s">
        <v>165</v>
      </c>
      <c r="AF76" s="25" t="s">
        <v>165</v>
      </c>
      <c r="AG76" s="25" t="s">
        <v>165</v>
      </c>
      <c r="AH76" s="25" t="s">
        <v>165</v>
      </c>
      <c r="AI76" s="25" t="s">
        <v>165</v>
      </c>
      <c r="AJ76" s="25" t="s">
        <v>165</v>
      </c>
      <c r="AK76" s="25" t="s">
        <v>165</v>
      </c>
      <c r="AL76" s="25" t="s">
        <v>165</v>
      </c>
      <c r="AM76" s="25" t="s">
        <v>165</v>
      </c>
      <c r="AN76" s="25" t="s">
        <v>165</v>
      </c>
      <c r="AO76" s="25" t="s">
        <v>165</v>
      </c>
      <c r="AP76" s="25" t="s">
        <v>165</v>
      </c>
      <c r="AQ76" s="25" t="s">
        <v>165</v>
      </c>
      <c r="AR76" s="25" t="s">
        <v>165</v>
      </c>
      <c r="AS76" s="25" t="s">
        <v>165</v>
      </c>
      <c r="AT76" s="25" t="s">
        <v>165</v>
      </c>
      <c r="AU76" s="25" t="s">
        <v>165</v>
      </c>
      <c r="AV76" s="25" t="s">
        <v>165</v>
      </c>
      <c r="AW76" s="25" t="s">
        <v>165</v>
      </c>
      <c r="AX76" s="25" t="s">
        <v>165</v>
      </c>
      <c r="AY76" s="25" t="s">
        <v>165</v>
      </c>
      <c r="AZ76" s="25" t="s">
        <v>165</v>
      </c>
      <c r="BA76" s="25" t="s">
        <v>165</v>
      </c>
      <c r="BB76" s="25" t="s">
        <v>165</v>
      </c>
      <c r="BC76" s="25" t="s">
        <v>165</v>
      </c>
      <c r="BD76" s="25" t="s">
        <v>165</v>
      </c>
      <c r="BE76" s="25" t="s">
        <v>165</v>
      </c>
      <c r="BF76" s="25" t="s">
        <v>165</v>
      </c>
      <c r="BG76" s="25" t="s">
        <v>165</v>
      </c>
      <c r="BH76" s="25" t="s">
        <v>165</v>
      </c>
      <c r="BI76" s="25" t="s">
        <v>165</v>
      </c>
      <c r="BJ76" s="25" t="s">
        <v>165</v>
      </c>
      <c r="BK76" s="25" t="s">
        <v>165</v>
      </c>
      <c r="BL76" s="25" t="s">
        <v>165</v>
      </c>
      <c r="BM76" s="25" t="s">
        <v>165</v>
      </c>
      <c r="BN76" s="25" t="s">
        <v>165</v>
      </c>
      <c r="BO76" s="25" t="s">
        <v>165</v>
      </c>
      <c r="BP76" s="25" t="s">
        <v>165</v>
      </c>
      <c r="BQ76" s="25" t="s">
        <v>165</v>
      </c>
      <c r="BR76" s="25" t="s">
        <v>165</v>
      </c>
      <c r="BS76" s="25" t="s">
        <v>165</v>
      </c>
      <c r="BT76" s="25" t="s">
        <v>165</v>
      </c>
      <c r="BU76" s="25" t="s">
        <v>165</v>
      </c>
      <c r="BV76" s="25" t="s">
        <v>165</v>
      </c>
      <c r="BW76" s="25" t="s">
        <v>165</v>
      </c>
      <c r="BX76" s="25" t="s">
        <v>165</v>
      </c>
      <c r="BY76" s="25" t="s">
        <v>165</v>
      </c>
      <c r="BZ76" s="25" t="s">
        <v>165</v>
      </c>
      <c r="CA76" s="25" t="s">
        <v>165</v>
      </c>
      <c r="CB76" s="25" t="s">
        <v>165</v>
      </c>
      <c r="CC76" s="25" t="s">
        <v>165</v>
      </c>
      <c r="CD76" s="25" t="s">
        <v>165</v>
      </c>
      <c r="CE76" s="25" t="s">
        <v>165</v>
      </c>
      <c r="CF76" s="25" t="s">
        <v>165</v>
      </c>
      <c r="CG76" s="25" t="s">
        <v>165</v>
      </c>
      <c r="CH76" s="25" t="s">
        <v>165</v>
      </c>
      <c r="CI76" s="25" t="s">
        <v>165</v>
      </c>
      <c r="CK76" s="15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</row>
    <row r="77" spans="1:110" outlineLevel="2" x14ac:dyDescent="0.2">
      <c r="A77" s="14">
        <v>1</v>
      </c>
      <c r="C77" s="9" t="str">
        <f>"        Reported Total Revenue"</f>
        <v xml:space="preserve">        Reported Total Revenue</v>
      </c>
      <c r="D77" s="17">
        <f t="shared" ref="D77:D84" si="24">IF(COUNT(M77:CI77)&gt;0,MEDIAN(M77:CI77),"")</f>
        <v>357926</v>
      </c>
      <c r="E77" s="17">
        <f t="shared" ref="E77:E84" si="25">IF(COUNT(M77:CI77)&gt;0,AVERAGE(M77:CI77),"")</f>
        <v>400811.47030666668</v>
      </c>
      <c r="F77" s="17">
        <f t="shared" ref="F77:F84" si="26">IF(COUNT(M77:CI77)&gt;0,MIN(M77:CI77),"")</f>
        <v>0</v>
      </c>
      <c r="G77" s="17">
        <f t="shared" ref="G77:G84" si="27">IF(COUNT(M77:CI77)&gt;0,MAX(M77:CI77),"")</f>
        <v>1044518.75</v>
      </c>
      <c r="H77" s="17">
        <f t="shared" ref="H77:H84" si="28">IF(COUNT(M77:CI77)&gt;0,QUARTILE(M77:CI77,1),"")</f>
        <v>152113.73850000001</v>
      </c>
      <c r="I77" s="17">
        <f t="shared" ref="I77:I84" si="29">IF(COUNT(M77:CI77)&gt;0,QUARTILE(M77:CI77,3),"")</f>
        <v>604701</v>
      </c>
      <c r="J77" s="17">
        <f t="shared" ref="J77:J84" si="30">IF(COUNT(M77:CI77)&gt;1,STDEV(M77:CI77),"")</f>
        <v>256439.22093571161</v>
      </c>
      <c r="K77" s="18">
        <f t="shared" ref="K77:K84" si="31">IF(COUNT(M77:CI77)&gt;1,STDEV(M77:CI77)/AVERAGE(M77:CI77),"")</f>
        <v>0.63980010537000409</v>
      </c>
      <c r="L77" s="21"/>
      <c r="M77" s="21">
        <v>864126</v>
      </c>
      <c r="N77" s="22">
        <v>1044518.75</v>
      </c>
      <c r="O77" s="22">
        <v>587029.75</v>
      </c>
      <c r="P77" s="22">
        <v>493006.5</v>
      </c>
      <c r="Q77" s="22">
        <v>629364.75</v>
      </c>
      <c r="R77" s="21">
        <v>629937</v>
      </c>
      <c r="S77" s="21">
        <v>616661</v>
      </c>
      <c r="T77" s="21">
        <v>606850</v>
      </c>
      <c r="U77" s="21">
        <v>664011</v>
      </c>
      <c r="V77" s="21">
        <v>740157</v>
      </c>
      <c r="W77" s="21">
        <v>825258</v>
      </c>
      <c r="X77" s="21">
        <v>903188</v>
      </c>
      <c r="Y77" s="21">
        <v>895119</v>
      </c>
      <c r="Z77" s="21">
        <v>872382</v>
      </c>
      <c r="AA77" s="21">
        <v>782096</v>
      </c>
      <c r="AB77" s="21">
        <v>722908</v>
      </c>
      <c r="AC77" s="21">
        <v>682788</v>
      </c>
      <c r="AD77" s="21">
        <v>602552</v>
      </c>
      <c r="AE77" s="21">
        <v>567756</v>
      </c>
      <c r="AF77" s="21">
        <v>551862</v>
      </c>
      <c r="AG77" s="21">
        <v>541290</v>
      </c>
      <c r="AH77" s="21">
        <v>556621</v>
      </c>
      <c r="AI77" s="21">
        <v>587469</v>
      </c>
      <c r="AJ77" s="21">
        <v>626620</v>
      </c>
      <c r="AK77" s="21">
        <v>634912</v>
      </c>
      <c r="AL77" s="21">
        <v>625273</v>
      </c>
      <c r="AM77" s="21">
        <v>622539</v>
      </c>
      <c r="AN77" s="21">
        <v>587514</v>
      </c>
      <c r="AO77" s="21">
        <v>538640</v>
      </c>
      <c r="AP77" s="21">
        <v>500523</v>
      </c>
      <c r="AQ77" s="21">
        <v>456262</v>
      </c>
      <c r="AR77" s="21">
        <v>411997</v>
      </c>
      <c r="AS77" s="21">
        <v>383821</v>
      </c>
      <c r="AT77" s="21">
        <v>364934</v>
      </c>
      <c r="AU77" s="21">
        <v>356200</v>
      </c>
      <c r="AV77" s="21">
        <v>342233</v>
      </c>
      <c r="AW77" s="21">
        <v>296114</v>
      </c>
      <c r="AX77" s="21">
        <v>307847</v>
      </c>
      <c r="AY77" s="21">
        <v>351121</v>
      </c>
      <c r="AZ77" s="21">
        <v>357926</v>
      </c>
      <c r="BA77" s="21">
        <v>401914</v>
      </c>
      <c r="BB77" s="21">
        <v>394654</v>
      </c>
      <c r="BC77" s="21">
        <v>358162.68300000002</v>
      </c>
      <c r="BD77" s="21">
        <v>334955</v>
      </c>
      <c r="BE77" s="21">
        <v>318526.36200000002</v>
      </c>
      <c r="BF77" s="21">
        <v>301378.04499999998</v>
      </c>
      <c r="BG77" s="21">
        <v>299547.652</v>
      </c>
      <c r="BH77" s="21">
        <v>295909.68099999998</v>
      </c>
      <c r="BI77" s="21">
        <v>295602.39799999999</v>
      </c>
      <c r="BJ77" s="21">
        <v>283404.53999999998</v>
      </c>
      <c r="BK77" s="21">
        <v>263390.74599999998</v>
      </c>
      <c r="BL77" s="21">
        <v>236552.03200000001</v>
      </c>
      <c r="BM77" s="21">
        <v>206077.47099999999</v>
      </c>
      <c r="BN77" s="21">
        <v>190765.07399999999</v>
      </c>
      <c r="BO77" s="21">
        <v>175401.758</v>
      </c>
      <c r="BP77" s="21">
        <v>160048.62400000001</v>
      </c>
      <c r="BQ77" s="21">
        <v>144178.853</v>
      </c>
      <c r="BR77" s="21">
        <v>136687.24799999999</v>
      </c>
      <c r="BS77" s="21">
        <v>130272.125</v>
      </c>
      <c r="BT77" s="21">
        <v>125788.05</v>
      </c>
      <c r="BU77" s="21">
        <v>122475.33199999999</v>
      </c>
      <c r="BV77" s="21">
        <v>118831.299</v>
      </c>
      <c r="BW77" s="21">
        <v>118464.101</v>
      </c>
      <c r="BX77" s="21">
        <v>119514.63499999999</v>
      </c>
      <c r="BY77" s="21">
        <v>114339.814</v>
      </c>
      <c r="BZ77" s="21">
        <v>112340.277</v>
      </c>
      <c r="CA77" s="21">
        <v>106573.503</v>
      </c>
      <c r="CB77" s="21">
        <v>99971.214000000007</v>
      </c>
      <c r="CC77" s="21">
        <v>99797.248000000007</v>
      </c>
      <c r="CD77" s="21">
        <v>93429.123999999996</v>
      </c>
      <c r="CE77" s="21">
        <v>89877.721000000005</v>
      </c>
      <c r="CF77" s="21">
        <v>80555.028000000006</v>
      </c>
      <c r="CG77" s="21">
        <v>34.518000000000001</v>
      </c>
      <c r="CH77" s="21">
        <v>13.367000000000001</v>
      </c>
      <c r="CI77" s="21">
        <v>0</v>
      </c>
      <c r="CK77" s="15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</row>
    <row r="78" spans="1:110" outlineLevel="2" x14ac:dyDescent="0.2">
      <c r="A78" s="14">
        <v>1</v>
      </c>
      <c r="C78" s="9" t="str">
        <f>"        Reported Operating Expense"</f>
        <v xml:space="preserve">        Reported Operating Expense</v>
      </c>
      <c r="D78" s="17">
        <f t="shared" si="24"/>
        <v>-84771</v>
      </c>
      <c r="E78" s="17">
        <f t="shared" si="25"/>
        <v>-87712.121760000009</v>
      </c>
      <c r="F78" s="17">
        <f t="shared" si="26"/>
        <v>-184124</v>
      </c>
      <c r="G78" s="17">
        <f t="shared" si="27"/>
        <v>-1243.04</v>
      </c>
      <c r="H78" s="17">
        <f t="shared" si="28"/>
        <v>-122091.5</v>
      </c>
      <c r="I78" s="17">
        <f t="shared" si="29"/>
        <v>-34705.179000000004</v>
      </c>
      <c r="J78" s="17">
        <f t="shared" si="30"/>
        <v>51739.684701309634</v>
      </c>
      <c r="K78" s="18">
        <f t="shared" si="31"/>
        <v>-0.58988066487413204</v>
      </c>
      <c r="L78" s="21"/>
      <c r="M78" s="21">
        <v>-122911</v>
      </c>
      <c r="N78" s="22">
        <v>-127877.75</v>
      </c>
      <c r="O78" s="22">
        <v>-102779.25</v>
      </c>
      <c r="P78" s="22">
        <v>-117631</v>
      </c>
      <c r="Q78" s="22">
        <v>-168011.25</v>
      </c>
      <c r="R78" s="21">
        <v>-166070</v>
      </c>
      <c r="S78" s="21">
        <v>-163819</v>
      </c>
      <c r="T78" s="21">
        <v>-168704</v>
      </c>
      <c r="U78" s="21">
        <v>-173452</v>
      </c>
      <c r="V78" s="21">
        <v>-181480</v>
      </c>
      <c r="W78" s="21">
        <v>-184124</v>
      </c>
      <c r="X78" s="21">
        <v>-175333</v>
      </c>
      <c r="Y78" s="21">
        <v>-164770</v>
      </c>
      <c r="Z78" s="21">
        <v>-152181</v>
      </c>
      <c r="AA78" s="21">
        <v>-141161</v>
      </c>
      <c r="AB78" s="21">
        <v>-135169</v>
      </c>
      <c r="AC78" s="21">
        <v>-129570</v>
      </c>
      <c r="AD78" s="21">
        <v>-121272</v>
      </c>
      <c r="AE78" s="21">
        <v>-110906</v>
      </c>
      <c r="AF78" s="21">
        <v>-105298</v>
      </c>
      <c r="AG78" s="21">
        <v>-102388</v>
      </c>
      <c r="AH78" s="21">
        <v>-101704</v>
      </c>
      <c r="AI78" s="21">
        <v>-106801</v>
      </c>
      <c r="AJ78" s="21">
        <v>-108117</v>
      </c>
      <c r="AK78" s="21">
        <v>-103033</v>
      </c>
      <c r="AL78" s="21">
        <v>-97386</v>
      </c>
      <c r="AM78" s="21">
        <v>-90067</v>
      </c>
      <c r="AN78" s="21">
        <v>-85238</v>
      </c>
      <c r="AO78" s="21">
        <v>-84771</v>
      </c>
      <c r="AP78" s="21">
        <v>-82605</v>
      </c>
      <c r="AQ78" s="21">
        <v>-81936</v>
      </c>
      <c r="AR78" s="21">
        <v>-82990</v>
      </c>
      <c r="AS78" s="21">
        <v>-85125</v>
      </c>
      <c r="AT78" s="21">
        <v>-86736</v>
      </c>
      <c r="AU78" s="21">
        <v>-86177</v>
      </c>
      <c r="AV78" s="21">
        <v>-86897</v>
      </c>
      <c r="AW78" s="21">
        <v>-77586</v>
      </c>
      <c r="AX78" s="21">
        <v>-79345</v>
      </c>
      <c r="AY78" s="21">
        <v>-86110</v>
      </c>
      <c r="AZ78" s="21">
        <v>-79391</v>
      </c>
      <c r="BA78" s="21">
        <v>-84332</v>
      </c>
      <c r="BB78" s="21">
        <v>-78251</v>
      </c>
      <c r="BC78" s="21">
        <v>-170307.101</v>
      </c>
      <c r="BD78" s="21">
        <v>-170510</v>
      </c>
      <c r="BE78" s="21">
        <v>-169612.83</v>
      </c>
      <c r="BF78" s="21">
        <v>-168913.86199999999</v>
      </c>
      <c r="BG78" s="21">
        <v>-69962.394</v>
      </c>
      <c r="BH78" s="21">
        <v>-68235.058000000005</v>
      </c>
      <c r="BI78" s="21">
        <v>-67280.608999999997</v>
      </c>
      <c r="BJ78" s="21">
        <v>-64348.239000000001</v>
      </c>
      <c r="BK78" s="21">
        <v>-58513.815999999999</v>
      </c>
      <c r="BL78" s="21">
        <v>-51909.173000000003</v>
      </c>
      <c r="BM78" s="21">
        <v>-46461.904999999999</v>
      </c>
      <c r="BN78" s="21">
        <v>-42479.237999999998</v>
      </c>
      <c r="BO78" s="21">
        <v>-41075.743000000002</v>
      </c>
      <c r="BP78" s="21">
        <v>-35062.68</v>
      </c>
      <c r="BQ78" s="21">
        <v>-31410.683000000001</v>
      </c>
      <c r="BR78" s="21">
        <v>-29120.115000000002</v>
      </c>
      <c r="BS78" s="21">
        <v>-27913.132000000001</v>
      </c>
      <c r="BT78" s="21">
        <v>-29707.026999999998</v>
      </c>
      <c r="BU78" s="21">
        <v>-31074.573</v>
      </c>
      <c r="BV78" s="21">
        <v>-34321.184999999998</v>
      </c>
      <c r="BW78" s="21">
        <v>-34290.042000000001</v>
      </c>
      <c r="BX78" s="21">
        <v>-34319.226000000002</v>
      </c>
      <c r="BY78" s="21">
        <v>-34347.678</v>
      </c>
      <c r="BZ78" s="21">
        <v>-30057.187000000002</v>
      </c>
      <c r="CA78" s="21">
        <v>-28298.12</v>
      </c>
      <c r="CB78" s="21">
        <v>-27658.16</v>
      </c>
      <c r="CC78" s="21">
        <v>-30449.823</v>
      </c>
      <c r="CD78" s="21">
        <v>-27083.258999999998</v>
      </c>
      <c r="CE78" s="21">
        <v>-24587.38</v>
      </c>
      <c r="CF78" s="21">
        <v>-23317.852999999999</v>
      </c>
      <c r="CG78" s="21">
        <v>-2482.6610000000001</v>
      </c>
      <c r="CH78" s="21">
        <v>-2550.09</v>
      </c>
      <c r="CI78" s="21">
        <v>-1243.04</v>
      </c>
      <c r="CK78" s="15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</row>
    <row r="79" spans="1:110" outlineLevel="2" x14ac:dyDescent="0.2">
      <c r="A79" s="14">
        <v>1</v>
      </c>
      <c r="C79" s="9" t="str">
        <f>"        Reported Total Operating Profit/Loss"</f>
        <v xml:space="preserve">        Reported Total Operating Profit/Loss</v>
      </c>
      <c r="D79" s="17">
        <f t="shared" si="24"/>
        <v>27241</v>
      </c>
      <c r="E79" s="17">
        <f t="shared" si="25"/>
        <v>56335.803493333326</v>
      </c>
      <c r="F79" s="17">
        <f t="shared" si="26"/>
        <v>-81482.679000000004</v>
      </c>
      <c r="G79" s="17">
        <f t="shared" si="27"/>
        <v>319169.25</v>
      </c>
      <c r="H79" s="17">
        <f t="shared" si="28"/>
        <v>10600.347</v>
      </c>
      <c r="I79" s="17">
        <f t="shared" si="29"/>
        <v>97593.5</v>
      </c>
      <c r="J79" s="17">
        <f t="shared" si="30"/>
        <v>75753.509113180466</v>
      </c>
      <c r="K79" s="18">
        <f t="shared" si="31"/>
        <v>1.3446778853903272</v>
      </c>
      <c r="L79" s="21"/>
      <c r="M79" s="21">
        <v>251653</v>
      </c>
      <c r="N79" s="22">
        <v>319169.25</v>
      </c>
      <c r="O79" s="22">
        <v>87953.75</v>
      </c>
      <c r="P79" s="22">
        <v>33150.25</v>
      </c>
      <c r="Q79" s="22">
        <v>43378.25</v>
      </c>
      <c r="R79" s="21">
        <v>47059</v>
      </c>
      <c r="S79" s="21">
        <v>43723</v>
      </c>
      <c r="T79" s="21">
        <v>27048</v>
      </c>
      <c r="U79" s="21">
        <v>55683</v>
      </c>
      <c r="V79" s="21">
        <v>100049</v>
      </c>
      <c r="W79" s="21">
        <v>144211</v>
      </c>
      <c r="X79" s="21">
        <v>199939</v>
      </c>
      <c r="Y79" s="21">
        <v>211784</v>
      </c>
      <c r="Z79" s="21">
        <v>211720</v>
      </c>
      <c r="AA79" s="21">
        <v>181350</v>
      </c>
      <c r="AB79" s="21">
        <v>158643</v>
      </c>
      <c r="AC79" s="21">
        <v>139317</v>
      </c>
      <c r="AD79" s="21">
        <v>104781</v>
      </c>
      <c r="AE79" s="21">
        <v>93772</v>
      </c>
      <c r="AF79" s="21">
        <v>89628</v>
      </c>
      <c r="AG79" s="21">
        <v>95138</v>
      </c>
      <c r="AH79" s="21">
        <v>110649</v>
      </c>
      <c r="AI79" s="21">
        <v>128649</v>
      </c>
      <c r="AJ79" s="21">
        <v>150988</v>
      </c>
      <c r="AK79" s="21">
        <v>154774</v>
      </c>
      <c r="AL79" s="21">
        <v>151702</v>
      </c>
      <c r="AM79" s="21">
        <v>149552</v>
      </c>
      <c r="AN79" s="21">
        <v>132834</v>
      </c>
      <c r="AO79" s="21">
        <v>111635</v>
      </c>
      <c r="AP79" s="21">
        <v>93873</v>
      </c>
      <c r="AQ79" s="21">
        <v>70681</v>
      </c>
      <c r="AR79" s="21">
        <v>44916</v>
      </c>
      <c r="AS79" s="21">
        <v>27241</v>
      </c>
      <c r="AT79" s="21">
        <v>15017</v>
      </c>
      <c r="AU79" s="21">
        <v>16398</v>
      </c>
      <c r="AV79" s="21">
        <v>17791</v>
      </c>
      <c r="AW79" s="21">
        <v>16422</v>
      </c>
      <c r="AX79" s="21">
        <v>22598</v>
      </c>
      <c r="AY79" s="21">
        <v>30347</v>
      </c>
      <c r="AZ79" s="21">
        <v>40072</v>
      </c>
      <c r="BA79" s="21">
        <v>45526</v>
      </c>
      <c r="BB79" s="21">
        <v>45814</v>
      </c>
      <c r="BC79" s="21">
        <v>-62598.544000000002</v>
      </c>
      <c r="BD79" s="21">
        <v>-73367</v>
      </c>
      <c r="BE79" s="21">
        <v>-77956.985000000001</v>
      </c>
      <c r="BF79" s="21">
        <v>-81482.679000000004</v>
      </c>
      <c r="BG79" s="21">
        <v>20579.472000000002</v>
      </c>
      <c r="BH79" s="21">
        <v>24139.518</v>
      </c>
      <c r="BI79" s="21">
        <v>26235.246999999999</v>
      </c>
      <c r="BJ79" s="21">
        <v>29543.829000000002</v>
      </c>
      <c r="BK79" s="21">
        <v>28354.69</v>
      </c>
      <c r="BL79" s="21">
        <v>24428.662</v>
      </c>
      <c r="BM79" s="21">
        <v>21457.097000000002</v>
      </c>
      <c r="BN79" s="21">
        <v>19716.863000000001</v>
      </c>
      <c r="BO79" s="21">
        <v>15610.482</v>
      </c>
      <c r="BP79" s="21">
        <v>14544.319</v>
      </c>
      <c r="BQ79" s="21">
        <v>11392.636</v>
      </c>
      <c r="BR79" s="21">
        <v>10158.361999999999</v>
      </c>
      <c r="BS79" s="21">
        <v>13209.375</v>
      </c>
      <c r="BT79" s="21">
        <v>11180.991</v>
      </c>
      <c r="BU79" s="21">
        <v>11042.332</v>
      </c>
      <c r="BV79" s="21">
        <v>8237.0480000000007</v>
      </c>
      <c r="BW79" s="21">
        <v>5249.8339999999998</v>
      </c>
      <c r="BX79" s="21">
        <v>4810.6890000000003</v>
      </c>
      <c r="BY79" s="21">
        <v>1825.982</v>
      </c>
      <c r="BZ79" s="21">
        <v>4943.7479999999996</v>
      </c>
      <c r="CA79" s="21">
        <v>4134.0969999999998</v>
      </c>
      <c r="CB79" s="21">
        <v>2722.5569999999998</v>
      </c>
      <c r="CC79" s="21">
        <v>-784.33</v>
      </c>
      <c r="CD79" s="21">
        <v>389.74200000000002</v>
      </c>
      <c r="CE79" s="21">
        <v>158.59399999999999</v>
      </c>
      <c r="CF79" s="21">
        <v>-3519.7809999999999</v>
      </c>
      <c r="CG79" s="21">
        <v>-2014.9749999999999</v>
      </c>
      <c r="CH79" s="21">
        <v>-2542.0700000000002</v>
      </c>
      <c r="CI79" s="21">
        <v>-1243.04</v>
      </c>
      <c r="CK79" s="15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</row>
    <row r="80" spans="1:110" outlineLevel="2" x14ac:dyDescent="0.2">
      <c r="A80" s="14">
        <v>1</v>
      </c>
      <c r="C80" s="9" t="str">
        <f>"        Reported Normalized Income"</f>
        <v xml:space="preserve">        Reported Normalized Income</v>
      </c>
      <c r="D80" s="17">
        <f t="shared" si="24"/>
        <v>93384</v>
      </c>
      <c r="E80" s="17">
        <f t="shared" si="25"/>
        <v>103257.5</v>
      </c>
      <c r="F80" s="17">
        <f t="shared" si="26"/>
        <v>25097</v>
      </c>
      <c r="G80" s="17">
        <f t="shared" si="27"/>
        <v>251765</v>
      </c>
      <c r="H80" s="17">
        <f t="shared" si="28"/>
        <v>57027</v>
      </c>
      <c r="I80" s="17">
        <f t="shared" si="29"/>
        <v>147211</v>
      </c>
      <c r="J80" s="17">
        <f t="shared" si="30"/>
        <v>58203.049028148664</v>
      </c>
      <c r="K80" s="18">
        <f t="shared" si="31"/>
        <v>0.56366897347067924</v>
      </c>
      <c r="L80" s="21"/>
      <c r="M80" s="21">
        <v>202845</v>
      </c>
      <c r="N80" s="22">
        <v>251765</v>
      </c>
      <c r="O80" s="22">
        <v>70585.5</v>
      </c>
      <c r="P80" s="22">
        <v>39218</v>
      </c>
      <c r="Q80" s="22">
        <v>36399</v>
      </c>
      <c r="R80" s="21">
        <v>40691</v>
      </c>
      <c r="S80" s="21">
        <v>35909</v>
      </c>
      <c r="T80" s="21">
        <v>25097</v>
      </c>
      <c r="U80" s="21">
        <v>43899</v>
      </c>
      <c r="V80" s="21">
        <v>76782</v>
      </c>
      <c r="W80" s="21">
        <v>109732</v>
      </c>
      <c r="X80" s="21">
        <v>146547</v>
      </c>
      <c r="Y80" s="21">
        <v>152247</v>
      </c>
      <c r="Z80" s="21">
        <v>147875</v>
      </c>
      <c r="AA80" s="21" t="s">
        <v>165</v>
      </c>
      <c r="AB80" s="21">
        <v>102544</v>
      </c>
      <c r="AC80" s="21">
        <v>89933</v>
      </c>
      <c r="AD80" s="21">
        <v>67954</v>
      </c>
      <c r="AE80" s="21" t="s">
        <v>165</v>
      </c>
      <c r="AF80" s="21">
        <v>56279</v>
      </c>
      <c r="AG80" s="21">
        <v>57775</v>
      </c>
      <c r="AH80" s="21" t="s">
        <v>165</v>
      </c>
      <c r="AI80" s="21" t="s">
        <v>165</v>
      </c>
      <c r="AJ80" s="21">
        <v>93384</v>
      </c>
      <c r="AK80" s="21">
        <v>119661</v>
      </c>
      <c r="AL80" s="21">
        <v>178138</v>
      </c>
      <c r="AM80" s="21">
        <v>173312</v>
      </c>
      <c r="AN80" s="21">
        <v>154221</v>
      </c>
      <c r="AO80" s="21">
        <v>132652</v>
      </c>
      <c r="AP80" s="21">
        <v>114118</v>
      </c>
      <c r="AQ80" s="21" t="s">
        <v>165</v>
      </c>
      <c r="AR80" s="21">
        <v>68390</v>
      </c>
      <c r="AS80" s="21" t="s">
        <v>165</v>
      </c>
      <c r="AT80" s="21" t="s">
        <v>165</v>
      </c>
      <c r="AU80" s="21" t="s">
        <v>165</v>
      </c>
      <c r="AV80" s="21" t="s">
        <v>165</v>
      </c>
      <c r="AW80" s="21" t="s">
        <v>165</v>
      </c>
      <c r="AX80" s="21" t="s">
        <v>165</v>
      </c>
      <c r="AY80" s="21" t="s">
        <v>165</v>
      </c>
      <c r="AZ80" s="21" t="s">
        <v>165</v>
      </c>
      <c r="BA80" s="21" t="s">
        <v>165</v>
      </c>
      <c r="BB80" s="21" t="s">
        <v>165</v>
      </c>
      <c r="BC80" s="21" t="s">
        <v>165</v>
      </c>
      <c r="BD80" s="21" t="s">
        <v>165</v>
      </c>
      <c r="BE80" s="21" t="s">
        <v>165</v>
      </c>
      <c r="BF80" s="21" t="s">
        <v>165</v>
      </c>
      <c r="BG80" s="21" t="s">
        <v>165</v>
      </c>
      <c r="BH80" s="21" t="s">
        <v>165</v>
      </c>
      <c r="BI80" s="21" t="s">
        <v>165</v>
      </c>
      <c r="BJ80" s="21" t="s">
        <v>165</v>
      </c>
      <c r="BK80" s="21" t="s">
        <v>165</v>
      </c>
      <c r="BL80" s="21" t="s">
        <v>165</v>
      </c>
      <c r="BM80" s="21" t="s">
        <v>165</v>
      </c>
      <c r="BN80" s="21" t="s">
        <v>165</v>
      </c>
      <c r="BO80" s="21" t="s">
        <v>165</v>
      </c>
      <c r="BP80" s="21" t="s">
        <v>165</v>
      </c>
      <c r="BQ80" s="21" t="s">
        <v>165</v>
      </c>
      <c r="BR80" s="21" t="s">
        <v>165</v>
      </c>
      <c r="BS80" s="21" t="s">
        <v>165</v>
      </c>
      <c r="BT80" s="21" t="s">
        <v>165</v>
      </c>
      <c r="BU80" s="21" t="s">
        <v>165</v>
      </c>
      <c r="BV80" s="21" t="s">
        <v>165</v>
      </c>
      <c r="BW80" s="21" t="s">
        <v>165</v>
      </c>
      <c r="BX80" s="21" t="s">
        <v>165</v>
      </c>
      <c r="BY80" s="21" t="s">
        <v>165</v>
      </c>
      <c r="BZ80" s="21" t="s">
        <v>165</v>
      </c>
      <c r="CA80" s="21" t="s">
        <v>165</v>
      </c>
      <c r="CB80" s="21" t="s">
        <v>165</v>
      </c>
      <c r="CC80" s="21" t="s">
        <v>165</v>
      </c>
      <c r="CD80" s="21" t="s">
        <v>165</v>
      </c>
      <c r="CE80" s="21" t="s">
        <v>165</v>
      </c>
      <c r="CF80" s="21" t="s">
        <v>165</v>
      </c>
      <c r="CG80" s="21" t="s">
        <v>165</v>
      </c>
      <c r="CH80" s="21" t="s">
        <v>165</v>
      </c>
      <c r="CI80" s="21" t="s">
        <v>165</v>
      </c>
      <c r="CK80" s="15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</row>
    <row r="81" spans="1:110" outlineLevel="2" x14ac:dyDescent="0.2">
      <c r="A81" s="14">
        <v>1</v>
      </c>
      <c r="C81" s="9" t="str">
        <f>"        Reported Normalized Diluted EPS"</f>
        <v xml:space="preserve">        Reported Normalized Diluted EPS</v>
      </c>
      <c r="D81" s="18">
        <f t="shared" si="24"/>
        <v>1.36</v>
      </c>
      <c r="E81" s="18">
        <f t="shared" si="25"/>
        <v>1.6653260869565218</v>
      </c>
      <c r="F81" s="18">
        <f t="shared" si="26"/>
        <v>0.46</v>
      </c>
      <c r="G81" s="18">
        <f t="shared" si="27"/>
        <v>4.7024999999999997</v>
      </c>
      <c r="H81" s="18">
        <f t="shared" si="28"/>
        <v>0.94375000000000009</v>
      </c>
      <c r="I81" s="18">
        <f t="shared" si="29"/>
        <v>2.0249999999999999</v>
      </c>
      <c r="J81" s="18">
        <f t="shared" si="30"/>
        <v>1.0966108181854055</v>
      </c>
      <c r="K81" s="18">
        <f t="shared" si="31"/>
        <v>0.65849615085867308</v>
      </c>
      <c r="L81" s="22"/>
      <c r="M81" s="22">
        <v>4.25</v>
      </c>
      <c r="N81" s="22">
        <v>4.7024999999999997</v>
      </c>
      <c r="O81" s="22">
        <v>1.4025000000000001</v>
      </c>
      <c r="P81" s="22">
        <v>0.86750000000000005</v>
      </c>
      <c r="Q81" s="22">
        <v>0.66</v>
      </c>
      <c r="R81" s="22">
        <v>0.74</v>
      </c>
      <c r="S81" s="22">
        <v>0.65</v>
      </c>
      <c r="T81" s="22">
        <v>0.46</v>
      </c>
      <c r="U81" s="22">
        <v>0.79</v>
      </c>
      <c r="V81" s="22">
        <v>1.36</v>
      </c>
      <c r="W81" s="22">
        <v>1.93</v>
      </c>
      <c r="X81" s="22">
        <v>2.58</v>
      </c>
      <c r="Y81" s="22">
        <v>2.67</v>
      </c>
      <c r="Z81" s="22">
        <v>2.6</v>
      </c>
      <c r="AA81" s="22">
        <v>2.12</v>
      </c>
      <c r="AB81" s="22">
        <v>1.83</v>
      </c>
      <c r="AC81" s="22">
        <v>1.61</v>
      </c>
      <c r="AD81" s="22">
        <v>1.22</v>
      </c>
      <c r="AE81" s="22">
        <v>1.07</v>
      </c>
      <c r="AF81" s="22">
        <v>1.02</v>
      </c>
      <c r="AG81" s="22">
        <v>1.04</v>
      </c>
      <c r="AH81" s="22">
        <v>1.18</v>
      </c>
      <c r="AI81" s="22" t="s">
        <v>165</v>
      </c>
      <c r="AJ81" s="22">
        <v>1.55</v>
      </c>
      <c r="AK81" s="22" t="s">
        <v>165</v>
      </c>
      <c r="AL81" s="22" t="s">
        <v>165</v>
      </c>
      <c r="AM81" s="22" t="s">
        <v>165</v>
      </c>
      <c r="AN81" s="22" t="s">
        <v>165</v>
      </c>
      <c r="AO81" s="22" t="s">
        <v>165</v>
      </c>
      <c r="AP81" s="22" t="s">
        <v>165</v>
      </c>
      <c r="AQ81" s="22" t="s">
        <v>165</v>
      </c>
      <c r="AR81" s="22" t="s">
        <v>165</v>
      </c>
      <c r="AS81" s="22" t="s">
        <v>165</v>
      </c>
      <c r="AT81" s="22" t="s">
        <v>165</v>
      </c>
      <c r="AU81" s="22" t="s">
        <v>165</v>
      </c>
      <c r="AV81" s="22" t="s">
        <v>165</v>
      </c>
      <c r="AW81" s="22" t="s">
        <v>165</v>
      </c>
      <c r="AX81" s="22" t="s">
        <v>165</v>
      </c>
      <c r="AY81" s="22" t="s">
        <v>165</v>
      </c>
      <c r="AZ81" s="22" t="s">
        <v>165</v>
      </c>
      <c r="BA81" s="22" t="s">
        <v>165</v>
      </c>
      <c r="BB81" s="22" t="s">
        <v>165</v>
      </c>
      <c r="BC81" s="22" t="s">
        <v>165</v>
      </c>
      <c r="BD81" s="22" t="s">
        <v>165</v>
      </c>
      <c r="BE81" s="22" t="s">
        <v>165</v>
      </c>
      <c r="BF81" s="22" t="s">
        <v>165</v>
      </c>
      <c r="BG81" s="22" t="s">
        <v>165</v>
      </c>
      <c r="BH81" s="22" t="s">
        <v>165</v>
      </c>
      <c r="BI81" s="22" t="s">
        <v>165</v>
      </c>
      <c r="BJ81" s="22" t="s">
        <v>165</v>
      </c>
      <c r="BK81" s="22" t="s">
        <v>165</v>
      </c>
      <c r="BL81" s="22" t="s">
        <v>165</v>
      </c>
      <c r="BM81" s="22" t="s">
        <v>165</v>
      </c>
      <c r="BN81" s="22" t="s">
        <v>165</v>
      </c>
      <c r="BO81" s="22" t="s">
        <v>165</v>
      </c>
      <c r="BP81" s="22" t="s">
        <v>165</v>
      </c>
      <c r="BQ81" s="22" t="s">
        <v>165</v>
      </c>
      <c r="BR81" s="22" t="s">
        <v>165</v>
      </c>
      <c r="BS81" s="22" t="s">
        <v>165</v>
      </c>
      <c r="BT81" s="22" t="s">
        <v>165</v>
      </c>
      <c r="BU81" s="22" t="s">
        <v>165</v>
      </c>
      <c r="BV81" s="22" t="s">
        <v>165</v>
      </c>
      <c r="BW81" s="22" t="s">
        <v>165</v>
      </c>
      <c r="BX81" s="22" t="s">
        <v>165</v>
      </c>
      <c r="BY81" s="22" t="s">
        <v>165</v>
      </c>
      <c r="BZ81" s="22" t="s">
        <v>165</v>
      </c>
      <c r="CA81" s="22" t="s">
        <v>165</v>
      </c>
      <c r="CB81" s="22" t="s">
        <v>165</v>
      </c>
      <c r="CC81" s="22" t="s">
        <v>165</v>
      </c>
      <c r="CD81" s="22" t="s">
        <v>165</v>
      </c>
      <c r="CE81" s="22" t="s">
        <v>165</v>
      </c>
      <c r="CF81" s="22" t="s">
        <v>165</v>
      </c>
      <c r="CG81" s="22" t="s">
        <v>165</v>
      </c>
      <c r="CH81" s="22" t="s">
        <v>165</v>
      </c>
      <c r="CI81" s="22" t="s">
        <v>165</v>
      </c>
      <c r="CK81" s="15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</row>
    <row r="82" spans="1:110" outlineLevel="2" x14ac:dyDescent="0.2">
      <c r="A82" s="14">
        <v>1</v>
      </c>
      <c r="C82" s="9" t="str">
        <f>"        Reported Effective Tax Rate"</f>
        <v xml:space="preserve">        Reported Effective Tax Rate</v>
      </c>
      <c r="D82" s="19">
        <f t="shared" si="24"/>
        <v>0.23400000000000001</v>
      </c>
      <c r="E82" s="19">
        <f t="shared" si="25"/>
        <v>0.17401111111111109</v>
      </c>
      <c r="F82" s="19">
        <f t="shared" si="26"/>
        <v>-0.14299999999999999</v>
      </c>
      <c r="G82" s="19">
        <f t="shared" si="27"/>
        <v>0.36709999999999998</v>
      </c>
      <c r="H82" s="19">
        <f t="shared" si="28"/>
        <v>-2.1000000000000001E-2</v>
      </c>
      <c r="I82" s="19">
        <f t="shared" si="29"/>
        <v>0.35199999999999998</v>
      </c>
      <c r="J82" s="19">
        <f t="shared" si="30"/>
        <v>0.21615636958255735</v>
      </c>
      <c r="K82" s="18">
        <f t="shared" si="31"/>
        <v>1.242198663075804</v>
      </c>
      <c r="L82" s="24"/>
      <c r="M82" s="24">
        <v>0.22900000000000001</v>
      </c>
      <c r="N82" s="92">
        <v>0.23400000000000001</v>
      </c>
      <c r="O82" s="92">
        <v>-2.1000000000000001E-2</v>
      </c>
      <c r="P82" s="92">
        <v>0.35899999999999999</v>
      </c>
      <c r="Q82" s="92">
        <v>-0.14299999999999999</v>
      </c>
      <c r="R82" s="24" t="s">
        <v>165</v>
      </c>
      <c r="S82" s="24" t="s">
        <v>165</v>
      </c>
      <c r="T82" s="24">
        <v>-0.14299999999999999</v>
      </c>
      <c r="U82" s="24" t="s">
        <v>165</v>
      </c>
      <c r="V82" s="24" t="s">
        <v>165</v>
      </c>
      <c r="W82" s="24" t="s">
        <v>165</v>
      </c>
      <c r="X82" s="24">
        <v>0.33200000000000002</v>
      </c>
      <c r="Y82" s="24" t="s">
        <v>165</v>
      </c>
      <c r="Z82" s="24" t="s">
        <v>165</v>
      </c>
      <c r="AA82" s="24" t="s">
        <v>165</v>
      </c>
      <c r="AB82" s="24">
        <v>0.35199999999999998</v>
      </c>
      <c r="AC82" s="24" t="s">
        <v>165</v>
      </c>
      <c r="AD82" s="24" t="s">
        <v>165</v>
      </c>
      <c r="AE82" s="24" t="s">
        <v>165</v>
      </c>
      <c r="AF82" s="24">
        <v>0.36709999999999998</v>
      </c>
      <c r="AG82" s="24" t="s">
        <v>165</v>
      </c>
      <c r="AH82" s="24" t="s">
        <v>165</v>
      </c>
      <c r="AI82" s="24" t="s">
        <v>165</v>
      </c>
      <c r="AJ82" s="24" t="s">
        <v>165</v>
      </c>
      <c r="AK82" s="24" t="s">
        <v>165</v>
      </c>
      <c r="AL82" s="24" t="s">
        <v>165</v>
      </c>
      <c r="AM82" s="24" t="s">
        <v>165</v>
      </c>
      <c r="AN82" s="24" t="s">
        <v>165</v>
      </c>
      <c r="AO82" s="24" t="s">
        <v>165</v>
      </c>
      <c r="AP82" s="24" t="s">
        <v>165</v>
      </c>
      <c r="AQ82" s="24" t="s">
        <v>165</v>
      </c>
      <c r="AR82" s="24" t="s">
        <v>165</v>
      </c>
      <c r="AS82" s="24" t="s">
        <v>165</v>
      </c>
      <c r="AT82" s="24" t="s">
        <v>165</v>
      </c>
      <c r="AU82" s="24" t="s">
        <v>165</v>
      </c>
      <c r="AV82" s="24" t="s">
        <v>165</v>
      </c>
      <c r="AW82" s="24" t="s">
        <v>165</v>
      </c>
      <c r="AX82" s="24" t="s">
        <v>165</v>
      </c>
      <c r="AY82" s="24" t="s">
        <v>165</v>
      </c>
      <c r="AZ82" s="24" t="s">
        <v>165</v>
      </c>
      <c r="BA82" s="24" t="s">
        <v>165</v>
      </c>
      <c r="BB82" s="24" t="s">
        <v>165</v>
      </c>
      <c r="BC82" s="24" t="s">
        <v>165</v>
      </c>
      <c r="BD82" s="24" t="s">
        <v>165</v>
      </c>
      <c r="BE82" s="24" t="s">
        <v>165</v>
      </c>
      <c r="BF82" s="24" t="s">
        <v>165</v>
      </c>
      <c r="BG82" s="24" t="s">
        <v>165</v>
      </c>
      <c r="BH82" s="24" t="s">
        <v>165</v>
      </c>
      <c r="BI82" s="24" t="s">
        <v>165</v>
      </c>
      <c r="BJ82" s="24" t="s">
        <v>165</v>
      </c>
      <c r="BK82" s="24" t="s">
        <v>165</v>
      </c>
      <c r="BL82" s="24" t="s">
        <v>165</v>
      </c>
      <c r="BM82" s="24" t="s">
        <v>165</v>
      </c>
      <c r="BN82" s="24" t="s">
        <v>165</v>
      </c>
      <c r="BO82" s="24" t="s">
        <v>165</v>
      </c>
      <c r="BP82" s="24" t="s">
        <v>165</v>
      </c>
      <c r="BQ82" s="24" t="s">
        <v>165</v>
      </c>
      <c r="BR82" s="24" t="s">
        <v>165</v>
      </c>
      <c r="BS82" s="24" t="s">
        <v>165</v>
      </c>
      <c r="BT82" s="24" t="s">
        <v>165</v>
      </c>
      <c r="BU82" s="24" t="s">
        <v>165</v>
      </c>
      <c r="BV82" s="24" t="s">
        <v>165</v>
      </c>
      <c r="BW82" s="24" t="s">
        <v>165</v>
      </c>
      <c r="BX82" s="24" t="s">
        <v>165</v>
      </c>
      <c r="BY82" s="24" t="s">
        <v>165</v>
      </c>
      <c r="BZ82" s="24" t="s">
        <v>165</v>
      </c>
      <c r="CA82" s="24" t="s">
        <v>165</v>
      </c>
      <c r="CB82" s="24" t="s">
        <v>165</v>
      </c>
      <c r="CC82" s="24" t="s">
        <v>165</v>
      </c>
      <c r="CD82" s="24" t="s">
        <v>165</v>
      </c>
      <c r="CE82" s="24" t="s">
        <v>165</v>
      </c>
      <c r="CF82" s="24" t="s">
        <v>165</v>
      </c>
      <c r="CG82" s="24" t="s">
        <v>165</v>
      </c>
      <c r="CH82" s="24" t="s">
        <v>165</v>
      </c>
      <c r="CI82" s="24" t="s">
        <v>165</v>
      </c>
      <c r="CK82" s="15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</row>
    <row r="83" spans="1:110" outlineLevel="2" x14ac:dyDescent="0.2">
      <c r="A83" s="14">
        <v>1</v>
      </c>
      <c r="C83" s="9" t="str">
        <f>"        Reported Normalized Operating Profit"</f>
        <v xml:space="preserve">        Reported Normalized Operating Profit</v>
      </c>
      <c r="D83" s="17">
        <f t="shared" si="24"/>
        <v>132446</v>
      </c>
      <c r="E83" s="17">
        <f t="shared" si="25"/>
        <v>143474.94444444444</v>
      </c>
      <c r="F83" s="17">
        <f t="shared" si="26"/>
        <v>51234</v>
      </c>
      <c r="G83" s="17">
        <f t="shared" si="27"/>
        <v>329526.75</v>
      </c>
      <c r="H83" s="17">
        <f t="shared" si="28"/>
        <v>89227.5</v>
      </c>
      <c r="I83" s="17">
        <f t="shared" si="29"/>
        <v>173861</v>
      </c>
      <c r="J83" s="17">
        <f t="shared" si="30"/>
        <v>69377.859598387178</v>
      </c>
      <c r="K83" s="18">
        <f t="shared" si="31"/>
        <v>0.48355383490147497</v>
      </c>
      <c r="L83" s="21"/>
      <c r="M83" s="21">
        <v>262490</v>
      </c>
      <c r="N83" s="22">
        <v>329526.75</v>
      </c>
      <c r="O83" s="22">
        <v>105226.25</v>
      </c>
      <c r="P83" s="22">
        <v>64513.5</v>
      </c>
      <c r="Q83" s="22">
        <v>67146</v>
      </c>
      <c r="R83" s="21">
        <v>71675</v>
      </c>
      <c r="S83" s="21">
        <v>67090</v>
      </c>
      <c r="T83" s="21">
        <v>51234</v>
      </c>
      <c r="U83" s="21">
        <v>78585</v>
      </c>
      <c r="V83" s="21">
        <v>125010</v>
      </c>
      <c r="W83" s="21">
        <v>174712</v>
      </c>
      <c r="X83" s="21">
        <v>227923</v>
      </c>
      <c r="Y83" s="21">
        <v>236287</v>
      </c>
      <c r="Z83" s="21">
        <v>231306</v>
      </c>
      <c r="AA83" s="21" t="s">
        <v>165</v>
      </c>
      <c r="AB83" s="21">
        <v>167253</v>
      </c>
      <c r="AC83" s="21">
        <v>149746</v>
      </c>
      <c r="AD83" s="21">
        <v>117355</v>
      </c>
      <c r="AE83" s="21" t="s">
        <v>165</v>
      </c>
      <c r="AF83" s="21">
        <v>99870</v>
      </c>
      <c r="AG83" s="21">
        <v>103304</v>
      </c>
      <c r="AH83" s="21" t="s">
        <v>165</v>
      </c>
      <c r="AI83" s="21" t="s">
        <v>165</v>
      </c>
      <c r="AJ83" s="21">
        <v>158539</v>
      </c>
      <c r="AK83" s="21">
        <v>165657</v>
      </c>
      <c r="AL83" s="21">
        <v>177875</v>
      </c>
      <c r="AM83" s="21">
        <v>173010</v>
      </c>
      <c r="AN83" s="21">
        <v>153976</v>
      </c>
      <c r="AO83" s="21">
        <v>132446</v>
      </c>
      <c r="AP83" s="21">
        <v>113918</v>
      </c>
      <c r="AQ83" s="21" t="s">
        <v>165</v>
      </c>
      <c r="AR83" s="21">
        <v>68150</v>
      </c>
      <c r="AS83" s="21" t="s">
        <v>165</v>
      </c>
      <c r="AT83" s="21" t="s">
        <v>165</v>
      </c>
      <c r="AU83" s="21" t="s">
        <v>165</v>
      </c>
      <c r="AV83" s="21" t="s">
        <v>165</v>
      </c>
      <c r="AW83" s="21" t="s">
        <v>165</v>
      </c>
      <c r="AX83" s="21" t="s">
        <v>165</v>
      </c>
      <c r="AY83" s="21" t="s">
        <v>165</v>
      </c>
      <c r="AZ83" s="21" t="s">
        <v>165</v>
      </c>
      <c r="BA83" s="21" t="s">
        <v>165</v>
      </c>
      <c r="BB83" s="21" t="s">
        <v>165</v>
      </c>
      <c r="BC83" s="21" t="s">
        <v>165</v>
      </c>
      <c r="BD83" s="21" t="s">
        <v>165</v>
      </c>
      <c r="BE83" s="21" t="s">
        <v>165</v>
      </c>
      <c r="BF83" s="21" t="s">
        <v>165</v>
      </c>
      <c r="BG83" s="21" t="s">
        <v>165</v>
      </c>
      <c r="BH83" s="21" t="s">
        <v>165</v>
      </c>
      <c r="BI83" s="21" t="s">
        <v>165</v>
      </c>
      <c r="BJ83" s="21" t="s">
        <v>165</v>
      </c>
      <c r="BK83" s="21" t="s">
        <v>165</v>
      </c>
      <c r="BL83" s="21" t="s">
        <v>165</v>
      </c>
      <c r="BM83" s="21" t="s">
        <v>165</v>
      </c>
      <c r="BN83" s="21" t="s">
        <v>165</v>
      </c>
      <c r="BO83" s="21" t="s">
        <v>165</v>
      </c>
      <c r="BP83" s="21" t="s">
        <v>165</v>
      </c>
      <c r="BQ83" s="21" t="s">
        <v>165</v>
      </c>
      <c r="BR83" s="21" t="s">
        <v>165</v>
      </c>
      <c r="BS83" s="21" t="s">
        <v>165</v>
      </c>
      <c r="BT83" s="21" t="s">
        <v>165</v>
      </c>
      <c r="BU83" s="21" t="s">
        <v>165</v>
      </c>
      <c r="BV83" s="21" t="s">
        <v>165</v>
      </c>
      <c r="BW83" s="21" t="s">
        <v>165</v>
      </c>
      <c r="BX83" s="21" t="s">
        <v>165</v>
      </c>
      <c r="BY83" s="21" t="s">
        <v>165</v>
      </c>
      <c r="BZ83" s="21" t="s">
        <v>165</v>
      </c>
      <c r="CA83" s="21" t="s">
        <v>165</v>
      </c>
      <c r="CB83" s="21" t="s">
        <v>165</v>
      </c>
      <c r="CC83" s="21" t="s">
        <v>165</v>
      </c>
      <c r="CD83" s="21" t="s">
        <v>165</v>
      </c>
      <c r="CE83" s="21" t="s">
        <v>165</v>
      </c>
      <c r="CF83" s="21" t="s">
        <v>165</v>
      </c>
      <c r="CG83" s="21" t="s">
        <v>165</v>
      </c>
      <c r="CH83" s="21" t="s">
        <v>165</v>
      </c>
      <c r="CI83" s="21" t="s">
        <v>165</v>
      </c>
      <c r="CK83" s="15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</row>
    <row r="84" spans="1:110" outlineLevel="2" x14ac:dyDescent="0.2">
      <c r="A84" s="14">
        <v>1</v>
      </c>
      <c r="C84" s="9" t="str">
        <f>"        Reported Normalized EBITDA"</f>
        <v xml:space="preserve">        Reported Normalized EBITDA</v>
      </c>
      <c r="D84" s="17">
        <f t="shared" si="24"/>
        <v>120593</v>
      </c>
      <c r="E84" s="17">
        <f t="shared" si="25"/>
        <v>145719.59722222222</v>
      </c>
      <c r="F84" s="17">
        <f t="shared" si="26"/>
        <v>27385</v>
      </c>
      <c r="G84" s="17">
        <f t="shared" si="27"/>
        <v>367120.75</v>
      </c>
      <c r="H84" s="17">
        <f t="shared" si="28"/>
        <v>82202.104166666672</v>
      </c>
      <c r="I84" s="17">
        <f t="shared" si="29"/>
        <v>161124</v>
      </c>
      <c r="J84" s="17">
        <f t="shared" si="30"/>
        <v>97956.605582580072</v>
      </c>
      <c r="K84" s="18">
        <f t="shared" si="31"/>
        <v>0.67222671109361054</v>
      </c>
      <c r="L84" s="21"/>
      <c r="M84" s="21">
        <v>299619</v>
      </c>
      <c r="N84" s="22">
        <v>367120.75</v>
      </c>
      <c r="O84" s="22">
        <v>140840.5</v>
      </c>
      <c r="P84" s="22">
        <v>82851.25</v>
      </c>
      <c r="Q84" s="22">
        <v>80254.666666666672</v>
      </c>
      <c r="R84" s="21">
        <v>108497</v>
      </c>
      <c r="S84" s="21">
        <v>104882</v>
      </c>
      <c r="T84" s="21">
        <v>27385</v>
      </c>
      <c r="U84" s="21" t="s">
        <v>165</v>
      </c>
      <c r="V84" s="21" t="s">
        <v>165</v>
      </c>
      <c r="W84" s="21" t="s">
        <v>165</v>
      </c>
      <c r="X84" s="21" t="s">
        <v>165</v>
      </c>
      <c r="Y84" s="21" t="s">
        <v>165</v>
      </c>
      <c r="Z84" s="21" t="s">
        <v>165</v>
      </c>
      <c r="AA84" s="21" t="s">
        <v>165</v>
      </c>
      <c r="AB84" s="21" t="s">
        <v>165</v>
      </c>
      <c r="AC84" s="21" t="s">
        <v>165</v>
      </c>
      <c r="AD84" s="21" t="s">
        <v>165</v>
      </c>
      <c r="AE84" s="21" t="s">
        <v>165</v>
      </c>
      <c r="AF84" s="21" t="s">
        <v>165</v>
      </c>
      <c r="AG84" s="21" t="s">
        <v>165</v>
      </c>
      <c r="AH84" s="21" t="s">
        <v>165</v>
      </c>
      <c r="AI84" s="21" t="s">
        <v>165</v>
      </c>
      <c r="AJ84" s="21" t="s">
        <v>165</v>
      </c>
      <c r="AK84" s="21">
        <v>181896</v>
      </c>
      <c r="AL84" s="21" t="s">
        <v>165</v>
      </c>
      <c r="AM84" s="21" t="s">
        <v>165</v>
      </c>
      <c r="AN84" s="21">
        <v>154200</v>
      </c>
      <c r="AO84" s="21">
        <v>132689</v>
      </c>
      <c r="AP84" s="21" t="s">
        <v>165</v>
      </c>
      <c r="AQ84" s="21" t="s">
        <v>165</v>
      </c>
      <c r="AR84" s="21">
        <v>68400</v>
      </c>
      <c r="AS84" s="21" t="s">
        <v>165</v>
      </c>
      <c r="AT84" s="21" t="s">
        <v>165</v>
      </c>
      <c r="AU84" s="21" t="s">
        <v>165</v>
      </c>
      <c r="AV84" s="21" t="s">
        <v>165</v>
      </c>
      <c r="AW84" s="21" t="s">
        <v>165</v>
      </c>
      <c r="AX84" s="21" t="s">
        <v>165</v>
      </c>
      <c r="AY84" s="21" t="s">
        <v>165</v>
      </c>
      <c r="AZ84" s="21" t="s">
        <v>165</v>
      </c>
      <c r="BA84" s="21" t="s">
        <v>165</v>
      </c>
      <c r="BB84" s="21" t="s">
        <v>165</v>
      </c>
      <c r="BC84" s="21" t="s">
        <v>165</v>
      </c>
      <c r="BD84" s="21" t="s">
        <v>165</v>
      </c>
      <c r="BE84" s="21" t="s">
        <v>165</v>
      </c>
      <c r="BF84" s="21" t="s">
        <v>165</v>
      </c>
      <c r="BG84" s="21" t="s">
        <v>165</v>
      </c>
      <c r="BH84" s="21" t="s">
        <v>165</v>
      </c>
      <c r="BI84" s="21" t="s">
        <v>165</v>
      </c>
      <c r="BJ84" s="21" t="s">
        <v>165</v>
      </c>
      <c r="BK84" s="21" t="s">
        <v>165</v>
      </c>
      <c r="BL84" s="21" t="s">
        <v>165</v>
      </c>
      <c r="BM84" s="21" t="s">
        <v>165</v>
      </c>
      <c r="BN84" s="21" t="s">
        <v>165</v>
      </c>
      <c r="BO84" s="21" t="s">
        <v>165</v>
      </c>
      <c r="BP84" s="21" t="s">
        <v>165</v>
      </c>
      <c r="BQ84" s="21" t="s">
        <v>165</v>
      </c>
      <c r="BR84" s="21" t="s">
        <v>165</v>
      </c>
      <c r="BS84" s="21" t="s">
        <v>165</v>
      </c>
      <c r="BT84" s="21" t="s">
        <v>165</v>
      </c>
      <c r="BU84" s="21" t="s">
        <v>165</v>
      </c>
      <c r="BV84" s="21" t="s">
        <v>165</v>
      </c>
      <c r="BW84" s="21" t="s">
        <v>165</v>
      </c>
      <c r="BX84" s="21" t="s">
        <v>165</v>
      </c>
      <c r="BY84" s="21" t="s">
        <v>165</v>
      </c>
      <c r="BZ84" s="21" t="s">
        <v>165</v>
      </c>
      <c r="CA84" s="21" t="s">
        <v>165</v>
      </c>
      <c r="CB84" s="21" t="s">
        <v>165</v>
      </c>
      <c r="CC84" s="21" t="s">
        <v>165</v>
      </c>
      <c r="CD84" s="21" t="s">
        <v>165</v>
      </c>
      <c r="CE84" s="21" t="s">
        <v>165</v>
      </c>
      <c r="CF84" s="21" t="s">
        <v>165</v>
      </c>
      <c r="CG84" s="21" t="s">
        <v>165</v>
      </c>
      <c r="CH84" s="21" t="s">
        <v>165</v>
      </c>
      <c r="CI84" s="21" t="s">
        <v>165</v>
      </c>
      <c r="CK84" s="15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</row>
    <row r="85" spans="1:110" outlineLevel="1" x14ac:dyDescent="0.2">
      <c r="A85" s="14">
        <v>1</v>
      </c>
      <c r="C85" s="9" t="str">
        <f>"    Operating (Income)/Expenses, Supplemental Section"</f>
        <v xml:space="preserve">    Operating (Income)/Expenses, Supplemental Section</v>
      </c>
      <c r="D85" s="20"/>
      <c r="E85" s="20"/>
      <c r="F85" s="20"/>
      <c r="G85" s="20"/>
      <c r="H85" s="20"/>
      <c r="I85" s="20"/>
      <c r="J85" s="20"/>
      <c r="K85" s="20"/>
      <c r="L85" s="25"/>
      <c r="M85" s="25" t="s">
        <v>165</v>
      </c>
      <c r="N85" s="25"/>
      <c r="O85" s="25"/>
      <c r="P85" s="25"/>
      <c r="Q85" s="25"/>
      <c r="R85" s="25" t="s">
        <v>165</v>
      </c>
      <c r="S85" s="25" t="s">
        <v>165</v>
      </c>
      <c r="T85" s="25" t="s">
        <v>165</v>
      </c>
      <c r="U85" s="25" t="s">
        <v>165</v>
      </c>
      <c r="V85" s="25" t="s">
        <v>165</v>
      </c>
      <c r="W85" s="25" t="s">
        <v>165</v>
      </c>
      <c r="X85" s="25" t="s">
        <v>165</v>
      </c>
      <c r="Y85" s="25" t="s">
        <v>165</v>
      </c>
      <c r="Z85" s="25" t="s">
        <v>165</v>
      </c>
      <c r="AA85" s="25" t="s">
        <v>165</v>
      </c>
      <c r="AB85" s="25" t="s">
        <v>165</v>
      </c>
      <c r="AC85" s="25" t="s">
        <v>165</v>
      </c>
      <c r="AD85" s="25" t="s">
        <v>165</v>
      </c>
      <c r="AE85" s="25" t="s">
        <v>165</v>
      </c>
      <c r="AF85" s="25" t="s">
        <v>165</v>
      </c>
      <c r="AG85" s="25" t="s">
        <v>165</v>
      </c>
      <c r="AH85" s="25" t="s">
        <v>165</v>
      </c>
      <c r="AI85" s="25" t="s">
        <v>165</v>
      </c>
      <c r="AJ85" s="25" t="s">
        <v>165</v>
      </c>
      <c r="AK85" s="25" t="s">
        <v>165</v>
      </c>
      <c r="AL85" s="25" t="s">
        <v>165</v>
      </c>
      <c r="AM85" s="25" t="s">
        <v>165</v>
      </c>
      <c r="AN85" s="25" t="s">
        <v>165</v>
      </c>
      <c r="AO85" s="25" t="s">
        <v>165</v>
      </c>
      <c r="AP85" s="25" t="s">
        <v>165</v>
      </c>
      <c r="AQ85" s="25" t="s">
        <v>165</v>
      </c>
      <c r="AR85" s="25" t="s">
        <v>165</v>
      </c>
      <c r="AS85" s="25" t="s">
        <v>165</v>
      </c>
      <c r="AT85" s="25" t="s">
        <v>165</v>
      </c>
      <c r="AU85" s="25" t="s">
        <v>165</v>
      </c>
      <c r="AV85" s="25" t="s">
        <v>165</v>
      </c>
      <c r="AW85" s="25" t="s">
        <v>165</v>
      </c>
      <c r="AX85" s="25" t="s">
        <v>165</v>
      </c>
      <c r="AY85" s="25" t="s">
        <v>165</v>
      </c>
      <c r="AZ85" s="25" t="s">
        <v>165</v>
      </c>
      <c r="BA85" s="25" t="s">
        <v>165</v>
      </c>
      <c r="BB85" s="25" t="s">
        <v>165</v>
      </c>
      <c r="BC85" s="25" t="s">
        <v>165</v>
      </c>
      <c r="BD85" s="25" t="s">
        <v>165</v>
      </c>
      <c r="BE85" s="25" t="s">
        <v>165</v>
      </c>
      <c r="BF85" s="25" t="s">
        <v>165</v>
      </c>
      <c r="BG85" s="25" t="s">
        <v>165</v>
      </c>
      <c r="BH85" s="25" t="s">
        <v>165</v>
      </c>
      <c r="BI85" s="25" t="s">
        <v>165</v>
      </c>
      <c r="BJ85" s="25" t="s">
        <v>165</v>
      </c>
      <c r="BK85" s="25" t="s">
        <v>165</v>
      </c>
      <c r="BL85" s="25" t="s">
        <v>165</v>
      </c>
      <c r="BM85" s="25" t="s">
        <v>165</v>
      </c>
      <c r="BN85" s="25" t="s">
        <v>165</v>
      </c>
      <c r="BO85" s="25" t="s">
        <v>165</v>
      </c>
      <c r="BP85" s="25" t="s">
        <v>165</v>
      </c>
      <c r="BQ85" s="25" t="s">
        <v>165</v>
      </c>
      <c r="BR85" s="25" t="s">
        <v>165</v>
      </c>
      <c r="BS85" s="25" t="s">
        <v>165</v>
      </c>
      <c r="BT85" s="25" t="s">
        <v>165</v>
      </c>
      <c r="BU85" s="25" t="s">
        <v>165</v>
      </c>
      <c r="BV85" s="25" t="s">
        <v>165</v>
      </c>
      <c r="BW85" s="25" t="s">
        <v>165</v>
      </c>
      <c r="BX85" s="25" t="s">
        <v>165</v>
      </c>
      <c r="BY85" s="25" t="s">
        <v>165</v>
      </c>
      <c r="BZ85" s="25" t="s">
        <v>165</v>
      </c>
      <c r="CA85" s="25" t="s">
        <v>165</v>
      </c>
      <c r="CB85" s="25" t="s">
        <v>165</v>
      </c>
      <c r="CC85" s="25" t="s">
        <v>165</v>
      </c>
      <c r="CD85" s="25" t="s">
        <v>165</v>
      </c>
      <c r="CE85" s="25" t="s">
        <v>165</v>
      </c>
      <c r="CF85" s="25" t="s">
        <v>165</v>
      </c>
      <c r="CG85" s="25" t="s">
        <v>165</v>
      </c>
      <c r="CH85" s="25" t="s">
        <v>165</v>
      </c>
      <c r="CI85" s="25" t="s">
        <v>165</v>
      </c>
      <c r="CK85" s="15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</row>
    <row r="86" spans="1:110" outlineLevel="2" x14ac:dyDescent="0.2">
      <c r="A86" s="14">
        <v>1</v>
      </c>
      <c r="C86" s="9" t="str">
        <f>IF(SUBTOTAL(109,A86)=A86,"        Depreciation, Amortization and Depletion, Supplemental","        Depreciation, Amortization and Depletion, Supplemental")</f>
        <v xml:space="preserve">        Depreciation, Amortization and Depletion, Supplemental</v>
      </c>
      <c r="D86" s="17" t="str">
        <f t="shared" ref="D86:D91" si="32">IF(COUNT(M86:CI86)&gt;0,MEDIAN(M86:CI86),"")</f>
        <v/>
      </c>
      <c r="E86" s="17" t="str">
        <f t="shared" ref="E86:E91" si="33">IF(COUNT(M86:CI86)&gt;0,AVERAGE(M86:CI86),"")</f>
        <v/>
      </c>
      <c r="F86" s="17" t="str">
        <f t="shared" ref="F86:F91" si="34">IF(COUNT(M86:CI86)&gt;0,MIN(M86:CI86),"")</f>
        <v/>
      </c>
      <c r="G86" s="17" t="str">
        <f t="shared" ref="G86:G91" si="35">IF(COUNT(M86:CI86)&gt;0,MAX(M86:CI86),"")</f>
        <v/>
      </c>
      <c r="H86" s="17" t="str">
        <f t="shared" ref="H86:H91" si="36">IF(COUNT(M86:CI86)&gt;0,QUARTILE(M86:CI86,1),"")</f>
        <v/>
      </c>
      <c r="I86" s="17" t="str">
        <f t="shared" ref="I86:I91" si="37">IF(COUNT(M86:CI86)&gt;0,QUARTILE(M86:CI86,3),"")</f>
        <v/>
      </c>
      <c r="J86" s="17" t="str">
        <f t="shared" ref="J86:J91" si="38">IF(COUNT(M86:CI86)&gt;1,STDEV(M86:CI86),"")</f>
        <v/>
      </c>
      <c r="K86" s="18" t="str">
        <f t="shared" ref="K86:K91" si="39">IF(COUNT(M86:CI86)&gt;1,STDEV(M86:CI86)/AVERAGE(M86:CI86),"")</f>
        <v/>
      </c>
      <c r="L86" s="21"/>
      <c r="M86" s="21" t="str">
        <f>IF(SUBTOTAL(109,A86)=A86,"",29500)</f>
        <v/>
      </c>
      <c r="N86" s="21"/>
      <c r="O86" s="21"/>
      <c r="P86" s="21"/>
      <c r="Q86" s="21"/>
      <c r="R86" s="21" t="str">
        <f>IF(SUBTOTAL(109,A86)=A86,"","")</f>
        <v/>
      </c>
      <c r="S86" s="21" t="str">
        <f>IF(SUBTOTAL(109,A86)=A86,"","")</f>
        <v/>
      </c>
      <c r="T86" s="21" t="str">
        <f>IF(SUBTOTAL(109,A86)=A86,"","")</f>
        <v/>
      </c>
      <c r="U86" s="21" t="str">
        <f>IF(SUBTOTAL(109,A86)=A86,"","")</f>
        <v/>
      </c>
      <c r="V86" s="21" t="str">
        <f>IF(SUBTOTAL(109,A86)=A86,"","")</f>
        <v/>
      </c>
      <c r="W86" s="21" t="str">
        <f>IF(SUBTOTAL(109,A86)=A86,"","")</f>
        <v/>
      </c>
      <c r="X86" s="21" t="str">
        <f>IF(SUBTOTAL(109,A86)=A86,"","")</f>
        <v/>
      </c>
      <c r="Y86" s="21" t="str">
        <f>IF(SUBTOTAL(109,A86)=A86,"","")</f>
        <v/>
      </c>
      <c r="Z86" s="21" t="str">
        <f>IF(SUBTOTAL(109,A86)=A86,"","")</f>
        <v/>
      </c>
      <c r="AA86" s="21" t="str">
        <f>IF(SUBTOTAL(109,A86)=A86,"","")</f>
        <v/>
      </c>
      <c r="AB86" s="21" t="str">
        <f>IF(SUBTOTAL(109,A86)=A86,"","")</f>
        <v/>
      </c>
      <c r="AC86" s="21" t="str">
        <f>IF(SUBTOTAL(109,A86)=A86,"","")</f>
        <v/>
      </c>
      <c r="AD86" s="21" t="str">
        <f>IF(SUBTOTAL(109,A86)=A86,"","")</f>
        <v/>
      </c>
      <c r="AE86" s="21" t="str">
        <f>IF(SUBTOTAL(109,A86)=A86,"","")</f>
        <v/>
      </c>
      <c r="AF86" s="21" t="str">
        <f>IF(SUBTOTAL(109,A86)=A86,"","")</f>
        <v/>
      </c>
      <c r="AG86" s="21" t="str">
        <f>IF(SUBTOTAL(109,A86)=A86,"","")</f>
        <v/>
      </c>
      <c r="AH86" s="21" t="str">
        <f>IF(SUBTOTAL(109,A86)=A86,"","")</f>
        <v/>
      </c>
      <c r="AI86" s="21" t="str">
        <f>IF(SUBTOTAL(109,A86)=A86,"","")</f>
        <v/>
      </c>
      <c r="AJ86" s="21" t="str">
        <f>IF(SUBTOTAL(109,A86)=A86,"","")</f>
        <v/>
      </c>
      <c r="AK86" s="21" t="str">
        <f>IF(SUBTOTAL(109,A86)=A86,"","")</f>
        <v/>
      </c>
      <c r="AL86" s="21" t="str">
        <f>IF(SUBTOTAL(109,A86)=A86,"","")</f>
        <v/>
      </c>
      <c r="AM86" s="21" t="str">
        <f>IF(SUBTOTAL(109,A86)=A86,"","")</f>
        <v/>
      </c>
      <c r="AN86" s="21" t="str">
        <f>IF(SUBTOTAL(109,A86)=A86,"","")</f>
        <v/>
      </c>
      <c r="AO86" s="21" t="str">
        <f>IF(SUBTOTAL(109,A86)=A86,"","")</f>
        <v/>
      </c>
      <c r="AP86" s="21" t="str">
        <f>IF(SUBTOTAL(109,A86)=A86,"","")</f>
        <v/>
      </c>
      <c r="AQ86" s="21" t="str">
        <f>IF(SUBTOTAL(109,A86)=A86,"","")</f>
        <v/>
      </c>
      <c r="AR86" s="21" t="str">
        <f>IF(SUBTOTAL(109,A86)=A86,"","")</f>
        <v/>
      </c>
      <c r="AS86" s="21" t="str">
        <f>IF(SUBTOTAL(109,A86)=A86,"","")</f>
        <v/>
      </c>
      <c r="AT86" s="21" t="str">
        <f>IF(SUBTOTAL(109,A86)=A86,"","")</f>
        <v/>
      </c>
      <c r="AU86" s="21" t="str">
        <f>IF(SUBTOTAL(109,A86)=A86,"","")</f>
        <v/>
      </c>
      <c r="AV86" s="21" t="str">
        <f>IF(SUBTOTAL(109,A86)=A86,"","")</f>
        <v/>
      </c>
      <c r="AW86" s="21" t="str">
        <f>IF(SUBTOTAL(109,A86)=A86,"","")</f>
        <v/>
      </c>
      <c r="AX86" s="21" t="str">
        <f>IF(SUBTOTAL(109,A86)=A86,"","")</f>
        <v/>
      </c>
      <c r="AY86" s="21" t="str">
        <f>IF(SUBTOTAL(109,A86)=A86,"","")</f>
        <v/>
      </c>
      <c r="AZ86" s="21" t="str">
        <f>IF(SUBTOTAL(109,A86)=A86,"","")</f>
        <v/>
      </c>
      <c r="BA86" s="21" t="str">
        <f>IF(SUBTOTAL(109,A86)=A86,"","")</f>
        <v/>
      </c>
      <c r="BB86" s="21" t="str">
        <f>IF(SUBTOTAL(109,A86)=A86,"","")</f>
        <v/>
      </c>
      <c r="BC86" s="21" t="str">
        <f>IF(SUBTOTAL(109,A86)=A86,"","")</f>
        <v/>
      </c>
      <c r="BD86" s="21" t="str">
        <f>IF(SUBTOTAL(109,A86)=A86,"","")</f>
        <v/>
      </c>
      <c r="BE86" s="21" t="str">
        <f>IF(SUBTOTAL(109,A86)=A86,"","")</f>
        <v/>
      </c>
      <c r="BF86" s="21" t="str">
        <f>IF(SUBTOTAL(109,A86)=A86,"","")</f>
        <v/>
      </c>
      <c r="BG86" s="21" t="str">
        <f>IF(SUBTOTAL(109,A86)=A86,"","")</f>
        <v/>
      </c>
      <c r="BH86" s="21" t="str">
        <f>IF(SUBTOTAL(109,A86)=A86,"","")</f>
        <v/>
      </c>
      <c r="BI86" s="21" t="str">
        <f>IF(SUBTOTAL(109,A86)=A86,"","")</f>
        <v/>
      </c>
      <c r="BJ86" s="21" t="str">
        <f>IF(SUBTOTAL(109,A86)=A86,"","")</f>
        <v/>
      </c>
      <c r="BK86" s="21" t="str">
        <f>IF(SUBTOTAL(109,A86)=A86,"","")</f>
        <v/>
      </c>
      <c r="BL86" s="21" t="str">
        <f>IF(SUBTOTAL(109,A86)=A86,"","")</f>
        <v/>
      </c>
      <c r="BM86" s="21" t="str">
        <f>IF(SUBTOTAL(109,A86)=A86,"","")</f>
        <v/>
      </c>
      <c r="BN86" s="21" t="str">
        <f>IF(SUBTOTAL(109,A86)=A86,"","")</f>
        <v/>
      </c>
      <c r="BO86" s="21" t="str">
        <f>IF(SUBTOTAL(109,A86)=A86,"","")</f>
        <v/>
      </c>
      <c r="BP86" s="21" t="str">
        <f>IF(SUBTOTAL(109,A86)=A86,"","")</f>
        <v/>
      </c>
      <c r="BQ86" s="21" t="str">
        <f>IF(SUBTOTAL(109,A86)=A86,"","")</f>
        <v/>
      </c>
      <c r="BR86" s="21" t="str">
        <f>IF(SUBTOTAL(109,A86)=A86,"","")</f>
        <v/>
      </c>
      <c r="BS86" s="21" t="str">
        <f>IF(SUBTOTAL(109,A86)=A86,"","")</f>
        <v/>
      </c>
      <c r="BT86" s="21" t="str">
        <f>IF(SUBTOTAL(109,A86)=A86,"","")</f>
        <v/>
      </c>
      <c r="BU86" s="21" t="str">
        <f>IF(SUBTOTAL(109,A86)=A86,"","")</f>
        <v/>
      </c>
      <c r="BV86" s="21" t="str">
        <f>IF(SUBTOTAL(109,A86)=A86,"","")</f>
        <v/>
      </c>
      <c r="BW86" s="21" t="str">
        <f>IF(SUBTOTAL(109,A86)=A86,"","")</f>
        <v/>
      </c>
      <c r="BX86" s="21" t="str">
        <f>IF(SUBTOTAL(109,A86)=A86,"","")</f>
        <v/>
      </c>
      <c r="BY86" s="21" t="str">
        <f>IF(SUBTOTAL(109,A86)=A86,"","")</f>
        <v/>
      </c>
      <c r="BZ86" s="21" t="str">
        <f>IF(SUBTOTAL(109,A86)=A86,"","")</f>
        <v/>
      </c>
      <c r="CA86" s="21" t="str">
        <f>IF(SUBTOTAL(109,A86)=A86,"","")</f>
        <v/>
      </c>
      <c r="CB86" s="21" t="str">
        <f>IF(SUBTOTAL(109,A86)=A86,"","")</f>
        <v/>
      </c>
      <c r="CC86" s="21" t="str">
        <f>IF(SUBTOTAL(109,A86)=A86,"","")</f>
        <v/>
      </c>
      <c r="CD86" s="21" t="str">
        <f>IF(SUBTOTAL(109,A86)=A86,"","")</f>
        <v/>
      </c>
      <c r="CE86" s="21" t="str">
        <f>IF(SUBTOTAL(109,A86)=A86,"","")</f>
        <v/>
      </c>
      <c r="CF86" s="21" t="str">
        <f>IF(SUBTOTAL(109,A86)=A86,"","")</f>
        <v/>
      </c>
      <c r="CG86" s="21" t="str">
        <f>IF(SUBTOTAL(109,A86)=A86,"","")</f>
        <v/>
      </c>
      <c r="CH86" s="21" t="str">
        <f>IF(SUBTOTAL(109,A86)=A86,"","")</f>
        <v/>
      </c>
      <c r="CI86" s="21" t="str">
        <f>IF(SUBTOTAL(109,A86)=A86,"","")</f>
        <v/>
      </c>
      <c r="CK86" s="15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</row>
    <row r="87" spans="1:110" outlineLevel="3" x14ac:dyDescent="0.2">
      <c r="A87" s="14">
        <v>1</v>
      </c>
      <c r="C87" s="9" t="str">
        <f>IF(SUBTOTAL(109,A87)=A87,"            Depreciation and Amortization, Supplemental","            Depreciation and Amortization, Supplemental")</f>
        <v xml:space="preserve">            Depreciation and Amortization, Supplemental</v>
      </c>
      <c r="D87" s="17" t="str">
        <f t="shared" si="32"/>
        <v/>
      </c>
      <c r="E87" s="17" t="str">
        <f t="shared" si="33"/>
        <v/>
      </c>
      <c r="F87" s="17" t="str">
        <f t="shared" si="34"/>
        <v/>
      </c>
      <c r="G87" s="17" t="str">
        <f t="shared" si="35"/>
        <v/>
      </c>
      <c r="H87" s="17" t="str">
        <f t="shared" si="36"/>
        <v/>
      </c>
      <c r="I87" s="17" t="str">
        <f t="shared" si="37"/>
        <v/>
      </c>
      <c r="J87" s="17" t="str">
        <f t="shared" si="38"/>
        <v/>
      </c>
      <c r="K87" s="18" t="str">
        <f t="shared" si="39"/>
        <v/>
      </c>
      <c r="L87" s="21"/>
      <c r="M87" s="21" t="str">
        <f>IF(SUBTOTAL(109,A87)=A87,"",29500)</f>
        <v/>
      </c>
      <c r="N87" s="21"/>
      <c r="O87" s="21"/>
      <c r="P87" s="21"/>
      <c r="Q87" s="21"/>
      <c r="R87" s="21" t="str">
        <f>IF(SUBTOTAL(109,A87)=A87,"","")</f>
        <v/>
      </c>
      <c r="S87" s="21" t="str">
        <f>IF(SUBTOTAL(109,A87)=A87,"","")</f>
        <v/>
      </c>
      <c r="T87" s="21" t="str">
        <f>IF(SUBTOTAL(109,A87)=A87,"","")</f>
        <v/>
      </c>
      <c r="U87" s="21" t="str">
        <f>IF(SUBTOTAL(109,A87)=A87,"","")</f>
        <v/>
      </c>
      <c r="V87" s="21" t="str">
        <f>IF(SUBTOTAL(109,A87)=A87,"","")</f>
        <v/>
      </c>
      <c r="W87" s="21" t="str">
        <f>IF(SUBTOTAL(109,A87)=A87,"","")</f>
        <v/>
      </c>
      <c r="X87" s="21" t="str">
        <f>IF(SUBTOTAL(109,A87)=A87,"","")</f>
        <v/>
      </c>
      <c r="Y87" s="21" t="str">
        <f>IF(SUBTOTAL(109,A87)=A87,"","")</f>
        <v/>
      </c>
      <c r="Z87" s="21" t="str">
        <f>IF(SUBTOTAL(109,A87)=A87,"","")</f>
        <v/>
      </c>
      <c r="AA87" s="21" t="str">
        <f>IF(SUBTOTAL(109,A87)=A87,"","")</f>
        <v/>
      </c>
      <c r="AB87" s="21" t="str">
        <f>IF(SUBTOTAL(109,A87)=A87,"","")</f>
        <v/>
      </c>
      <c r="AC87" s="21" t="str">
        <f>IF(SUBTOTAL(109,A87)=A87,"","")</f>
        <v/>
      </c>
      <c r="AD87" s="21" t="str">
        <f>IF(SUBTOTAL(109,A87)=A87,"","")</f>
        <v/>
      </c>
      <c r="AE87" s="21" t="str">
        <f>IF(SUBTOTAL(109,A87)=A87,"","")</f>
        <v/>
      </c>
      <c r="AF87" s="21" t="str">
        <f>IF(SUBTOTAL(109,A87)=A87,"","")</f>
        <v/>
      </c>
      <c r="AG87" s="21" t="str">
        <f>IF(SUBTOTAL(109,A87)=A87,"","")</f>
        <v/>
      </c>
      <c r="AH87" s="21" t="str">
        <f>IF(SUBTOTAL(109,A87)=A87,"","")</f>
        <v/>
      </c>
      <c r="AI87" s="21" t="str">
        <f>IF(SUBTOTAL(109,A87)=A87,"","")</f>
        <v/>
      </c>
      <c r="AJ87" s="21" t="str">
        <f>IF(SUBTOTAL(109,A87)=A87,"","")</f>
        <v/>
      </c>
      <c r="AK87" s="21" t="str">
        <f>IF(SUBTOTAL(109,A87)=A87,"","")</f>
        <v/>
      </c>
      <c r="AL87" s="21" t="str">
        <f>IF(SUBTOTAL(109,A87)=A87,"","")</f>
        <v/>
      </c>
      <c r="AM87" s="21" t="str">
        <f>IF(SUBTOTAL(109,A87)=A87,"","")</f>
        <v/>
      </c>
      <c r="AN87" s="21" t="str">
        <f>IF(SUBTOTAL(109,A87)=A87,"","")</f>
        <v/>
      </c>
      <c r="AO87" s="21" t="str">
        <f>IF(SUBTOTAL(109,A87)=A87,"","")</f>
        <v/>
      </c>
      <c r="AP87" s="21" t="str">
        <f>IF(SUBTOTAL(109,A87)=A87,"","")</f>
        <v/>
      </c>
      <c r="AQ87" s="21" t="str">
        <f>IF(SUBTOTAL(109,A87)=A87,"","")</f>
        <v/>
      </c>
      <c r="AR87" s="21" t="str">
        <f>IF(SUBTOTAL(109,A87)=A87,"","")</f>
        <v/>
      </c>
      <c r="AS87" s="21" t="str">
        <f>IF(SUBTOTAL(109,A87)=A87,"","")</f>
        <v/>
      </c>
      <c r="AT87" s="21" t="str">
        <f>IF(SUBTOTAL(109,A87)=A87,"","")</f>
        <v/>
      </c>
      <c r="AU87" s="21" t="str">
        <f>IF(SUBTOTAL(109,A87)=A87,"","")</f>
        <v/>
      </c>
      <c r="AV87" s="21" t="str">
        <f>IF(SUBTOTAL(109,A87)=A87,"","")</f>
        <v/>
      </c>
      <c r="AW87" s="21" t="str">
        <f>IF(SUBTOTAL(109,A87)=A87,"","")</f>
        <v/>
      </c>
      <c r="AX87" s="21" t="str">
        <f>IF(SUBTOTAL(109,A87)=A87,"","")</f>
        <v/>
      </c>
      <c r="AY87" s="21" t="str">
        <f>IF(SUBTOTAL(109,A87)=A87,"","")</f>
        <v/>
      </c>
      <c r="AZ87" s="21" t="str">
        <f>IF(SUBTOTAL(109,A87)=A87,"","")</f>
        <v/>
      </c>
      <c r="BA87" s="21" t="str">
        <f>IF(SUBTOTAL(109,A87)=A87,"","")</f>
        <v/>
      </c>
      <c r="BB87" s="21" t="str">
        <f>IF(SUBTOTAL(109,A87)=A87,"","")</f>
        <v/>
      </c>
      <c r="BC87" s="21" t="str">
        <f>IF(SUBTOTAL(109,A87)=A87,"","")</f>
        <v/>
      </c>
      <c r="BD87" s="21" t="str">
        <f>IF(SUBTOTAL(109,A87)=A87,"","")</f>
        <v/>
      </c>
      <c r="BE87" s="21" t="str">
        <f>IF(SUBTOTAL(109,A87)=A87,"","")</f>
        <v/>
      </c>
      <c r="BF87" s="21" t="str">
        <f>IF(SUBTOTAL(109,A87)=A87,"","")</f>
        <v/>
      </c>
      <c r="BG87" s="21" t="str">
        <f>IF(SUBTOTAL(109,A87)=A87,"","")</f>
        <v/>
      </c>
      <c r="BH87" s="21" t="str">
        <f>IF(SUBTOTAL(109,A87)=A87,"","")</f>
        <v/>
      </c>
      <c r="BI87" s="21" t="str">
        <f>IF(SUBTOTAL(109,A87)=A87,"","")</f>
        <v/>
      </c>
      <c r="BJ87" s="21" t="str">
        <f>IF(SUBTOTAL(109,A87)=A87,"","")</f>
        <v/>
      </c>
      <c r="BK87" s="21" t="str">
        <f>IF(SUBTOTAL(109,A87)=A87,"","")</f>
        <v/>
      </c>
      <c r="BL87" s="21" t="str">
        <f>IF(SUBTOTAL(109,A87)=A87,"","")</f>
        <v/>
      </c>
      <c r="BM87" s="21" t="str">
        <f>IF(SUBTOTAL(109,A87)=A87,"","")</f>
        <v/>
      </c>
      <c r="BN87" s="21" t="str">
        <f>IF(SUBTOTAL(109,A87)=A87,"","")</f>
        <v/>
      </c>
      <c r="BO87" s="21" t="str">
        <f>IF(SUBTOTAL(109,A87)=A87,"","")</f>
        <v/>
      </c>
      <c r="BP87" s="21" t="str">
        <f>IF(SUBTOTAL(109,A87)=A87,"","")</f>
        <v/>
      </c>
      <c r="BQ87" s="21" t="str">
        <f>IF(SUBTOTAL(109,A87)=A87,"","")</f>
        <v/>
      </c>
      <c r="BR87" s="21" t="str">
        <f>IF(SUBTOTAL(109,A87)=A87,"","")</f>
        <v/>
      </c>
      <c r="BS87" s="21" t="str">
        <f>IF(SUBTOTAL(109,A87)=A87,"","")</f>
        <v/>
      </c>
      <c r="BT87" s="21" t="str">
        <f>IF(SUBTOTAL(109,A87)=A87,"","")</f>
        <v/>
      </c>
      <c r="BU87" s="21" t="str">
        <f>IF(SUBTOTAL(109,A87)=A87,"","")</f>
        <v/>
      </c>
      <c r="BV87" s="21" t="str">
        <f>IF(SUBTOTAL(109,A87)=A87,"","")</f>
        <v/>
      </c>
      <c r="BW87" s="21" t="str">
        <f>IF(SUBTOTAL(109,A87)=A87,"","")</f>
        <v/>
      </c>
      <c r="BX87" s="21" t="str">
        <f>IF(SUBTOTAL(109,A87)=A87,"","")</f>
        <v/>
      </c>
      <c r="BY87" s="21" t="str">
        <f>IF(SUBTOTAL(109,A87)=A87,"","")</f>
        <v/>
      </c>
      <c r="BZ87" s="21" t="str">
        <f>IF(SUBTOTAL(109,A87)=A87,"","")</f>
        <v/>
      </c>
      <c r="CA87" s="21" t="str">
        <f>IF(SUBTOTAL(109,A87)=A87,"","")</f>
        <v/>
      </c>
      <c r="CB87" s="21" t="str">
        <f>IF(SUBTOTAL(109,A87)=A87,"","")</f>
        <v/>
      </c>
      <c r="CC87" s="21" t="str">
        <f>IF(SUBTOTAL(109,A87)=A87,"","")</f>
        <v/>
      </c>
      <c r="CD87" s="21" t="str">
        <f>IF(SUBTOTAL(109,A87)=A87,"","")</f>
        <v/>
      </c>
      <c r="CE87" s="21" t="str">
        <f>IF(SUBTOTAL(109,A87)=A87,"","")</f>
        <v/>
      </c>
      <c r="CF87" s="21" t="str">
        <f>IF(SUBTOTAL(109,A87)=A87,"","")</f>
        <v/>
      </c>
      <c r="CG87" s="21" t="str">
        <f>IF(SUBTOTAL(109,A87)=A87,"","")</f>
        <v/>
      </c>
      <c r="CH87" s="21" t="str">
        <f>IF(SUBTOTAL(109,A87)=A87,"","")</f>
        <v/>
      </c>
      <c r="CI87" s="21" t="str">
        <f>IF(SUBTOTAL(109,A87)=A87,"","")</f>
        <v/>
      </c>
      <c r="CK87" s="15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</row>
    <row r="88" spans="1:110" outlineLevel="4" x14ac:dyDescent="0.2">
      <c r="A88" s="14">
        <v>1</v>
      </c>
      <c r="C88" s="9" t="str">
        <f>"                Depreciation, Supplemental"</f>
        <v xml:space="preserve">                Depreciation, Supplemental</v>
      </c>
      <c r="D88" s="17">
        <f t="shared" si="32"/>
        <v>14995.5</v>
      </c>
      <c r="E88" s="17">
        <f t="shared" si="33"/>
        <v>14995.5</v>
      </c>
      <c r="F88" s="17">
        <f t="shared" si="34"/>
        <v>491</v>
      </c>
      <c r="G88" s="17">
        <f t="shared" si="35"/>
        <v>29500</v>
      </c>
      <c r="H88" s="17">
        <f t="shared" si="36"/>
        <v>7743.25</v>
      </c>
      <c r="I88" s="17">
        <f t="shared" si="37"/>
        <v>22247.75</v>
      </c>
      <c r="J88" s="17">
        <f t="shared" si="38"/>
        <v>20512.460615440556</v>
      </c>
      <c r="K88" s="18">
        <f t="shared" si="39"/>
        <v>1.3679077466867098</v>
      </c>
      <c r="L88" s="21"/>
      <c r="M88" s="21">
        <v>29500</v>
      </c>
      <c r="N88" s="21">
        <v>491</v>
      </c>
      <c r="O88" s="21"/>
      <c r="P88" s="21"/>
      <c r="Q88" s="21"/>
      <c r="R88" s="21" t="s">
        <v>165</v>
      </c>
      <c r="S88" s="21" t="s">
        <v>165</v>
      </c>
      <c r="T88" s="21" t="s">
        <v>165</v>
      </c>
      <c r="U88" s="21" t="s">
        <v>165</v>
      </c>
      <c r="V88" s="21" t="s">
        <v>165</v>
      </c>
      <c r="W88" s="21" t="s">
        <v>165</v>
      </c>
      <c r="X88" s="21" t="s">
        <v>165</v>
      </c>
      <c r="Y88" s="21" t="s">
        <v>165</v>
      </c>
      <c r="Z88" s="21" t="s">
        <v>165</v>
      </c>
      <c r="AA88" s="21" t="s">
        <v>165</v>
      </c>
      <c r="AB88" s="21" t="s">
        <v>165</v>
      </c>
      <c r="AC88" s="21" t="s">
        <v>165</v>
      </c>
      <c r="AD88" s="21" t="s">
        <v>165</v>
      </c>
      <c r="AE88" s="21" t="s">
        <v>165</v>
      </c>
      <c r="AF88" s="21" t="s">
        <v>165</v>
      </c>
      <c r="AG88" s="21" t="s">
        <v>165</v>
      </c>
      <c r="AH88" s="21" t="s">
        <v>165</v>
      </c>
      <c r="AI88" s="21" t="s">
        <v>165</v>
      </c>
      <c r="AJ88" s="21" t="s">
        <v>165</v>
      </c>
      <c r="AK88" s="21" t="s">
        <v>165</v>
      </c>
      <c r="AL88" s="21" t="s">
        <v>165</v>
      </c>
      <c r="AM88" s="21" t="s">
        <v>165</v>
      </c>
      <c r="AN88" s="21" t="s">
        <v>165</v>
      </c>
      <c r="AO88" s="21" t="s">
        <v>165</v>
      </c>
      <c r="AP88" s="21" t="s">
        <v>165</v>
      </c>
      <c r="AQ88" s="21" t="s">
        <v>165</v>
      </c>
      <c r="AR88" s="21" t="s">
        <v>165</v>
      </c>
      <c r="AS88" s="21" t="s">
        <v>165</v>
      </c>
      <c r="AT88" s="21" t="s">
        <v>165</v>
      </c>
      <c r="AU88" s="21" t="s">
        <v>165</v>
      </c>
      <c r="AV88" s="21" t="s">
        <v>165</v>
      </c>
      <c r="AW88" s="21" t="s">
        <v>165</v>
      </c>
      <c r="AX88" s="21" t="s">
        <v>165</v>
      </c>
      <c r="AY88" s="21" t="s">
        <v>165</v>
      </c>
      <c r="AZ88" s="21" t="s">
        <v>165</v>
      </c>
      <c r="BA88" s="21" t="s">
        <v>165</v>
      </c>
      <c r="BB88" s="21" t="s">
        <v>165</v>
      </c>
      <c r="BC88" s="21" t="s">
        <v>165</v>
      </c>
      <c r="BD88" s="21" t="s">
        <v>165</v>
      </c>
      <c r="BE88" s="21" t="s">
        <v>165</v>
      </c>
      <c r="BF88" s="21" t="s">
        <v>165</v>
      </c>
      <c r="BG88" s="21" t="s">
        <v>165</v>
      </c>
      <c r="BH88" s="21" t="s">
        <v>165</v>
      </c>
      <c r="BI88" s="21" t="s">
        <v>165</v>
      </c>
      <c r="BJ88" s="21" t="s">
        <v>165</v>
      </c>
      <c r="BK88" s="21" t="s">
        <v>165</v>
      </c>
      <c r="BL88" s="21" t="s">
        <v>165</v>
      </c>
      <c r="BM88" s="21" t="s">
        <v>165</v>
      </c>
      <c r="BN88" s="21" t="s">
        <v>165</v>
      </c>
      <c r="BO88" s="21" t="s">
        <v>165</v>
      </c>
      <c r="BP88" s="21" t="s">
        <v>165</v>
      </c>
      <c r="BQ88" s="21" t="s">
        <v>165</v>
      </c>
      <c r="BR88" s="21" t="s">
        <v>165</v>
      </c>
      <c r="BS88" s="21" t="s">
        <v>165</v>
      </c>
      <c r="BT88" s="21" t="s">
        <v>165</v>
      </c>
      <c r="BU88" s="21" t="s">
        <v>165</v>
      </c>
      <c r="BV88" s="21" t="s">
        <v>165</v>
      </c>
      <c r="BW88" s="21" t="s">
        <v>165</v>
      </c>
      <c r="BX88" s="21" t="s">
        <v>165</v>
      </c>
      <c r="BY88" s="21" t="s">
        <v>165</v>
      </c>
      <c r="BZ88" s="21" t="s">
        <v>165</v>
      </c>
      <c r="CA88" s="21" t="s">
        <v>165</v>
      </c>
      <c r="CB88" s="21" t="s">
        <v>165</v>
      </c>
      <c r="CC88" s="21" t="s">
        <v>165</v>
      </c>
      <c r="CD88" s="21" t="s">
        <v>165</v>
      </c>
      <c r="CE88" s="21" t="s">
        <v>165</v>
      </c>
      <c r="CF88" s="21" t="s">
        <v>165</v>
      </c>
      <c r="CG88" s="21" t="s">
        <v>165</v>
      </c>
      <c r="CH88" s="21" t="s">
        <v>165</v>
      </c>
      <c r="CI88" s="21" t="s">
        <v>165</v>
      </c>
      <c r="CK88" s="15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</row>
    <row r="89" spans="1:110" outlineLevel="4" x14ac:dyDescent="0.2">
      <c r="A89" s="14">
        <v>1</v>
      </c>
      <c r="C89" s="9" t="str">
        <f>"                Amortization, Supplemental"</f>
        <v xml:space="preserve">                Amortization, Supplemental</v>
      </c>
      <c r="D89" s="17">
        <f t="shared" si="32"/>
        <v>164</v>
      </c>
      <c r="E89" s="17">
        <f t="shared" si="33"/>
        <v>164</v>
      </c>
      <c r="F89" s="17">
        <f t="shared" si="34"/>
        <v>164</v>
      </c>
      <c r="G89" s="17">
        <f t="shared" si="35"/>
        <v>164</v>
      </c>
      <c r="H89" s="17">
        <f t="shared" si="36"/>
        <v>164</v>
      </c>
      <c r="I89" s="17">
        <f t="shared" si="37"/>
        <v>164</v>
      </c>
      <c r="J89" s="17" t="str">
        <f t="shared" si="38"/>
        <v/>
      </c>
      <c r="K89" s="18" t="str">
        <f t="shared" si="39"/>
        <v/>
      </c>
      <c r="L89" s="21"/>
      <c r="M89" s="21" t="s">
        <v>165</v>
      </c>
      <c r="N89" s="21"/>
      <c r="O89" s="21">
        <v>164</v>
      </c>
      <c r="P89" s="21"/>
      <c r="Q89" s="21"/>
      <c r="R89" s="21" t="s">
        <v>165</v>
      </c>
      <c r="S89" s="21" t="s">
        <v>165</v>
      </c>
      <c r="T89" s="21" t="s">
        <v>165</v>
      </c>
      <c r="U89" s="21" t="s">
        <v>165</v>
      </c>
      <c r="V89" s="21" t="s">
        <v>165</v>
      </c>
      <c r="W89" s="21" t="s">
        <v>165</v>
      </c>
      <c r="X89" s="21" t="s">
        <v>165</v>
      </c>
      <c r="Y89" s="21" t="s">
        <v>165</v>
      </c>
      <c r="Z89" s="21" t="s">
        <v>165</v>
      </c>
      <c r="AA89" s="21" t="s">
        <v>165</v>
      </c>
      <c r="AB89" s="21" t="s">
        <v>165</v>
      </c>
      <c r="AC89" s="21" t="s">
        <v>165</v>
      </c>
      <c r="AD89" s="21" t="s">
        <v>165</v>
      </c>
      <c r="AE89" s="21" t="s">
        <v>165</v>
      </c>
      <c r="AF89" s="21" t="s">
        <v>165</v>
      </c>
      <c r="AG89" s="21" t="s">
        <v>165</v>
      </c>
      <c r="AH89" s="21" t="s">
        <v>165</v>
      </c>
      <c r="AI89" s="21" t="s">
        <v>165</v>
      </c>
      <c r="AJ89" s="21" t="s">
        <v>165</v>
      </c>
      <c r="AK89" s="21" t="s">
        <v>165</v>
      </c>
      <c r="AL89" s="21" t="s">
        <v>165</v>
      </c>
      <c r="AM89" s="21" t="s">
        <v>165</v>
      </c>
      <c r="AN89" s="21" t="s">
        <v>165</v>
      </c>
      <c r="AO89" s="21" t="s">
        <v>165</v>
      </c>
      <c r="AP89" s="21" t="s">
        <v>165</v>
      </c>
      <c r="AQ89" s="21" t="s">
        <v>165</v>
      </c>
      <c r="AR89" s="21" t="s">
        <v>165</v>
      </c>
      <c r="AS89" s="21" t="s">
        <v>165</v>
      </c>
      <c r="AT89" s="21" t="s">
        <v>165</v>
      </c>
      <c r="AU89" s="21" t="s">
        <v>165</v>
      </c>
      <c r="AV89" s="21" t="s">
        <v>165</v>
      </c>
      <c r="AW89" s="21" t="s">
        <v>165</v>
      </c>
      <c r="AX89" s="21" t="s">
        <v>165</v>
      </c>
      <c r="AY89" s="21" t="s">
        <v>165</v>
      </c>
      <c r="AZ89" s="21" t="s">
        <v>165</v>
      </c>
      <c r="BA89" s="21" t="s">
        <v>165</v>
      </c>
      <c r="BB89" s="21" t="s">
        <v>165</v>
      </c>
      <c r="BC89" s="21" t="s">
        <v>165</v>
      </c>
      <c r="BD89" s="21" t="s">
        <v>165</v>
      </c>
      <c r="BE89" s="21" t="s">
        <v>165</v>
      </c>
      <c r="BF89" s="21" t="s">
        <v>165</v>
      </c>
      <c r="BG89" s="21" t="s">
        <v>165</v>
      </c>
      <c r="BH89" s="21" t="s">
        <v>165</v>
      </c>
      <c r="BI89" s="21" t="s">
        <v>165</v>
      </c>
      <c r="BJ89" s="21" t="s">
        <v>165</v>
      </c>
      <c r="BK89" s="21" t="s">
        <v>165</v>
      </c>
      <c r="BL89" s="21" t="s">
        <v>165</v>
      </c>
      <c r="BM89" s="21" t="s">
        <v>165</v>
      </c>
      <c r="BN89" s="21" t="s">
        <v>165</v>
      </c>
      <c r="BO89" s="21" t="s">
        <v>165</v>
      </c>
      <c r="BP89" s="21" t="s">
        <v>165</v>
      </c>
      <c r="BQ89" s="21" t="s">
        <v>165</v>
      </c>
      <c r="BR89" s="21" t="s">
        <v>165</v>
      </c>
      <c r="BS89" s="21" t="s">
        <v>165</v>
      </c>
      <c r="BT89" s="21" t="s">
        <v>165</v>
      </c>
      <c r="BU89" s="21" t="s">
        <v>165</v>
      </c>
      <c r="BV89" s="21" t="s">
        <v>165</v>
      </c>
      <c r="BW89" s="21" t="s">
        <v>165</v>
      </c>
      <c r="BX89" s="21" t="s">
        <v>165</v>
      </c>
      <c r="BY89" s="21" t="s">
        <v>165</v>
      </c>
      <c r="BZ89" s="21" t="s">
        <v>165</v>
      </c>
      <c r="CA89" s="21" t="s">
        <v>165</v>
      </c>
      <c r="CB89" s="21" t="s">
        <v>165</v>
      </c>
      <c r="CC89" s="21" t="s">
        <v>165</v>
      </c>
      <c r="CD89" s="21" t="s">
        <v>165</v>
      </c>
      <c r="CE89" s="21" t="s">
        <v>165</v>
      </c>
      <c r="CF89" s="21" t="s">
        <v>165</v>
      </c>
      <c r="CG89" s="21" t="s">
        <v>165</v>
      </c>
      <c r="CH89" s="21" t="s">
        <v>165</v>
      </c>
      <c r="CI89" s="21" t="s">
        <v>165</v>
      </c>
      <c r="CK89" s="15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</row>
    <row r="90" spans="1:110" outlineLevel="4" x14ac:dyDescent="0.2">
      <c r="A90" s="14">
        <v>1</v>
      </c>
      <c r="C90" s="10" t="str">
        <f>"                Total Depreciation and Amortization, Supplemental"</f>
        <v xml:space="preserve">                Total Depreciation and Amortization, Supplemental</v>
      </c>
      <c r="D90" s="29">
        <f t="shared" si="32"/>
        <v>491</v>
      </c>
      <c r="E90" s="29">
        <f t="shared" si="33"/>
        <v>10051.666666666666</v>
      </c>
      <c r="F90" s="29">
        <f t="shared" si="34"/>
        <v>164</v>
      </c>
      <c r="G90" s="29">
        <f t="shared" si="35"/>
        <v>29500</v>
      </c>
      <c r="H90" s="29">
        <f t="shared" si="36"/>
        <v>327.5</v>
      </c>
      <c r="I90" s="29">
        <f t="shared" si="37"/>
        <v>14995.5</v>
      </c>
      <c r="J90" s="29">
        <f t="shared" si="38"/>
        <v>16843.544292497747</v>
      </c>
      <c r="K90" s="30">
        <f t="shared" si="39"/>
        <v>1.675696663156798</v>
      </c>
      <c r="L90" s="31"/>
      <c r="M90" s="31">
        <v>29500</v>
      </c>
      <c r="N90" s="31">
        <v>491</v>
      </c>
      <c r="O90" s="31">
        <v>164</v>
      </c>
      <c r="P90" s="31"/>
      <c r="Q90" s="31"/>
      <c r="R90" s="31" t="s">
        <v>165</v>
      </c>
      <c r="S90" s="31" t="s">
        <v>165</v>
      </c>
      <c r="T90" s="31" t="s">
        <v>165</v>
      </c>
      <c r="U90" s="31" t="s">
        <v>165</v>
      </c>
      <c r="V90" s="31" t="s">
        <v>165</v>
      </c>
      <c r="W90" s="31" t="s">
        <v>165</v>
      </c>
      <c r="X90" s="31" t="s">
        <v>165</v>
      </c>
      <c r="Y90" s="31" t="s">
        <v>165</v>
      </c>
      <c r="Z90" s="31" t="s">
        <v>165</v>
      </c>
      <c r="AA90" s="31" t="s">
        <v>165</v>
      </c>
      <c r="AB90" s="31" t="s">
        <v>165</v>
      </c>
      <c r="AC90" s="31" t="s">
        <v>165</v>
      </c>
      <c r="AD90" s="31" t="s">
        <v>165</v>
      </c>
      <c r="AE90" s="31" t="s">
        <v>165</v>
      </c>
      <c r="AF90" s="31" t="s">
        <v>165</v>
      </c>
      <c r="AG90" s="31" t="s">
        <v>165</v>
      </c>
      <c r="AH90" s="31" t="s">
        <v>165</v>
      </c>
      <c r="AI90" s="31" t="s">
        <v>165</v>
      </c>
      <c r="AJ90" s="31" t="s">
        <v>165</v>
      </c>
      <c r="AK90" s="31" t="s">
        <v>165</v>
      </c>
      <c r="AL90" s="31" t="s">
        <v>165</v>
      </c>
      <c r="AM90" s="31" t="s">
        <v>165</v>
      </c>
      <c r="AN90" s="31" t="s">
        <v>165</v>
      </c>
      <c r="AO90" s="31" t="s">
        <v>165</v>
      </c>
      <c r="AP90" s="31" t="s">
        <v>165</v>
      </c>
      <c r="AQ90" s="31" t="s">
        <v>165</v>
      </c>
      <c r="AR90" s="31" t="s">
        <v>165</v>
      </c>
      <c r="AS90" s="31" t="s">
        <v>165</v>
      </c>
      <c r="AT90" s="31" t="s">
        <v>165</v>
      </c>
      <c r="AU90" s="31" t="s">
        <v>165</v>
      </c>
      <c r="AV90" s="31" t="s">
        <v>165</v>
      </c>
      <c r="AW90" s="31" t="s">
        <v>165</v>
      </c>
      <c r="AX90" s="31" t="s">
        <v>165</v>
      </c>
      <c r="AY90" s="31" t="s">
        <v>165</v>
      </c>
      <c r="AZ90" s="31" t="s">
        <v>165</v>
      </c>
      <c r="BA90" s="31" t="s">
        <v>165</v>
      </c>
      <c r="BB90" s="31" t="s">
        <v>165</v>
      </c>
      <c r="BC90" s="31" t="s">
        <v>165</v>
      </c>
      <c r="BD90" s="31" t="s">
        <v>165</v>
      </c>
      <c r="BE90" s="31" t="s">
        <v>165</v>
      </c>
      <c r="BF90" s="31" t="s">
        <v>165</v>
      </c>
      <c r="BG90" s="31" t="s">
        <v>165</v>
      </c>
      <c r="BH90" s="31" t="s">
        <v>165</v>
      </c>
      <c r="BI90" s="31" t="s">
        <v>165</v>
      </c>
      <c r="BJ90" s="31" t="s">
        <v>165</v>
      </c>
      <c r="BK90" s="31" t="s">
        <v>165</v>
      </c>
      <c r="BL90" s="31" t="s">
        <v>165</v>
      </c>
      <c r="BM90" s="31" t="s">
        <v>165</v>
      </c>
      <c r="BN90" s="31" t="s">
        <v>165</v>
      </c>
      <c r="BO90" s="31" t="s">
        <v>165</v>
      </c>
      <c r="BP90" s="31" t="s">
        <v>165</v>
      </c>
      <c r="BQ90" s="31" t="s">
        <v>165</v>
      </c>
      <c r="BR90" s="31" t="s">
        <v>165</v>
      </c>
      <c r="BS90" s="31" t="s">
        <v>165</v>
      </c>
      <c r="BT90" s="31" t="s">
        <v>165</v>
      </c>
      <c r="BU90" s="31" t="s">
        <v>165</v>
      </c>
      <c r="BV90" s="31" t="s">
        <v>165</v>
      </c>
      <c r="BW90" s="31" t="s">
        <v>165</v>
      </c>
      <c r="BX90" s="31" t="s">
        <v>165</v>
      </c>
      <c r="BY90" s="31" t="s">
        <v>165</v>
      </c>
      <c r="BZ90" s="31" t="s">
        <v>165</v>
      </c>
      <c r="CA90" s="31" t="s">
        <v>165</v>
      </c>
      <c r="CB90" s="31" t="s">
        <v>165</v>
      </c>
      <c r="CC90" s="31" t="s">
        <v>165</v>
      </c>
      <c r="CD90" s="31" t="s">
        <v>165</v>
      </c>
      <c r="CE90" s="31" t="s">
        <v>165</v>
      </c>
      <c r="CF90" s="31" t="s">
        <v>165</v>
      </c>
      <c r="CG90" s="31" t="s">
        <v>165</v>
      </c>
      <c r="CH90" s="31" t="s">
        <v>165</v>
      </c>
      <c r="CI90" s="31" t="s">
        <v>165</v>
      </c>
      <c r="CK90" s="15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</row>
    <row r="91" spans="1:110" outlineLevel="3" x14ac:dyDescent="0.2">
      <c r="A91" s="14">
        <v>1</v>
      </c>
      <c r="C91" s="10" t="str">
        <f>"            Total Depreciation, Amortization and Depletion, Supplemental"</f>
        <v xml:space="preserve">            Total Depreciation, Amortization and Depletion, Supplemental</v>
      </c>
      <c r="D91" s="29">
        <f t="shared" si="32"/>
        <v>29500</v>
      </c>
      <c r="E91" s="29">
        <f t="shared" si="33"/>
        <v>29500</v>
      </c>
      <c r="F91" s="29">
        <f t="shared" si="34"/>
        <v>29500</v>
      </c>
      <c r="G91" s="29">
        <f t="shared" si="35"/>
        <v>29500</v>
      </c>
      <c r="H91" s="29">
        <f t="shared" si="36"/>
        <v>29500</v>
      </c>
      <c r="I91" s="29">
        <f t="shared" si="37"/>
        <v>29500</v>
      </c>
      <c r="J91" s="29" t="str">
        <f t="shared" si="38"/>
        <v/>
      </c>
      <c r="K91" s="30" t="str">
        <f t="shared" si="39"/>
        <v/>
      </c>
      <c r="L91" s="31"/>
      <c r="M91" s="31">
        <v>29500</v>
      </c>
      <c r="N91" s="31"/>
      <c r="O91" s="31"/>
      <c r="P91" s="31"/>
      <c r="Q91" s="31"/>
      <c r="R91" s="31" t="s">
        <v>165</v>
      </c>
      <c r="S91" s="31" t="s">
        <v>165</v>
      </c>
      <c r="T91" s="31" t="s">
        <v>165</v>
      </c>
      <c r="U91" s="31" t="s">
        <v>165</v>
      </c>
      <c r="V91" s="31" t="s">
        <v>165</v>
      </c>
      <c r="W91" s="31" t="s">
        <v>165</v>
      </c>
      <c r="X91" s="31" t="s">
        <v>165</v>
      </c>
      <c r="Y91" s="31" t="s">
        <v>165</v>
      </c>
      <c r="Z91" s="31" t="s">
        <v>165</v>
      </c>
      <c r="AA91" s="31" t="s">
        <v>165</v>
      </c>
      <c r="AB91" s="31" t="s">
        <v>165</v>
      </c>
      <c r="AC91" s="31" t="s">
        <v>165</v>
      </c>
      <c r="AD91" s="31" t="s">
        <v>165</v>
      </c>
      <c r="AE91" s="31" t="s">
        <v>165</v>
      </c>
      <c r="AF91" s="31" t="s">
        <v>165</v>
      </c>
      <c r="AG91" s="31" t="s">
        <v>165</v>
      </c>
      <c r="AH91" s="31" t="s">
        <v>165</v>
      </c>
      <c r="AI91" s="31" t="s">
        <v>165</v>
      </c>
      <c r="AJ91" s="31" t="s">
        <v>165</v>
      </c>
      <c r="AK91" s="31" t="s">
        <v>165</v>
      </c>
      <c r="AL91" s="31" t="s">
        <v>165</v>
      </c>
      <c r="AM91" s="31" t="s">
        <v>165</v>
      </c>
      <c r="AN91" s="31" t="s">
        <v>165</v>
      </c>
      <c r="AO91" s="31" t="s">
        <v>165</v>
      </c>
      <c r="AP91" s="31" t="s">
        <v>165</v>
      </c>
      <c r="AQ91" s="31" t="s">
        <v>165</v>
      </c>
      <c r="AR91" s="31" t="s">
        <v>165</v>
      </c>
      <c r="AS91" s="31" t="s">
        <v>165</v>
      </c>
      <c r="AT91" s="31" t="s">
        <v>165</v>
      </c>
      <c r="AU91" s="31" t="s">
        <v>165</v>
      </c>
      <c r="AV91" s="31" t="s">
        <v>165</v>
      </c>
      <c r="AW91" s="31" t="s">
        <v>165</v>
      </c>
      <c r="AX91" s="31" t="s">
        <v>165</v>
      </c>
      <c r="AY91" s="31" t="s">
        <v>165</v>
      </c>
      <c r="AZ91" s="31" t="s">
        <v>165</v>
      </c>
      <c r="BA91" s="31" t="s">
        <v>165</v>
      </c>
      <c r="BB91" s="31" t="s">
        <v>165</v>
      </c>
      <c r="BC91" s="31" t="s">
        <v>165</v>
      </c>
      <c r="BD91" s="31" t="s">
        <v>165</v>
      </c>
      <c r="BE91" s="31" t="s">
        <v>165</v>
      </c>
      <c r="BF91" s="31" t="s">
        <v>165</v>
      </c>
      <c r="BG91" s="31" t="s">
        <v>165</v>
      </c>
      <c r="BH91" s="31" t="s">
        <v>165</v>
      </c>
      <c r="BI91" s="31" t="s">
        <v>165</v>
      </c>
      <c r="BJ91" s="31" t="s">
        <v>165</v>
      </c>
      <c r="BK91" s="31" t="s">
        <v>165</v>
      </c>
      <c r="BL91" s="31" t="s">
        <v>165</v>
      </c>
      <c r="BM91" s="31" t="s">
        <v>165</v>
      </c>
      <c r="BN91" s="31" t="s">
        <v>165</v>
      </c>
      <c r="BO91" s="31" t="s">
        <v>165</v>
      </c>
      <c r="BP91" s="31" t="s">
        <v>165</v>
      </c>
      <c r="BQ91" s="31" t="s">
        <v>165</v>
      </c>
      <c r="BR91" s="31" t="s">
        <v>165</v>
      </c>
      <c r="BS91" s="31" t="s">
        <v>165</v>
      </c>
      <c r="BT91" s="31" t="s">
        <v>165</v>
      </c>
      <c r="BU91" s="31" t="s">
        <v>165</v>
      </c>
      <c r="BV91" s="31" t="s">
        <v>165</v>
      </c>
      <c r="BW91" s="31" t="s">
        <v>165</v>
      </c>
      <c r="BX91" s="31" t="s">
        <v>165</v>
      </c>
      <c r="BY91" s="31" t="s">
        <v>165</v>
      </c>
      <c r="BZ91" s="31" t="s">
        <v>165</v>
      </c>
      <c r="CA91" s="31" t="s">
        <v>165</v>
      </c>
      <c r="CB91" s="31" t="s">
        <v>165</v>
      </c>
      <c r="CC91" s="31" t="s">
        <v>165</v>
      </c>
      <c r="CD91" s="31" t="s">
        <v>165</v>
      </c>
      <c r="CE91" s="31" t="s">
        <v>165</v>
      </c>
      <c r="CF91" s="31" t="s">
        <v>165</v>
      </c>
      <c r="CG91" s="31" t="s">
        <v>165</v>
      </c>
      <c r="CH91" s="31" t="s">
        <v>165</v>
      </c>
      <c r="CI91" s="31" t="s">
        <v>165</v>
      </c>
      <c r="CK91" s="15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</row>
    <row r="92" spans="1:110" x14ac:dyDescent="0.2">
      <c r="A92" s="14">
        <v>1</v>
      </c>
      <c r="C92" s="11" t="str">
        <f>"Profitability Metrics"</f>
        <v>Profitability Metrics</v>
      </c>
      <c r="D92" s="28"/>
      <c r="E92" s="28"/>
      <c r="F92" s="28"/>
      <c r="G92" s="28"/>
      <c r="H92" s="28"/>
      <c r="I92" s="28"/>
      <c r="J92" s="28"/>
      <c r="K92" s="28"/>
      <c r="L92" s="28"/>
      <c r="M92" s="28" t="s">
        <v>165</v>
      </c>
      <c r="N92" s="28"/>
      <c r="O92" s="28"/>
      <c r="P92" s="28"/>
      <c r="Q92" s="28"/>
      <c r="R92" s="28" t="s">
        <v>165</v>
      </c>
      <c r="S92" s="28" t="s">
        <v>165</v>
      </c>
      <c r="T92" s="28" t="s">
        <v>165</v>
      </c>
      <c r="U92" s="28" t="s">
        <v>165</v>
      </c>
      <c r="V92" s="28" t="s">
        <v>165</v>
      </c>
      <c r="W92" s="28" t="s">
        <v>165</v>
      </c>
      <c r="X92" s="28" t="s">
        <v>165</v>
      </c>
      <c r="Y92" s="28" t="s">
        <v>165</v>
      </c>
      <c r="Z92" s="28" t="s">
        <v>165</v>
      </c>
      <c r="AA92" s="28" t="s">
        <v>165</v>
      </c>
      <c r="AB92" s="28" t="s">
        <v>165</v>
      </c>
      <c r="AC92" s="28" t="s">
        <v>165</v>
      </c>
      <c r="AD92" s="28" t="s">
        <v>165</v>
      </c>
      <c r="AE92" s="28" t="s">
        <v>165</v>
      </c>
      <c r="AF92" s="28" t="s">
        <v>165</v>
      </c>
      <c r="AG92" s="28" t="s">
        <v>165</v>
      </c>
      <c r="AH92" s="28" t="s">
        <v>165</v>
      </c>
      <c r="AI92" s="28" t="s">
        <v>165</v>
      </c>
      <c r="AJ92" s="28" t="s">
        <v>165</v>
      </c>
      <c r="AK92" s="28" t="s">
        <v>165</v>
      </c>
      <c r="AL92" s="28" t="s">
        <v>165</v>
      </c>
      <c r="AM92" s="28" t="s">
        <v>165</v>
      </c>
      <c r="AN92" s="28" t="s">
        <v>165</v>
      </c>
      <c r="AO92" s="28" t="s">
        <v>165</v>
      </c>
      <c r="AP92" s="28" t="s">
        <v>165</v>
      </c>
      <c r="AQ92" s="28" t="s">
        <v>165</v>
      </c>
      <c r="AR92" s="28" t="s">
        <v>165</v>
      </c>
      <c r="AS92" s="28" t="s">
        <v>165</v>
      </c>
      <c r="AT92" s="28" t="s">
        <v>165</v>
      </c>
      <c r="AU92" s="28" t="s">
        <v>165</v>
      </c>
      <c r="AV92" s="28" t="s">
        <v>165</v>
      </c>
      <c r="AW92" s="28" t="s">
        <v>165</v>
      </c>
      <c r="AX92" s="28" t="s">
        <v>165</v>
      </c>
      <c r="AY92" s="28" t="s">
        <v>165</v>
      </c>
      <c r="AZ92" s="28" t="s">
        <v>165</v>
      </c>
      <c r="BA92" s="28" t="s">
        <v>165</v>
      </c>
      <c r="BB92" s="28" t="s">
        <v>165</v>
      </c>
      <c r="BC92" s="28" t="s">
        <v>165</v>
      </c>
      <c r="BD92" s="28" t="s">
        <v>165</v>
      </c>
      <c r="BE92" s="28" t="s">
        <v>165</v>
      </c>
      <c r="BF92" s="28" t="s">
        <v>165</v>
      </c>
      <c r="BG92" s="28" t="s">
        <v>165</v>
      </c>
      <c r="BH92" s="28" t="s">
        <v>165</v>
      </c>
      <c r="BI92" s="28" t="s">
        <v>165</v>
      </c>
      <c r="BJ92" s="28" t="s">
        <v>165</v>
      </c>
      <c r="BK92" s="28" t="s">
        <v>165</v>
      </c>
      <c r="BL92" s="28" t="s">
        <v>165</v>
      </c>
      <c r="BM92" s="28" t="s">
        <v>165</v>
      </c>
      <c r="BN92" s="28" t="s">
        <v>165</v>
      </c>
      <c r="BO92" s="28" t="s">
        <v>165</v>
      </c>
      <c r="BP92" s="28" t="s">
        <v>165</v>
      </c>
      <c r="BQ92" s="28" t="s">
        <v>165</v>
      </c>
      <c r="BR92" s="28" t="s">
        <v>165</v>
      </c>
      <c r="BS92" s="28" t="s">
        <v>165</v>
      </c>
      <c r="BT92" s="28" t="s">
        <v>165</v>
      </c>
      <c r="BU92" s="28" t="s">
        <v>165</v>
      </c>
      <c r="BV92" s="28" t="s">
        <v>165</v>
      </c>
      <c r="BW92" s="28" t="s">
        <v>165</v>
      </c>
      <c r="BX92" s="28" t="s">
        <v>165</v>
      </c>
      <c r="BY92" s="28" t="s">
        <v>165</v>
      </c>
      <c r="BZ92" s="28" t="s">
        <v>165</v>
      </c>
      <c r="CA92" s="28" t="s">
        <v>165</v>
      </c>
      <c r="CB92" s="28" t="s">
        <v>165</v>
      </c>
      <c r="CC92" s="28" t="s">
        <v>165</v>
      </c>
      <c r="CD92" s="28" t="s">
        <v>165</v>
      </c>
      <c r="CE92" s="28" t="s">
        <v>165</v>
      </c>
      <c r="CF92" s="28" t="s">
        <v>165</v>
      </c>
      <c r="CG92" s="28" t="s">
        <v>165</v>
      </c>
      <c r="CH92" s="28" t="s">
        <v>165</v>
      </c>
      <c r="CI92" s="28" t="s">
        <v>165</v>
      </c>
      <c r="CK92" s="15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</row>
    <row r="93" spans="1:110" outlineLevel="1" x14ac:dyDescent="0.2">
      <c r="A93" s="14">
        <v>1</v>
      </c>
      <c r="C93" s="9" t="str">
        <f>"    Unadjusted Profitability Metrics"</f>
        <v xml:space="preserve">    Unadjusted Profitability Metrics</v>
      </c>
      <c r="D93" s="20"/>
      <c r="E93" s="20"/>
      <c r="F93" s="20"/>
      <c r="G93" s="20"/>
      <c r="H93" s="20"/>
      <c r="I93" s="20"/>
      <c r="J93" s="20"/>
      <c r="K93" s="20"/>
      <c r="L93" s="25"/>
      <c r="M93" s="25" t="s">
        <v>165</v>
      </c>
      <c r="N93" s="25"/>
      <c r="O93" s="25"/>
      <c r="P93" s="25"/>
      <c r="Q93" s="25"/>
      <c r="R93" s="25" t="s">
        <v>165</v>
      </c>
      <c r="S93" s="25" t="s">
        <v>165</v>
      </c>
      <c r="T93" s="25" t="s">
        <v>165</v>
      </c>
      <c r="U93" s="25" t="s">
        <v>165</v>
      </c>
      <c r="V93" s="25" t="s">
        <v>165</v>
      </c>
      <c r="W93" s="25" t="s">
        <v>165</v>
      </c>
      <c r="X93" s="25" t="s">
        <v>165</v>
      </c>
      <c r="Y93" s="25" t="s">
        <v>165</v>
      </c>
      <c r="Z93" s="25" t="s">
        <v>165</v>
      </c>
      <c r="AA93" s="25" t="s">
        <v>165</v>
      </c>
      <c r="AB93" s="25" t="s">
        <v>165</v>
      </c>
      <c r="AC93" s="25" t="s">
        <v>165</v>
      </c>
      <c r="AD93" s="25" t="s">
        <v>165</v>
      </c>
      <c r="AE93" s="25" t="s">
        <v>165</v>
      </c>
      <c r="AF93" s="25" t="s">
        <v>165</v>
      </c>
      <c r="AG93" s="25" t="s">
        <v>165</v>
      </c>
      <c r="AH93" s="25" t="s">
        <v>165</v>
      </c>
      <c r="AI93" s="25" t="s">
        <v>165</v>
      </c>
      <c r="AJ93" s="25" t="s">
        <v>165</v>
      </c>
      <c r="AK93" s="25" t="s">
        <v>165</v>
      </c>
      <c r="AL93" s="25" t="s">
        <v>165</v>
      </c>
      <c r="AM93" s="25" t="s">
        <v>165</v>
      </c>
      <c r="AN93" s="25" t="s">
        <v>165</v>
      </c>
      <c r="AO93" s="25" t="s">
        <v>165</v>
      </c>
      <c r="AP93" s="25" t="s">
        <v>165</v>
      </c>
      <c r="AQ93" s="25" t="s">
        <v>165</v>
      </c>
      <c r="AR93" s="25" t="s">
        <v>165</v>
      </c>
      <c r="AS93" s="25" t="s">
        <v>165</v>
      </c>
      <c r="AT93" s="25" t="s">
        <v>165</v>
      </c>
      <c r="AU93" s="25" t="s">
        <v>165</v>
      </c>
      <c r="AV93" s="25" t="s">
        <v>165</v>
      </c>
      <c r="AW93" s="25" t="s">
        <v>165</v>
      </c>
      <c r="AX93" s="25" t="s">
        <v>165</v>
      </c>
      <c r="AY93" s="25" t="s">
        <v>165</v>
      </c>
      <c r="AZ93" s="25" t="s">
        <v>165</v>
      </c>
      <c r="BA93" s="25" t="s">
        <v>165</v>
      </c>
      <c r="BB93" s="25" t="s">
        <v>165</v>
      </c>
      <c r="BC93" s="25" t="s">
        <v>165</v>
      </c>
      <c r="BD93" s="25" t="s">
        <v>165</v>
      </c>
      <c r="BE93" s="25" t="s">
        <v>165</v>
      </c>
      <c r="BF93" s="25" t="s">
        <v>165</v>
      </c>
      <c r="BG93" s="25" t="s">
        <v>165</v>
      </c>
      <c r="BH93" s="25" t="s">
        <v>165</v>
      </c>
      <c r="BI93" s="25" t="s">
        <v>165</v>
      </c>
      <c r="BJ93" s="25" t="s">
        <v>165</v>
      </c>
      <c r="BK93" s="25" t="s">
        <v>165</v>
      </c>
      <c r="BL93" s="25" t="s">
        <v>165</v>
      </c>
      <c r="BM93" s="25" t="s">
        <v>165</v>
      </c>
      <c r="BN93" s="25" t="s">
        <v>165</v>
      </c>
      <c r="BO93" s="25" t="s">
        <v>165</v>
      </c>
      <c r="BP93" s="25" t="s">
        <v>165</v>
      </c>
      <c r="BQ93" s="25" t="s">
        <v>165</v>
      </c>
      <c r="BR93" s="25" t="s">
        <v>165</v>
      </c>
      <c r="BS93" s="25" t="s">
        <v>165</v>
      </c>
      <c r="BT93" s="25" t="s">
        <v>165</v>
      </c>
      <c r="BU93" s="25" t="s">
        <v>165</v>
      </c>
      <c r="BV93" s="25" t="s">
        <v>165</v>
      </c>
      <c r="BW93" s="25" t="s">
        <v>165</v>
      </c>
      <c r="BX93" s="25" t="s">
        <v>165</v>
      </c>
      <c r="BY93" s="25" t="s">
        <v>165</v>
      </c>
      <c r="BZ93" s="25" t="s">
        <v>165</v>
      </c>
      <c r="CA93" s="25" t="s">
        <v>165</v>
      </c>
      <c r="CB93" s="25" t="s">
        <v>165</v>
      </c>
      <c r="CC93" s="25" t="s">
        <v>165</v>
      </c>
      <c r="CD93" s="25" t="s">
        <v>165</v>
      </c>
      <c r="CE93" s="25" t="s">
        <v>165</v>
      </c>
      <c r="CF93" s="25" t="s">
        <v>165</v>
      </c>
      <c r="CG93" s="25" t="s">
        <v>165</v>
      </c>
      <c r="CH93" s="25" t="s">
        <v>165</v>
      </c>
      <c r="CI93" s="25" t="s">
        <v>165</v>
      </c>
      <c r="CK93" s="15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</row>
    <row r="94" spans="1:110" outlineLevel="2" x14ac:dyDescent="0.2">
      <c r="A94" s="14">
        <v>1</v>
      </c>
      <c r="C94" s="9" t="str">
        <f>"        EBITDA"</f>
        <v xml:space="preserve">        EBITDA</v>
      </c>
      <c r="D94" s="17">
        <f t="shared" ref="D94:D104" si="40">IF(COUNT(M94:CI94)&gt;0,MEDIAN(M94:CI94),"")</f>
        <v>42387</v>
      </c>
      <c r="E94" s="17">
        <f t="shared" ref="E94:E104" si="41">IF(COUNT(M94:CI94)&gt;0,AVERAGE(M94:CI94),"")</f>
        <v>76642.769486111123</v>
      </c>
      <c r="F94" s="17">
        <f t="shared" ref="F94:F104" si="42">IF(COUNT(M94:CI94)&gt;0,MIN(M94:CI94),"")</f>
        <v>-77611.233999999997</v>
      </c>
      <c r="G94" s="17">
        <f t="shared" ref="G94:G104" si="43">IF(COUNT(M94:CI94)&gt;0,MAX(M94:CI94),"")</f>
        <v>352675</v>
      </c>
      <c r="H94" s="17">
        <f t="shared" ref="H94:H104" si="44">IF(COUNT(M94:CI94)&gt;0,QUARTILE(M94:CI94,1),"")</f>
        <v>13490.223249999999</v>
      </c>
      <c r="I94" s="17">
        <f t="shared" ref="I94:I104" si="45">IF(COUNT(M94:CI94)&gt;0,QUARTILE(M94:CI94,3),"")</f>
        <v>130214.75</v>
      </c>
      <c r="J94" s="17">
        <f t="shared" ref="J94:J104" si="46">IF(COUNT(M94:CI94)&gt;1,STDEV(M94:CI94),"")</f>
        <v>88636.26855476365</v>
      </c>
      <c r="K94" s="18">
        <f t="shared" ref="K94:K104" si="47">IF(COUNT(M94:CI94)&gt;1,STDEV(M94:CI94)/AVERAGE(M94:CI94),"")</f>
        <v>1.156485721341606</v>
      </c>
      <c r="L94" s="21"/>
      <c r="M94" s="21">
        <v>284021</v>
      </c>
      <c r="N94" s="22">
        <v>352675</v>
      </c>
      <c r="O94" s="22">
        <v>115581</v>
      </c>
      <c r="P94" s="22">
        <v>69278</v>
      </c>
      <c r="Q94" s="22">
        <v>96064.25</v>
      </c>
      <c r="R94" s="21">
        <v>99244</v>
      </c>
      <c r="S94" s="21">
        <v>95302</v>
      </c>
      <c r="T94" s="21">
        <v>80860</v>
      </c>
      <c r="U94" s="21">
        <v>108851</v>
      </c>
      <c r="V94" s="21">
        <v>154079</v>
      </c>
      <c r="W94" s="21">
        <v>199118</v>
      </c>
      <c r="X94" s="21">
        <v>250100</v>
      </c>
      <c r="Y94" s="21">
        <v>259330</v>
      </c>
      <c r="Z94" s="21">
        <v>255623</v>
      </c>
      <c r="AA94" s="21">
        <v>221862</v>
      </c>
      <c r="AB94" s="21">
        <v>199858</v>
      </c>
      <c r="AC94" s="21">
        <v>179873</v>
      </c>
      <c r="AD94" s="21">
        <v>143801</v>
      </c>
      <c r="AE94" s="21">
        <v>129629</v>
      </c>
      <c r="AF94" s="21">
        <v>120560</v>
      </c>
      <c r="AG94" s="21">
        <v>119782</v>
      </c>
      <c r="AH94" s="21">
        <v>131972</v>
      </c>
      <c r="AI94" s="21">
        <v>148610</v>
      </c>
      <c r="AJ94" s="21">
        <v>170538</v>
      </c>
      <c r="AK94" s="21">
        <v>175582</v>
      </c>
      <c r="AL94" s="21">
        <v>171551</v>
      </c>
      <c r="AM94" s="21">
        <v>168024</v>
      </c>
      <c r="AN94" s="21">
        <v>149603</v>
      </c>
      <c r="AO94" s="21">
        <v>127914</v>
      </c>
      <c r="AP94" s="21">
        <v>109616</v>
      </c>
      <c r="AQ94" s="21">
        <v>86568</v>
      </c>
      <c r="AR94" s="21">
        <v>60481</v>
      </c>
      <c r="AS94" s="21">
        <v>40574</v>
      </c>
      <c r="AT94" s="21">
        <v>28232</v>
      </c>
      <c r="AU94" s="21">
        <v>29628</v>
      </c>
      <c r="AV94" s="21">
        <v>31249</v>
      </c>
      <c r="AW94" s="21">
        <v>19842</v>
      </c>
      <c r="AX94" s="21">
        <v>27259</v>
      </c>
      <c r="AY94" s="21">
        <v>44200</v>
      </c>
      <c r="AZ94" s="21">
        <v>53566</v>
      </c>
      <c r="BA94" s="21">
        <v>70096</v>
      </c>
      <c r="BB94" s="21">
        <v>68696.562999999995</v>
      </c>
      <c r="BC94" s="21">
        <v>-52882.004999999997</v>
      </c>
      <c r="BD94" s="21">
        <v>-60858</v>
      </c>
      <c r="BE94" s="21">
        <v>-71818.842000000004</v>
      </c>
      <c r="BF94" s="21">
        <v>-77611.233999999997</v>
      </c>
      <c r="BG94" s="21">
        <v>24501.687999999998</v>
      </c>
      <c r="BH94" s="21">
        <v>27345.370999999999</v>
      </c>
      <c r="BI94" s="21">
        <v>29978.153999999999</v>
      </c>
      <c r="BJ94" s="21">
        <v>33630.642999999996</v>
      </c>
      <c r="BK94" s="21">
        <v>31871.866000000002</v>
      </c>
      <c r="BL94" s="21">
        <v>28052.791000000001</v>
      </c>
      <c r="BM94" s="21">
        <v>24802.667000000001</v>
      </c>
      <c r="BN94" s="21">
        <v>23427.276000000002</v>
      </c>
      <c r="BO94" s="21">
        <v>19357.235000000001</v>
      </c>
      <c r="BP94" s="21">
        <v>18131.036</v>
      </c>
      <c r="BQ94" s="21">
        <v>14250.861000000001</v>
      </c>
      <c r="BR94" s="21">
        <v>11999.875</v>
      </c>
      <c r="BS94" s="21">
        <v>13987.005999999999</v>
      </c>
      <c r="BT94" s="21">
        <v>11432.361000000001</v>
      </c>
      <c r="BU94" s="21">
        <v>9161.1790000000001</v>
      </c>
      <c r="BV94" s="21">
        <v>6402.2439999999997</v>
      </c>
      <c r="BW94" s="21">
        <v>3825.4639999999999</v>
      </c>
      <c r="BX94" s="21">
        <v>2191.7370000000001</v>
      </c>
      <c r="BY94" s="21">
        <v>1554.385</v>
      </c>
      <c r="BZ94" s="21">
        <v>4696.6660000000002</v>
      </c>
      <c r="CA94" s="21">
        <v>3670.48</v>
      </c>
      <c r="CB94" s="21">
        <v>2592.5309999999999</v>
      </c>
      <c r="CC94" s="21">
        <v>-1550.9549999999999</v>
      </c>
      <c r="CD94" s="21">
        <v>-1077.1969999999999</v>
      </c>
      <c r="CE94" s="21">
        <v>-2634.0619999999999</v>
      </c>
      <c r="CF94" s="21">
        <v>-9444.6309999999994</v>
      </c>
      <c r="CG94" s="21" t="s">
        <v>165</v>
      </c>
      <c r="CH94" s="21" t="s">
        <v>165</v>
      </c>
      <c r="CI94" s="21" t="s">
        <v>165</v>
      </c>
      <c r="CK94" s="15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</row>
    <row r="95" spans="1:110" outlineLevel="2" x14ac:dyDescent="0.2">
      <c r="A95" s="14">
        <v>1</v>
      </c>
      <c r="C95" s="9" t="str">
        <f>"        EBITA"</f>
        <v xml:space="preserve">        EBITA</v>
      </c>
      <c r="D95" s="17">
        <f t="shared" si="40"/>
        <v>42387</v>
      </c>
      <c r="E95" s="17">
        <f t="shared" si="41"/>
        <v>76223.587930555572</v>
      </c>
      <c r="F95" s="17">
        <f t="shared" si="42"/>
        <v>-77611.233999999997</v>
      </c>
      <c r="G95" s="17">
        <f t="shared" si="43"/>
        <v>352429.5</v>
      </c>
      <c r="H95" s="17">
        <f t="shared" si="44"/>
        <v>13490.223249999999</v>
      </c>
      <c r="I95" s="17">
        <f t="shared" si="45"/>
        <v>130214.75</v>
      </c>
      <c r="J95" s="17">
        <f t="shared" si="46"/>
        <v>87722.798928116841</v>
      </c>
      <c r="K95" s="18">
        <f t="shared" si="47"/>
        <v>1.1508615811687817</v>
      </c>
      <c r="L95" s="21"/>
      <c r="M95" s="21">
        <v>254521</v>
      </c>
      <c r="N95" s="22">
        <v>352429.5</v>
      </c>
      <c r="O95" s="22">
        <v>115581</v>
      </c>
      <c r="P95" s="22">
        <v>69278</v>
      </c>
      <c r="Q95" s="22">
        <v>96064.25</v>
      </c>
      <c r="R95" s="21">
        <v>99244</v>
      </c>
      <c r="S95" s="21">
        <v>95302</v>
      </c>
      <c r="T95" s="21">
        <v>80860</v>
      </c>
      <c r="U95" s="21">
        <v>108851</v>
      </c>
      <c r="V95" s="21">
        <v>154079</v>
      </c>
      <c r="W95" s="21">
        <v>199118</v>
      </c>
      <c r="X95" s="21">
        <v>250100</v>
      </c>
      <c r="Y95" s="21">
        <v>259330</v>
      </c>
      <c r="Z95" s="21">
        <v>255623</v>
      </c>
      <c r="AA95" s="21">
        <v>221862</v>
      </c>
      <c r="AB95" s="21">
        <v>199858</v>
      </c>
      <c r="AC95" s="21">
        <v>179873</v>
      </c>
      <c r="AD95" s="21">
        <v>143801</v>
      </c>
      <c r="AE95" s="21">
        <v>129629</v>
      </c>
      <c r="AF95" s="21">
        <v>120560</v>
      </c>
      <c r="AG95" s="21">
        <v>119782</v>
      </c>
      <c r="AH95" s="21">
        <v>131972</v>
      </c>
      <c r="AI95" s="21">
        <v>148610</v>
      </c>
      <c r="AJ95" s="21">
        <v>170538</v>
      </c>
      <c r="AK95" s="21">
        <v>175582</v>
      </c>
      <c r="AL95" s="21">
        <v>171551</v>
      </c>
      <c r="AM95" s="21">
        <v>168024</v>
      </c>
      <c r="AN95" s="21">
        <v>149603</v>
      </c>
      <c r="AO95" s="21">
        <v>127914</v>
      </c>
      <c r="AP95" s="21">
        <v>109616</v>
      </c>
      <c r="AQ95" s="21">
        <v>86568</v>
      </c>
      <c r="AR95" s="21">
        <v>60481</v>
      </c>
      <c r="AS95" s="21">
        <v>40574</v>
      </c>
      <c r="AT95" s="21">
        <v>28232</v>
      </c>
      <c r="AU95" s="21">
        <v>29628</v>
      </c>
      <c r="AV95" s="21">
        <v>31249</v>
      </c>
      <c r="AW95" s="21">
        <v>19842</v>
      </c>
      <c r="AX95" s="21">
        <v>27259</v>
      </c>
      <c r="AY95" s="21">
        <v>44200</v>
      </c>
      <c r="AZ95" s="21">
        <v>53566</v>
      </c>
      <c r="BA95" s="21">
        <v>70096</v>
      </c>
      <c r="BB95" s="21">
        <v>68696.562999999995</v>
      </c>
      <c r="BC95" s="21">
        <v>-52882.004999999997</v>
      </c>
      <c r="BD95" s="21">
        <v>-60858</v>
      </c>
      <c r="BE95" s="21">
        <v>-71818.842000000004</v>
      </c>
      <c r="BF95" s="21">
        <v>-77611.233999999997</v>
      </c>
      <c r="BG95" s="21">
        <v>24501.687999999998</v>
      </c>
      <c r="BH95" s="21">
        <v>27345.370999999999</v>
      </c>
      <c r="BI95" s="21">
        <v>29978.153999999999</v>
      </c>
      <c r="BJ95" s="21">
        <v>33630.642999999996</v>
      </c>
      <c r="BK95" s="21">
        <v>31871.866000000002</v>
      </c>
      <c r="BL95" s="21">
        <v>28052.791000000001</v>
      </c>
      <c r="BM95" s="21">
        <v>24802.667000000001</v>
      </c>
      <c r="BN95" s="21">
        <v>23427.276000000002</v>
      </c>
      <c r="BO95" s="21">
        <v>19357.235000000001</v>
      </c>
      <c r="BP95" s="21">
        <v>18131.036</v>
      </c>
      <c r="BQ95" s="21">
        <v>14250.861000000001</v>
      </c>
      <c r="BR95" s="21">
        <v>11999.875</v>
      </c>
      <c r="BS95" s="21">
        <v>13987.005999999999</v>
      </c>
      <c r="BT95" s="21">
        <v>11432.361000000001</v>
      </c>
      <c r="BU95" s="21">
        <v>9161.1790000000001</v>
      </c>
      <c r="BV95" s="21">
        <v>6402.2439999999997</v>
      </c>
      <c r="BW95" s="21">
        <v>3825.4639999999999</v>
      </c>
      <c r="BX95" s="21">
        <v>2191.7370000000001</v>
      </c>
      <c r="BY95" s="21">
        <v>1554.385</v>
      </c>
      <c r="BZ95" s="21">
        <v>4696.6660000000002</v>
      </c>
      <c r="CA95" s="21">
        <v>3670.48</v>
      </c>
      <c r="CB95" s="21">
        <v>2592.5309999999999</v>
      </c>
      <c r="CC95" s="21">
        <v>-1550.9549999999999</v>
      </c>
      <c r="CD95" s="21">
        <v>-1077.1969999999999</v>
      </c>
      <c r="CE95" s="21">
        <v>-2634.0619999999999</v>
      </c>
      <c r="CF95" s="21">
        <v>-9880.2029999999995</v>
      </c>
      <c r="CG95" s="21" t="s">
        <v>165</v>
      </c>
      <c r="CH95" s="21" t="s">
        <v>165</v>
      </c>
      <c r="CI95" s="21" t="s">
        <v>165</v>
      </c>
      <c r="CK95" s="15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</row>
    <row r="96" spans="1:110" outlineLevel="2" x14ac:dyDescent="0.2">
      <c r="A96" s="14">
        <v>1</v>
      </c>
      <c r="C96" s="9" t="str">
        <f>"        EBIT"</f>
        <v xml:space="preserve">        EBIT</v>
      </c>
      <c r="D96" s="17">
        <f t="shared" si="40"/>
        <v>27812</v>
      </c>
      <c r="E96" s="17">
        <f t="shared" si="41"/>
        <v>57312.400986111112</v>
      </c>
      <c r="F96" s="17">
        <f t="shared" si="42"/>
        <v>-91561.191999999995</v>
      </c>
      <c r="G96" s="17">
        <f t="shared" si="43"/>
        <v>321721.75</v>
      </c>
      <c r="H96" s="17">
        <f t="shared" si="44"/>
        <v>8577.8502499999995</v>
      </c>
      <c r="I96" s="17">
        <f t="shared" si="45"/>
        <v>102197</v>
      </c>
      <c r="J96" s="17">
        <f t="shared" si="46"/>
        <v>77942.101744174288</v>
      </c>
      <c r="K96" s="18">
        <f t="shared" si="47"/>
        <v>1.3599517801228134</v>
      </c>
      <c r="L96" s="21"/>
      <c r="M96" s="21">
        <v>254521</v>
      </c>
      <c r="N96" s="22">
        <v>321721.75</v>
      </c>
      <c r="O96" s="22">
        <v>89530.5</v>
      </c>
      <c r="P96" s="22">
        <v>36266.75</v>
      </c>
      <c r="Q96" s="22">
        <v>44367.75</v>
      </c>
      <c r="R96" s="21">
        <v>47492</v>
      </c>
      <c r="S96" s="21">
        <v>44144</v>
      </c>
      <c r="T96" s="21">
        <v>28785</v>
      </c>
      <c r="U96" s="21">
        <v>57050</v>
      </c>
      <c r="V96" s="21">
        <v>101321</v>
      </c>
      <c r="W96" s="21">
        <v>145456</v>
      </c>
      <c r="X96" s="21">
        <v>199887</v>
      </c>
      <c r="Y96" s="21">
        <v>211742</v>
      </c>
      <c r="Z96" s="21">
        <v>211680</v>
      </c>
      <c r="AA96" s="21">
        <v>181335</v>
      </c>
      <c r="AB96" s="21">
        <v>158621</v>
      </c>
      <c r="AC96" s="21">
        <v>139340</v>
      </c>
      <c r="AD96" s="21">
        <v>104825</v>
      </c>
      <c r="AE96" s="21">
        <v>93811</v>
      </c>
      <c r="AF96" s="21">
        <v>89667</v>
      </c>
      <c r="AG96" s="21">
        <v>92948</v>
      </c>
      <c r="AH96" s="21">
        <v>108437</v>
      </c>
      <c r="AI96" s="21">
        <v>126484</v>
      </c>
      <c r="AJ96" s="21">
        <v>148834</v>
      </c>
      <c r="AK96" s="21">
        <v>154809</v>
      </c>
      <c r="AL96" s="21">
        <v>151743</v>
      </c>
      <c r="AM96" s="21">
        <v>149596</v>
      </c>
      <c r="AN96" s="21">
        <v>132873</v>
      </c>
      <c r="AO96" s="21">
        <v>111690</v>
      </c>
      <c r="AP96" s="21">
        <v>93936</v>
      </c>
      <c r="AQ96" s="21">
        <v>70725</v>
      </c>
      <c r="AR96" s="21">
        <v>44994</v>
      </c>
      <c r="AS96" s="21">
        <v>26839</v>
      </c>
      <c r="AT96" s="21">
        <v>14144</v>
      </c>
      <c r="AU96" s="21">
        <v>16177</v>
      </c>
      <c r="AV96" s="21">
        <v>18019</v>
      </c>
      <c r="AW96" s="21">
        <v>5521</v>
      </c>
      <c r="AX96" s="21">
        <v>13137</v>
      </c>
      <c r="AY96" s="21">
        <v>30026</v>
      </c>
      <c r="AZ96" s="21">
        <v>39943</v>
      </c>
      <c r="BA96" s="21">
        <v>57344</v>
      </c>
      <c r="BB96" s="21">
        <v>57021</v>
      </c>
      <c r="BC96" s="21">
        <v>-64375.387999999999</v>
      </c>
      <c r="BD96" s="21">
        <v>-73528</v>
      </c>
      <c r="BE96" s="21">
        <v>-85107.353000000003</v>
      </c>
      <c r="BF96" s="21">
        <v>-91561.191999999995</v>
      </c>
      <c r="BG96" s="21">
        <v>10852.571</v>
      </c>
      <c r="BH96" s="21">
        <v>14795.63</v>
      </c>
      <c r="BI96" s="21">
        <v>17531.621999999999</v>
      </c>
      <c r="BJ96" s="21">
        <v>22562.481</v>
      </c>
      <c r="BK96" s="21">
        <v>22693.335999999999</v>
      </c>
      <c r="BL96" s="21">
        <v>20579.763999999999</v>
      </c>
      <c r="BM96" s="21">
        <v>19107.494999999999</v>
      </c>
      <c r="BN96" s="21">
        <v>18590.302</v>
      </c>
      <c r="BO96" s="21">
        <v>14880.314</v>
      </c>
      <c r="BP96" s="21">
        <v>13764.196</v>
      </c>
      <c r="BQ96" s="21">
        <v>10251.758</v>
      </c>
      <c r="BR96" s="21">
        <v>8285.0630000000001</v>
      </c>
      <c r="BS96" s="21">
        <v>10654.022000000001</v>
      </c>
      <c r="BT96" s="21">
        <v>8675.4459999999999</v>
      </c>
      <c r="BU96" s="21">
        <v>6869.2470000000003</v>
      </c>
      <c r="BV96" s="21">
        <v>4342.7489999999998</v>
      </c>
      <c r="BW96" s="21">
        <v>1921.9960000000001</v>
      </c>
      <c r="BX96" s="21">
        <v>486.22300000000001</v>
      </c>
      <c r="BY96" s="21">
        <v>42.829000000000001</v>
      </c>
      <c r="BZ96" s="21">
        <v>3512.12</v>
      </c>
      <c r="CA96" s="21">
        <v>2735.0120000000002</v>
      </c>
      <c r="CB96" s="21">
        <v>1604.857</v>
      </c>
      <c r="CC96" s="21">
        <v>-2691.1219999999998</v>
      </c>
      <c r="CD96" s="21">
        <v>-2337.835</v>
      </c>
      <c r="CE96" s="21">
        <v>-4741.4049999999997</v>
      </c>
      <c r="CF96" s="21">
        <v>-10707.617</v>
      </c>
      <c r="CG96" s="21" t="s">
        <v>165</v>
      </c>
      <c r="CH96" s="21" t="s">
        <v>165</v>
      </c>
      <c r="CI96" s="21" t="s">
        <v>165</v>
      </c>
      <c r="CK96" s="15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</row>
    <row r="97" spans="1:110" outlineLevel="2" x14ac:dyDescent="0.2">
      <c r="A97" s="14">
        <v>1</v>
      </c>
      <c r="C97" s="9" t="str">
        <f>"        EBITDAR"</f>
        <v xml:space="preserve">        EBITDAR</v>
      </c>
      <c r="D97" s="17">
        <f t="shared" si="40"/>
        <v>42387</v>
      </c>
      <c r="E97" s="17">
        <f t="shared" si="41"/>
        <v>76642.769486111123</v>
      </c>
      <c r="F97" s="17">
        <f t="shared" si="42"/>
        <v>-77611.233999999997</v>
      </c>
      <c r="G97" s="17">
        <f t="shared" si="43"/>
        <v>352675</v>
      </c>
      <c r="H97" s="17">
        <f t="shared" si="44"/>
        <v>13490.223249999999</v>
      </c>
      <c r="I97" s="17">
        <f t="shared" si="45"/>
        <v>130214.75</v>
      </c>
      <c r="J97" s="17">
        <f t="shared" si="46"/>
        <v>88636.26855476365</v>
      </c>
      <c r="K97" s="18">
        <f t="shared" si="47"/>
        <v>1.156485721341606</v>
      </c>
      <c r="L97" s="21"/>
      <c r="M97" s="21">
        <v>284021</v>
      </c>
      <c r="N97" s="22">
        <v>352675</v>
      </c>
      <c r="O97" s="22">
        <v>115581</v>
      </c>
      <c r="P97" s="22">
        <v>69278</v>
      </c>
      <c r="Q97" s="22">
        <v>96064.25</v>
      </c>
      <c r="R97" s="21">
        <v>99244</v>
      </c>
      <c r="S97" s="21">
        <v>95302</v>
      </c>
      <c r="T97" s="21">
        <v>80860</v>
      </c>
      <c r="U97" s="21">
        <v>108851</v>
      </c>
      <c r="V97" s="21">
        <v>154079</v>
      </c>
      <c r="W97" s="21">
        <v>199118</v>
      </c>
      <c r="X97" s="21">
        <v>250100</v>
      </c>
      <c r="Y97" s="21">
        <v>259330</v>
      </c>
      <c r="Z97" s="21">
        <v>255623</v>
      </c>
      <c r="AA97" s="21">
        <v>221862</v>
      </c>
      <c r="AB97" s="21">
        <v>199858</v>
      </c>
      <c r="AC97" s="21">
        <v>179873</v>
      </c>
      <c r="AD97" s="21">
        <v>143801</v>
      </c>
      <c r="AE97" s="21">
        <v>129629</v>
      </c>
      <c r="AF97" s="21">
        <v>120560</v>
      </c>
      <c r="AG97" s="21">
        <v>119782</v>
      </c>
      <c r="AH97" s="21">
        <v>131972</v>
      </c>
      <c r="AI97" s="21">
        <v>148610</v>
      </c>
      <c r="AJ97" s="21">
        <v>170538</v>
      </c>
      <c r="AK97" s="21">
        <v>175582</v>
      </c>
      <c r="AL97" s="21">
        <v>171551</v>
      </c>
      <c r="AM97" s="21">
        <v>168024</v>
      </c>
      <c r="AN97" s="21">
        <v>149603</v>
      </c>
      <c r="AO97" s="21">
        <v>127914</v>
      </c>
      <c r="AP97" s="21">
        <v>109616</v>
      </c>
      <c r="AQ97" s="21">
        <v>86568</v>
      </c>
      <c r="AR97" s="21">
        <v>60481</v>
      </c>
      <c r="AS97" s="21">
        <v>40574</v>
      </c>
      <c r="AT97" s="21">
        <v>28232</v>
      </c>
      <c r="AU97" s="21">
        <v>29628</v>
      </c>
      <c r="AV97" s="21">
        <v>31249</v>
      </c>
      <c r="AW97" s="21">
        <v>19842</v>
      </c>
      <c r="AX97" s="21">
        <v>27259</v>
      </c>
      <c r="AY97" s="21">
        <v>44200</v>
      </c>
      <c r="AZ97" s="21">
        <v>53566</v>
      </c>
      <c r="BA97" s="21">
        <v>70096</v>
      </c>
      <c r="BB97" s="21">
        <v>68696.562999999995</v>
      </c>
      <c r="BC97" s="21">
        <v>-52882.004999999997</v>
      </c>
      <c r="BD97" s="21">
        <v>-60858</v>
      </c>
      <c r="BE97" s="21">
        <v>-71818.842000000004</v>
      </c>
      <c r="BF97" s="21">
        <v>-77611.233999999997</v>
      </c>
      <c r="BG97" s="21">
        <v>24501.687999999998</v>
      </c>
      <c r="BH97" s="21">
        <v>27345.370999999999</v>
      </c>
      <c r="BI97" s="21">
        <v>29978.153999999999</v>
      </c>
      <c r="BJ97" s="21">
        <v>33630.642999999996</v>
      </c>
      <c r="BK97" s="21">
        <v>31871.866000000002</v>
      </c>
      <c r="BL97" s="21">
        <v>28052.791000000001</v>
      </c>
      <c r="BM97" s="21">
        <v>24802.667000000001</v>
      </c>
      <c r="BN97" s="21">
        <v>23427.276000000002</v>
      </c>
      <c r="BO97" s="21">
        <v>19357.235000000001</v>
      </c>
      <c r="BP97" s="21">
        <v>18131.036</v>
      </c>
      <c r="BQ97" s="21">
        <v>14250.861000000001</v>
      </c>
      <c r="BR97" s="21">
        <v>11999.875</v>
      </c>
      <c r="BS97" s="21">
        <v>13987.005999999999</v>
      </c>
      <c r="BT97" s="21">
        <v>11432.361000000001</v>
      </c>
      <c r="BU97" s="21">
        <v>9161.1790000000001</v>
      </c>
      <c r="BV97" s="21">
        <v>6402.2439999999997</v>
      </c>
      <c r="BW97" s="21">
        <v>3825.4639999999999</v>
      </c>
      <c r="BX97" s="21">
        <v>2191.7370000000001</v>
      </c>
      <c r="BY97" s="21">
        <v>1554.385</v>
      </c>
      <c r="BZ97" s="21">
        <v>4696.6660000000002</v>
      </c>
      <c r="CA97" s="21">
        <v>3670.48</v>
      </c>
      <c r="CB97" s="21">
        <v>2592.5309999999999</v>
      </c>
      <c r="CC97" s="21">
        <v>-1550.9549999999999</v>
      </c>
      <c r="CD97" s="21">
        <v>-1077.1969999999999</v>
      </c>
      <c r="CE97" s="21">
        <v>-2634.0619999999999</v>
      </c>
      <c r="CF97" s="21">
        <v>-9444.6309999999994</v>
      </c>
      <c r="CG97" s="21" t="s">
        <v>165</v>
      </c>
      <c r="CH97" s="21" t="s">
        <v>165</v>
      </c>
      <c r="CI97" s="21" t="s">
        <v>165</v>
      </c>
      <c r="CK97" s="15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</row>
    <row r="98" spans="1:110" outlineLevel="2" x14ac:dyDescent="0.2">
      <c r="A98" s="14">
        <v>1</v>
      </c>
      <c r="C98" s="9" t="str">
        <f>"        Interest and Dividend Income"</f>
        <v xml:space="preserve">        Interest and Dividend Income</v>
      </c>
      <c r="D98" s="17">
        <f t="shared" si="40"/>
        <v>936</v>
      </c>
      <c r="E98" s="17">
        <f t="shared" si="41"/>
        <v>826.95652173913038</v>
      </c>
      <c r="F98" s="17">
        <f t="shared" si="42"/>
        <v>71</v>
      </c>
      <c r="G98" s="17">
        <f t="shared" si="43"/>
        <v>1545</v>
      </c>
      <c r="H98" s="17">
        <f t="shared" si="44"/>
        <v>292.5</v>
      </c>
      <c r="I98" s="17">
        <f t="shared" si="45"/>
        <v>1369.5</v>
      </c>
      <c r="J98" s="17">
        <f t="shared" si="46"/>
        <v>546.02842735361389</v>
      </c>
      <c r="K98" s="18">
        <f t="shared" si="47"/>
        <v>0.66028674180510627</v>
      </c>
      <c r="L98" s="21"/>
      <c r="M98" s="21" t="s">
        <v>165</v>
      </c>
      <c r="N98" s="21"/>
      <c r="O98" s="21"/>
      <c r="P98" s="21"/>
      <c r="Q98" s="21"/>
      <c r="R98" s="21" t="s">
        <v>165</v>
      </c>
      <c r="S98" s="21" t="s">
        <v>165</v>
      </c>
      <c r="T98" s="21" t="s">
        <v>165</v>
      </c>
      <c r="U98" s="21" t="s">
        <v>165</v>
      </c>
      <c r="V98" s="21" t="s">
        <v>165</v>
      </c>
      <c r="W98" s="21" t="s">
        <v>165</v>
      </c>
      <c r="X98" s="21" t="s">
        <v>165</v>
      </c>
      <c r="Y98" s="21" t="s">
        <v>165</v>
      </c>
      <c r="Z98" s="21" t="s">
        <v>165</v>
      </c>
      <c r="AA98" s="21" t="s">
        <v>165</v>
      </c>
      <c r="AB98" s="21" t="s">
        <v>165</v>
      </c>
      <c r="AC98" s="21" t="s">
        <v>165</v>
      </c>
      <c r="AD98" s="21" t="s">
        <v>165</v>
      </c>
      <c r="AE98" s="21" t="s">
        <v>165</v>
      </c>
      <c r="AF98" s="21" t="s">
        <v>165</v>
      </c>
      <c r="AG98" s="21">
        <v>290</v>
      </c>
      <c r="AH98" s="21">
        <v>83</v>
      </c>
      <c r="AI98" s="21">
        <v>71</v>
      </c>
      <c r="AJ98" s="21">
        <v>149</v>
      </c>
      <c r="AK98" s="21">
        <v>207</v>
      </c>
      <c r="AL98" s="21">
        <v>222</v>
      </c>
      <c r="AM98" s="21">
        <v>549</v>
      </c>
      <c r="AN98" s="21">
        <v>814</v>
      </c>
      <c r="AO98" s="21">
        <v>1059</v>
      </c>
      <c r="AP98" s="21">
        <v>1406</v>
      </c>
      <c r="AQ98" s="21">
        <v>1470</v>
      </c>
      <c r="AR98" s="21">
        <v>1505</v>
      </c>
      <c r="AS98" s="21">
        <v>1545</v>
      </c>
      <c r="AT98" s="21">
        <v>1440</v>
      </c>
      <c r="AU98" s="21">
        <v>1333</v>
      </c>
      <c r="AV98" s="21">
        <v>1198</v>
      </c>
      <c r="AW98" s="21">
        <v>1466</v>
      </c>
      <c r="AX98" s="21">
        <v>1268</v>
      </c>
      <c r="AY98" s="21">
        <v>936</v>
      </c>
      <c r="AZ98" s="21">
        <v>950</v>
      </c>
      <c r="BA98" s="21">
        <v>415</v>
      </c>
      <c r="BB98" s="21">
        <v>349</v>
      </c>
      <c r="BC98" s="21" t="s">
        <v>165</v>
      </c>
      <c r="BD98" s="21">
        <v>295</v>
      </c>
      <c r="BE98" s="21" t="s">
        <v>165</v>
      </c>
      <c r="BF98" s="21" t="s">
        <v>165</v>
      </c>
      <c r="BG98" s="21" t="s">
        <v>165</v>
      </c>
      <c r="BH98" s="21" t="s">
        <v>165</v>
      </c>
      <c r="BI98" s="21" t="s">
        <v>165</v>
      </c>
      <c r="BJ98" s="21" t="s">
        <v>165</v>
      </c>
      <c r="BK98" s="21" t="s">
        <v>165</v>
      </c>
      <c r="BL98" s="21" t="s">
        <v>165</v>
      </c>
      <c r="BM98" s="21" t="s">
        <v>165</v>
      </c>
      <c r="BN98" s="21" t="s">
        <v>165</v>
      </c>
      <c r="BO98" s="21" t="s">
        <v>165</v>
      </c>
      <c r="BP98" s="21" t="s">
        <v>165</v>
      </c>
      <c r="BQ98" s="21" t="s">
        <v>165</v>
      </c>
      <c r="BR98" s="21" t="s">
        <v>165</v>
      </c>
      <c r="BS98" s="21" t="s">
        <v>165</v>
      </c>
      <c r="BT98" s="21" t="s">
        <v>165</v>
      </c>
      <c r="BU98" s="21" t="s">
        <v>165</v>
      </c>
      <c r="BV98" s="21" t="s">
        <v>165</v>
      </c>
      <c r="BW98" s="21" t="s">
        <v>165</v>
      </c>
      <c r="BX98" s="21" t="s">
        <v>165</v>
      </c>
      <c r="BY98" s="21" t="s">
        <v>165</v>
      </c>
      <c r="BZ98" s="21" t="s">
        <v>165</v>
      </c>
      <c r="CA98" s="21" t="s">
        <v>165</v>
      </c>
      <c r="CB98" s="21" t="s">
        <v>165</v>
      </c>
      <c r="CC98" s="21" t="s">
        <v>165</v>
      </c>
      <c r="CD98" s="21" t="s">
        <v>165</v>
      </c>
      <c r="CE98" s="21" t="s">
        <v>165</v>
      </c>
      <c r="CF98" s="21" t="s">
        <v>165</v>
      </c>
      <c r="CG98" s="21" t="s">
        <v>165</v>
      </c>
      <c r="CH98" s="21" t="s">
        <v>165</v>
      </c>
      <c r="CI98" s="21" t="s">
        <v>165</v>
      </c>
      <c r="CK98" s="15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</row>
    <row r="99" spans="1:110" outlineLevel="2" x14ac:dyDescent="0.2">
      <c r="A99" s="14">
        <v>1</v>
      </c>
      <c r="C99" s="9" t="str">
        <f>"        Tax Effect of Unusual Items"</f>
        <v xml:space="preserve">        Tax Effect of Unusual Items</v>
      </c>
      <c r="D99" s="17">
        <f t="shared" si="40"/>
        <v>806.36149999999998</v>
      </c>
      <c r="E99" s="17">
        <f t="shared" si="41"/>
        <v>2526.3411207198137</v>
      </c>
      <c r="F99" s="17">
        <f t="shared" si="42"/>
        <v>-3403.9383834722726</v>
      </c>
      <c r="G99" s="17">
        <f t="shared" si="43"/>
        <v>35884.800000000003</v>
      </c>
      <c r="H99" s="17">
        <f t="shared" si="44"/>
        <v>0</v>
      </c>
      <c r="I99" s="17">
        <f t="shared" si="45"/>
        <v>2377.4657890821081</v>
      </c>
      <c r="J99" s="17">
        <f t="shared" si="46"/>
        <v>6395.5747537478583</v>
      </c>
      <c r="K99" s="18">
        <f t="shared" si="47"/>
        <v>2.531556289566157</v>
      </c>
      <c r="L99" s="21"/>
      <c r="M99" s="21">
        <v>1201.5630000000001</v>
      </c>
      <c r="N99" s="22">
        <v>1206.742808952933</v>
      </c>
      <c r="O99" s="22">
        <v>597.72096747423643</v>
      </c>
      <c r="P99" s="22">
        <v>1968.5571613941599</v>
      </c>
      <c r="Q99" s="22">
        <v>1194.4817290519338</v>
      </c>
      <c r="R99" s="21">
        <v>707.66762913057426</v>
      </c>
      <c r="S99" s="21">
        <v>818.11316909428751</v>
      </c>
      <c r="T99" s="21">
        <v>2198.0700000000002</v>
      </c>
      <c r="U99" s="21">
        <v>1054.0761179828735</v>
      </c>
      <c r="V99" s="21">
        <v>2944.1939393939397</v>
      </c>
      <c r="W99" s="21">
        <v>2959.7091825521252</v>
      </c>
      <c r="X99" s="21">
        <v>2884.748</v>
      </c>
      <c r="Y99" s="21">
        <v>2727.3000623585276</v>
      </c>
      <c r="Z99" s="21">
        <v>2526.0431141256267</v>
      </c>
      <c r="AA99" s="21">
        <v>2331.1267724500708</v>
      </c>
      <c r="AB99" s="21">
        <v>2368.2559999999999</v>
      </c>
      <c r="AC99" s="21">
        <v>2449.3033232773842</v>
      </c>
      <c r="AD99" s="21">
        <v>2386.6755781642164</v>
      </c>
      <c r="AE99" s="21">
        <v>2229.2827039002523</v>
      </c>
      <c r="AF99" s="21">
        <v>2230.1325000000002</v>
      </c>
      <c r="AG99" s="21">
        <v>2159.2053204121039</v>
      </c>
      <c r="AH99" s="21">
        <v>2209.5830135891283</v>
      </c>
      <c r="AI99" s="21">
        <v>2695.3775077111854</v>
      </c>
      <c r="AJ99" s="21">
        <v>2941.519214171823</v>
      </c>
      <c r="AK99" s="21">
        <v>2747.7980406932929</v>
      </c>
      <c r="AL99" s="21">
        <v>2549.8845776868657</v>
      </c>
      <c r="AM99" s="21">
        <v>2110.8003765804206</v>
      </c>
      <c r="AN99" s="21">
        <v>1153.5385361124575</v>
      </c>
      <c r="AO99" s="21">
        <v>1048.1268620360133</v>
      </c>
      <c r="AP99" s="21">
        <v>942.88284500011241</v>
      </c>
      <c r="AQ99" s="21">
        <v>2411.1381646098175</v>
      </c>
      <c r="AR99" s="21">
        <v>2656.0387543252596</v>
      </c>
      <c r="AS99" s="21">
        <v>6430.8882161842885</v>
      </c>
      <c r="AT99" s="21">
        <v>684.53127031595363</v>
      </c>
      <c r="AU99" s="21">
        <v>594.65</v>
      </c>
      <c r="AV99" s="21">
        <v>35884.800000000003</v>
      </c>
      <c r="AW99" s="21">
        <v>32334.049999999996</v>
      </c>
      <c r="AX99" s="21">
        <v>14416.85</v>
      </c>
      <c r="AY99" s="21">
        <v>-1985.0675285171103</v>
      </c>
      <c r="AZ99" s="21">
        <v>1484.139613539963</v>
      </c>
      <c r="BA99" s="21">
        <v>-2535.9061635791945</v>
      </c>
      <c r="BB99" s="21">
        <v>-3403.9383834722726</v>
      </c>
      <c r="BC99" s="21">
        <v>-114.7846776473021</v>
      </c>
      <c r="BD99" s="21">
        <v>19222.868170616115</v>
      </c>
      <c r="BE99" s="21">
        <v>19472.844989880017</v>
      </c>
      <c r="BF99" s="21">
        <v>0</v>
      </c>
      <c r="BG99" s="21">
        <v>0</v>
      </c>
      <c r="BH99" s="21">
        <v>0</v>
      </c>
      <c r="BI99" s="21">
        <v>0</v>
      </c>
      <c r="BJ99" s="21">
        <v>0</v>
      </c>
      <c r="BK99" s="21">
        <v>0</v>
      </c>
      <c r="BL99" s="21">
        <v>0</v>
      </c>
      <c r="BM99" s="21">
        <v>0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405.87361710024402</v>
      </c>
      <c r="BV99" s="21">
        <v>582.28327675534547</v>
      </c>
      <c r="BW99" s="21">
        <v>229.64343057841953</v>
      </c>
      <c r="BX99" s="21">
        <v>806.36149999999998</v>
      </c>
      <c r="BY99" s="21">
        <v>355.83974999999998</v>
      </c>
      <c r="BZ99" s="21">
        <v>0</v>
      </c>
      <c r="CA99" s="21">
        <v>0</v>
      </c>
      <c r="CB99" s="21">
        <v>0</v>
      </c>
      <c r="CC99" s="21">
        <v>0</v>
      </c>
      <c r="CD99" s="21">
        <v>0</v>
      </c>
      <c r="CE99" s="21">
        <v>0</v>
      </c>
      <c r="CF99" s="21">
        <v>0</v>
      </c>
      <c r="CG99" s="21">
        <v>0</v>
      </c>
      <c r="CH99" s="21">
        <v>0</v>
      </c>
      <c r="CI99" s="21">
        <v>0</v>
      </c>
      <c r="CK99" s="15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</row>
    <row r="100" spans="1:110" outlineLevel="2" x14ac:dyDescent="0.2">
      <c r="A100" s="14">
        <v>1</v>
      </c>
      <c r="C100" s="9" t="str">
        <f>"        Total Unusual Items"</f>
        <v xml:space="preserve">        Total Unusual Items</v>
      </c>
      <c r="D100" s="17">
        <f t="shared" si="40"/>
        <v>2753</v>
      </c>
      <c r="E100" s="17">
        <f t="shared" si="41"/>
        <v>8872.0732266666673</v>
      </c>
      <c r="F100" s="17">
        <f t="shared" si="42"/>
        <v>-11207</v>
      </c>
      <c r="G100" s="17">
        <f t="shared" si="43"/>
        <v>102528</v>
      </c>
      <c r="H100" s="17">
        <f t="shared" si="44"/>
        <v>0</v>
      </c>
      <c r="I100" s="17">
        <f t="shared" si="45"/>
        <v>7530.5</v>
      </c>
      <c r="J100" s="17">
        <f t="shared" si="46"/>
        <v>22432.192725518824</v>
      </c>
      <c r="K100" s="18">
        <f t="shared" si="47"/>
        <v>2.5284048217833339</v>
      </c>
      <c r="L100" s="21"/>
      <c r="M100" s="21">
        <v>5247</v>
      </c>
      <c r="N100" s="22">
        <v>5174.5</v>
      </c>
      <c r="O100" s="22">
        <v>2391.25</v>
      </c>
      <c r="P100" s="22">
        <v>14315.75</v>
      </c>
      <c r="Q100" s="22">
        <v>7668</v>
      </c>
      <c r="R100" s="21">
        <v>6560</v>
      </c>
      <c r="S100" s="21">
        <v>7963</v>
      </c>
      <c r="T100" s="21">
        <v>8141</v>
      </c>
      <c r="U100" s="21">
        <v>8008</v>
      </c>
      <c r="V100" s="21">
        <v>8880</v>
      </c>
      <c r="W100" s="21">
        <v>8776</v>
      </c>
      <c r="X100" s="21">
        <v>8689</v>
      </c>
      <c r="Y100" s="21">
        <v>8186</v>
      </c>
      <c r="Z100" s="21">
        <v>7484</v>
      </c>
      <c r="AA100" s="21">
        <v>6926</v>
      </c>
      <c r="AB100" s="21">
        <v>6728</v>
      </c>
      <c r="AC100" s="21">
        <v>6903</v>
      </c>
      <c r="AD100" s="21">
        <v>6626</v>
      </c>
      <c r="AE100" s="21">
        <v>6192</v>
      </c>
      <c r="AF100" s="21">
        <v>6075</v>
      </c>
      <c r="AG100" s="21">
        <v>5854</v>
      </c>
      <c r="AH100" s="21">
        <v>6226</v>
      </c>
      <c r="AI100" s="21">
        <v>7577</v>
      </c>
      <c r="AJ100" s="21">
        <v>8362</v>
      </c>
      <c r="AK100" s="21">
        <v>7728</v>
      </c>
      <c r="AL100" s="21">
        <v>7041</v>
      </c>
      <c r="AM100" s="21">
        <v>5825</v>
      </c>
      <c r="AN100" s="21">
        <v>3173</v>
      </c>
      <c r="AO100" s="21">
        <v>3095</v>
      </c>
      <c r="AP100" s="21">
        <v>2753</v>
      </c>
      <c r="AQ100" s="21">
        <v>7206</v>
      </c>
      <c r="AR100" s="21">
        <v>8236</v>
      </c>
      <c r="AS100" s="21">
        <v>17885</v>
      </c>
      <c r="AT100" s="21">
        <v>1887</v>
      </c>
      <c r="AU100" s="21">
        <v>1699</v>
      </c>
      <c r="AV100" s="21">
        <v>102528</v>
      </c>
      <c r="AW100" s="21">
        <v>92383</v>
      </c>
      <c r="AX100" s="21">
        <v>41191</v>
      </c>
      <c r="AY100" s="21">
        <v>-4994</v>
      </c>
      <c r="AZ100" s="21">
        <v>3800</v>
      </c>
      <c r="BA100" s="21">
        <v>-8618</v>
      </c>
      <c r="BB100" s="21">
        <v>-11207</v>
      </c>
      <c r="BC100" s="21">
        <v>-720</v>
      </c>
      <c r="BD100" s="21">
        <v>101958</v>
      </c>
      <c r="BE100" s="21">
        <v>98758</v>
      </c>
      <c r="BF100" s="21">
        <v>0</v>
      </c>
      <c r="BG100" s="21">
        <v>0</v>
      </c>
      <c r="BH100" s="21">
        <v>0</v>
      </c>
      <c r="BI100" s="21">
        <v>0</v>
      </c>
      <c r="BJ100" s="21">
        <v>0</v>
      </c>
      <c r="BK100" s="21">
        <v>0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1287.2049999999999</v>
      </c>
      <c r="BV100" s="21">
        <v>2119.1060000000002</v>
      </c>
      <c r="BW100" s="21">
        <v>2119.1060000000002</v>
      </c>
      <c r="BX100" s="21">
        <v>2303.89</v>
      </c>
      <c r="BY100" s="21">
        <v>1016.6849999999999</v>
      </c>
      <c r="BZ100" s="21">
        <v>0</v>
      </c>
      <c r="CA100" s="21">
        <v>0</v>
      </c>
      <c r="CB100" s="21">
        <v>0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K100" s="15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</row>
    <row r="101" spans="1:110" outlineLevel="2" x14ac:dyDescent="0.2">
      <c r="A101" s="14">
        <v>1</v>
      </c>
      <c r="C101" s="9" t="str">
        <f>"        Total Unusual Items Excluding Goodwill"</f>
        <v xml:space="preserve">        Total Unusual Items Excluding Goodwill</v>
      </c>
      <c r="D101" s="17">
        <f t="shared" si="40"/>
        <v>2753</v>
      </c>
      <c r="E101" s="17">
        <f t="shared" si="41"/>
        <v>8768.1132266666682</v>
      </c>
      <c r="F101" s="17">
        <f t="shared" si="42"/>
        <v>-11207</v>
      </c>
      <c r="G101" s="17">
        <f t="shared" si="43"/>
        <v>102528</v>
      </c>
      <c r="H101" s="17">
        <f t="shared" si="44"/>
        <v>0</v>
      </c>
      <c r="I101" s="17">
        <f t="shared" si="45"/>
        <v>7345</v>
      </c>
      <c r="J101" s="17">
        <f t="shared" si="46"/>
        <v>22424.689564398413</v>
      </c>
      <c r="K101" s="18">
        <f t="shared" si="47"/>
        <v>2.5575273704492867</v>
      </c>
      <c r="L101" s="21"/>
      <c r="M101" s="21">
        <v>5247</v>
      </c>
      <c r="N101" s="22">
        <v>5174.5</v>
      </c>
      <c r="O101" s="22">
        <v>2391.25</v>
      </c>
      <c r="P101" s="22">
        <v>6518.75</v>
      </c>
      <c r="Q101" s="22">
        <v>7668</v>
      </c>
      <c r="R101" s="21">
        <v>6560</v>
      </c>
      <c r="S101" s="21">
        <v>7963</v>
      </c>
      <c r="T101" s="21">
        <v>8141</v>
      </c>
      <c r="U101" s="21">
        <v>8008</v>
      </c>
      <c r="V101" s="21">
        <v>8880</v>
      </c>
      <c r="W101" s="21">
        <v>8776</v>
      </c>
      <c r="X101" s="21">
        <v>8689</v>
      </c>
      <c r="Y101" s="21">
        <v>8186</v>
      </c>
      <c r="Z101" s="21">
        <v>7484</v>
      </c>
      <c r="AA101" s="21">
        <v>6926</v>
      </c>
      <c r="AB101" s="21">
        <v>6728</v>
      </c>
      <c r="AC101" s="21">
        <v>6903</v>
      </c>
      <c r="AD101" s="21">
        <v>6626</v>
      </c>
      <c r="AE101" s="21">
        <v>6192</v>
      </c>
      <c r="AF101" s="21">
        <v>6075</v>
      </c>
      <c r="AG101" s="21">
        <v>5854</v>
      </c>
      <c r="AH101" s="21">
        <v>6226</v>
      </c>
      <c r="AI101" s="21">
        <v>7577</v>
      </c>
      <c r="AJ101" s="21">
        <v>8362</v>
      </c>
      <c r="AK101" s="21">
        <v>7728</v>
      </c>
      <c r="AL101" s="21">
        <v>7041</v>
      </c>
      <c r="AM101" s="21">
        <v>5825</v>
      </c>
      <c r="AN101" s="21">
        <v>3173</v>
      </c>
      <c r="AO101" s="21">
        <v>3095</v>
      </c>
      <c r="AP101" s="21">
        <v>2753</v>
      </c>
      <c r="AQ101" s="21">
        <v>7206</v>
      </c>
      <c r="AR101" s="21">
        <v>8236</v>
      </c>
      <c r="AS101" s="21">
        <v>17885</v>
      </c>
      <c r="AT101" s="21">
        <v>1887</v>
      </c>
      <c r="AU101" s="21">
        <v>1699</v>
      </c>
      <c r="AV101" s="21">
        <v>102528</v>
      </c>
      <c r="AW101" s="21">
        <v>92383</v>
      </c>
      <c r="AX101" s="21">
        <v>41191</v>
      </c>
      <c r="AY101" s="21">
        <v>-4994</v>
      </c>
      <c r="AZ101" s="21">
        <v>3800</v>
      </c>
      <c r="BA101" s="21">
        <v>-8618</v>
      </c>
      <c r="BB101" s="21">
        <v>-11207</v>
      </c>
      <c r="BC101" s="21">
        <v>-720</v>
      </c>
      <c r="BD101" s="21">
        <v>101958</v>
      </c>
      <c r="BE101" s="21">
        <v>98758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  <c r="BM101" s="21">
        <v>0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1287.2049999999999</v>
      </c>
      <c r="BV101" s="21">
        <v>2119.1060000000002</v>
      </c>
      <c r="BW101" s="21">
        <v>2119.1060000000002</v>
      </c>
      <c r="BX101" s="21">
        <v>2303.89</v>
      </c>
      <c r="BY101" s="21">
        <v>1016.6849999999999</v>
      </c>
      <c r="BZ101" s="21">
        <v>0</v>
      </c>
      <c r="CA101" s="21">
        <v>0</v>
      </c>
      <c r="CB101" s="21">
        <v>0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1">
        <v>0</v>
      </c>
      <c r="CK101" s="15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</row>
    <row r="102" spans="1:110" outlineLevel="2" x14ac:dyDescent="0.2">
      <c r="A102" s="14">
        <v>1</v>
      </c>
      <c r="C102" s="9" t="str">
        <f>"        Cost of Revenue and Operating Expense"</f>
        <v xml:space="preserve">        Cost of Revenue and Operating Expense</v>
      </c>
      <c r="D102" s="17">
        <f t="shared" si="40"/>
        <v>348840</v>
      </c>
      <c r="E102" s="17">
        <f t="shared" si="41"/>
        <v>341761.44960000005</v>
      </c>
      <c r="F102" s="17">
        <f t="shared" si="42"/>
        <v>1243.04</v>
      </c>
      <c r="G102" s="17">
        <f t="shared" si="43"/>
        <v>725349.5</v>
      </c>
      <c r="H102" s="17">
        <f t="shared" si="44"/>
        <v>139145.261</v>
      </c>
      <c r="I102" s="17">
        <f t="shared" si="45"/>
        <v>474808</v>
      </c>
      <c r="J102" s="17">
        <f t="shared" si="46"/>
        <v>197214.00669732282</v>
      </c>
      <c r="K102" s="18">
        <f t="shared" si="47"/>
        <v>0.57705164502357842</v>
      </c>
      <c r="L102" s="21"/>
      <c r="M102" s="21">
        <v>612473</v>
      </c>
      <c r="N102" s="22">
        <v>725349.5</v>
      </c>
      <c r="O102" s="22">
        <v>500781.75</v>
      </c>
      <c r="P102" s="22">
        <v>454627</v>
      </c>
      <c r="Q102" s="22">
        <v>585986.5</v>
      </c>
      <c r="R102" s="21">
        <v>582878</v>
      </c>
      <c r="S102" s="21">
        <v>572938</v>
      </c>
      <c r="T102" s="21">
        <v>579802</v>
      </c>
      <c r="U102" s="21">
        <v>608328</v>
      </c>
      <c r="V102" s="21">
        <v>640108</v>
      </c>
      <c r="W102" s="21">
        <v>681047</v>
      </c>
      <c r="X102" s="21">
        <v>703249</v>
      </c>
      <c r="Y102" s="21">
        <v>683335</v>
      </c>
      <c r="Z102" s="21">
        <v>660662</v>
      </c>
      <c r="AA102" s="21">
        <v>600746</v>
      </c>
      <c r="AB102" s="21">
        <v>564265</v>
      </c>
      <c r="AC102" s="21">
        <v>543471</v>
      </c>
      <c r="AD102" s="21">
        <v>497771</v>
      </c>
      <c r="AE102" s="21">
        <v>473984</v>
      </c>
      <c r="AF102" s="21">
        <v>462234</v>
      </c>
      <c r="AG102" s="21">
        <v>446152</v>
      </c>
      <c r="AH102" s="21">
        <v>445972</v>
      </c>
      <c r="AI102" s="21">
        <v>458820</v>
      </c>
      <c r="AJ102" s="21">
        <v>475632</v>
      </c>
      <c r="AK102" s="21">
        <v>480138</v>
      </c>
      <c r="AL102" s="21">
        <v>473571</v>
      </c>
      <c r="AM102" s="21">
        <v>472987</v>
      </c>
      <c r="AN102" s="21">
        <v>454680</v>
      </c>
      <c r="AO102" s="21">
        <v>427005</v>
      </c>
      <c r="AP102" s="21">
        <v>406650</v>
      </c>
      <c r="AQ102" s="21">
        <v>385581</v>
      </c>
      <c r="AR102" s="21">
        <v>367081</v>
      </c>
      <c r="AS102" s="21">
        <v>356580</v>
      </c>
      <c r="AT102" s="21">
        <v>349917</v>
      </c>
      <c r="AU102" s="21">
        <v>339802</v>
      </c>
      <c r="AV102" s="21">
        <v>324442</v>
      </c>
      <c r="AW102" s="21">
        <v>279692</v>
      </c>
      <c r="AX102" s="21">
        <v>285249</v>
      </c>
      <c r="AY102" s="21">
        <v>320774</v>
      </c>
      <c r="AZ102" s="21">
        <v>317854</v>
      </c>
      <c r="BA102" s="21">
        <v>356388</v>
      </c>
      <c r="BB102" s="21">
        <v>348840</v>
      </c>
      <c r="BC102" s="21">
        <v>420761.22700000001</v>
      </c>
      <c r="BD102" s="21">
        <v>310079</v>
      </c>
      <c r="BE102" s="21">
        <v>298240.34700000001</v>
      </c>
      <c r="BF102" s="21">
        <v>382860.72399999999</v>
      </c>
      <c r="BG102" s="21">
        <v>278968.18</v>
      </c>
      <c r="BH102" s="21">
        <v>271770.163</v>
      </c>
      <c r="BI102" s="21">
        <v>269367.15100000001</v>
      </c>
      <c r="BJ102" s="21">
        <v>253860.71100000001</v>
      </c>
      <c r="BK102" s="21">
        <v>235036.05600000001</v>
      </c>
      <c r="BL102" s="21">
        <v>212123.37</v>
      </c>
      <c r="BM102" s="21">
        <v>184620.37400000001</v>
      </c>
      <c r="BN102" s="21">
        <v>171048.21100000001</v>
      </c>
      <c r="BO102" s="21">
        <v>159791.27600000001</v>
      </c>
      <c r="BP102" s="21">
        <v>145504.30499999999</v>
      </c>
      <c r="BQ102" s="21">
        <v>132786.217</v>
      </c>
      <c r="BR102" s="21">
        <v>126528.886</v>
      </c>
      <c r="BS102" s="21">
        <v>117062.75</v>
      </c>
      <c r="BT102" s="21">
        <v>114607.05899999999</v>
      </c>
      <c r="BU102" s="21">
        <v>111439.886</v>
      </c>
      <c r="BV102" s="21">
        <v>109593.32</v>
      </c>
      <c r="BW102" s="21">
        <v>112213.336</v>
      </c>
      <c r="BX102" s="21">
        <v>113703.015</v>
      </c>
      <c r="BY102" s="21">
        <v>111506.015</v>
      </c>
      <c r="BZ102" s="21">
        <v>107396.52899999999</v>
      </c>
      <c r="CA102" s="21">
        <v>102439.406</v>
      </c>
      <c r="CB102" s="21">
        <v>97248.657000000007</v>
      </c>
      <c r="CC102" s="21">
        <v>100581.57799999999</v>
      </c>
      <c r="CD102" s="21">
        <v>93039.381999999998</v>
      </c>
      <c r="CE102" s="21">
        <v>89719.126999999993</v>
      </c>
      <c r="CF102" s="21">
        <v>84074.808999999994</v>
      </c>
      <c r="CG102" s="21">
        <v>2496.4259999999999</v>
      </c>
      <c r="CH102" s="21">
        <v>2555.4369999999999</v>
      </c>
      <c r="CI102" s="21">
        <v>1243.04</v>
      </c>
      <c r="CK102" s="15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</row>
    <row r="103" spans="1:110" outlineLevel="2" x14ac:dyDescent="0.2">
      <c r="A103" s="14">
        <v>1</v>
      </c>
      <c r="C103" s="9" t="str">
        <f>"        Net Operating Profit After Tax (NOPAT)"</f>
        <v xml:space="preserve">        Net Operating Profit After Tax (NOPAT)</v>
      </c>
      <c r="D103" s="17">
        <f t="shared" si="40"/>
        <v>18037.388999999999</v>
      </c>
      <c r="E103" s="17">
        <f t="shared" si="41"/>
        <v>37409.525601240952</v>
      </c>
      <c r="F103" s="17">
        <f t="shared" si="42"/>
        <v>-72488.962</v>
      </c>
      <c r="G103" s="17">
        <f t="shared" si="43"/>
        <v>246804.71477739341</v>
      </c>
      <c r="H103" s="17">
        <f t="shared" si="44"/>
        <v>5789.7744999999995</v>
      </c>
      <c r="I103" s="17">
        <f t="shared" si="45"/>
        <v>67122.961757959129</v>
      </c>
      <c r="J103" s="17">
        <f t="shared" si="46"/>
        <v>54499.136244222798</v>
      </c>
      <c r="K103" s="18">
        <f t="shared" si="47"/>
        <v>1.4568251098702771</v>
      </c>
      <c r="L103" s="21"/>
      <c r="M103" s="21">
        <v>196140.08499999999</v>
      </c>
      <c r="N103" s="22">
        <v>246804.71477739341</v>
      </c>
      <c r="O103" s="22">
        <v>67178.736296036601</v>
      </c>
      <c r="P103" s="22">
        <v>24530.275431882004</v>
      </c>
      <c r="Q103" s="22">
        <v>39949.672495080289</v>
      </c>
      <c r="R103" s="21">
        <v>42368.745267885788</v>
      </c>
      <c r="S103" s="21">
        <v>39608.675657855303</v>
      </c>
      <c r="T103" s="21">
        <v>28280.639999999999</v>
      </c>
      <c r="U103" s="21">
        <v>49540.629054580058</v>
      </c>
      <c r="V103" s="21">
        <v>67727.68084084084</v>
      </c>
      <c r="W103" s="21">
        <v>96400.911251446902</v>
      </c>
      <c r="X103" s="21">
        <v>133586.10800000001</v>
      </c>
      <c r="Y103" s="21">
        <v>141196.68240851216</v>
      </c>
      <c r="Z103" s="21">
        <v>140232.53789442644</v>
      </c>
      <c r="AA103" s="21">
        <v>120301.95447845313</v>
      </c>
      <c r="AB103" s="21">
        <v>102724.144</v>
      </c>
      <c r="AC103" s="21">
        <v>89899.767482910233</v>
      </c>
      <c r="AD103" s="21">
        <v>67067.187219881671</v>
      </c>
      <c r="AE103" s="21">
        <v>60036.574978102944</v>
      </c>
      <c r="AF103" s="21">
        <v>56747.761500000001</v>
      </c>
      <c r="AG103" s="21">
        <v>58664.806265516869</v>
      </c>
      <c r="AH103" s="21">
        <v>69953.133433253388</v>
      </c>
      <c r="AI103" s="21">
        <v>81489.658085608869</v>
      </c>
      <c r="AJ103" s="21">
        <v>96478.335000950829</v>
      </c>
      <c r="AK103" s="21">
        <v>99764.50376789752</v>
      </c>
      <c r="AL103" s="21">
        <v>96789.565051563957</v>
      </c>
      <c r="AM103" s="21">
        <v>95387.022637781192</v>
      </c>
      <c r="AN103" s="21">
        <v>84567.25593795444</v>
      </c>
      <c r="AO103" s="21">
        <v>73865.997020742376</v>
      </c>
      <c r="AP103" s="21">
        <v>61763.590654583888</v>
      </c>
      <c r="AQ103" s="21">
        <v>47060.311311125544</v>
      </c>
      <c r="AR103" s="21">
        <v>30483.824221453287</v>
      </c>
      <c r="AS103" s="21">
        <v>17188.532634376847</v>
      </c>
      <c r="AT103" s="21">
        <v>9013.0989468209591</v>
      </c>
      <c r="AU103" s="21">
        <v>9903.1</v>
      </c>
      <c r="AV103" s="21">
        <v>10995.25</v>
      </c>
      <c r="AW103" s="21">
        <v>-2056.3000000000002</v>
      </c>
      <c r="AX103" s="21">
        <v>3760.7</v>
      </c>
      <c r="AY103" s="21">
        <v>18090.950418250952</v>
      </c>
      <c r="AZ103" s="21">
        <v>24342.739846414013</v>
      </c>
      <c r="BA103" s="21">
        <v>40470.130999734822</v>
      </c>
      <c r="BB103" s="21">
        <v>39701.8271112722</v>
      </c>
      <c r="BC103" s="21">
        <v>-54112.46</v>
      </c>
      <c r="BD103" s="21">
        <v>-59665.242287519744</v>
      </c>
      <c r="BE103" s="21">
        <v>-68326.107000000004</v>
      </c>
      <c r="BF103" s="21">
        <v>-72488.962</v>
      </c>
      <c r="BG103" s="21">
        <v>6684.2979999999998</v>
      </c>
      <c r="BH103" s="21">
        <v>9121.1139999999996</v>
      </c>
      <c r="BI103" s="21">
        <v>11011.535</v>
      </c>
      <c r="BJ103" s="21">
        <v>14369.945</v>
      </c>
      <c r="BK103" s="21">
        <v>14283.109</v>
      </c>
      <c r="BL103" s="21">
        <v>12961.933999999999</v>
      </c>
      <c r="BM103" s="21">
        <v>11975.264999999999</v>
      </c>
      <c r="BN103" s="21">
        <v>11546.218999999999</v>
      </c>
      <c r="BO103" s="21">
        <v>9383.6319999999996</v>
      </c>
      <c r="BP103" s="21">
        <v>8701.5789999999997</v>
      </c>
      <c r="BQ103" s="21">
        <v>6330.5929999999998</v>
      </c>
      <c r="BR103" s="21">
        <v>5055.1869999999999</v>
      </c>
      <c r="BS103" s="21">
        <v>6469.22</v>
      </c>
      <c r="BT103" s="21">
        <v>5248.9560000000001</v>
      </c>
      <c r="BU103" s="21">
        <v>4703.2780000000002</v>
      </c>
      <c r="BV103" s="21">
        <v>3149.4580000000001</v>
      </c>
      <c r="BW103" s="21">
        <v>1713.713</v>
      </c>
      <c r="BX103" s="21">
        <v>832.28499999999997</v>
      </c>
      <c r="BY103" s="21">
        <v>16031.291999999999</v>
      </c>
      <c r="BZ103" s="21">
        <v>18456.446</v>
      </c>
      <c r="CA103" s="21">
        <v>18037.388999999999</v>
      </c>
      <c r="CB103" s="21">
        <v>17225.492999999999</v>
      </c>
      <c r="CC103" s="21">
        <v>-4764.2920000000004</v>
      </c>
      <c r="CD103" s="21">
        <v>-4266.5330000000004</v>
      </c>
      <c r="CE103" s="21">
        <v>-4944.1450000000004</v>
      </c>
      <c r="CF103" s="21">
        <v>-10778.215</v>
      </c>
      <c r="CG103" s="21">
        <v>-2447.971</v>
      </c>
      <c r="CH103" s="21">
        <v>-2542.0700000000002</v>
      </c>
      <c r="CI103" s="21">
        <v>-1243.04</v>
      </c>
      <c r="CK103" s="15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</row>
    <row r="104" spans="1:110" outlineLevel="2" x14ac:dyDescent="0.2">
      <c r="A104" s="14">
        <v>1</v>
      </c>
      <c r="C104" s="9" t="str">
        <f>"        Income After Taxes"</f>
        <v xml:space="preserve">        Income After Taxes</v>
      </c>
      <c r="D104" s="17">
        <f t="shared" si="40"/>
        <v>17702.819499999998</v>
      </c>
      <c r="E104" s="17">
        <f t="shared" si="41"/>
        <v>35693.603833333342</v>
      </c>
      <c r="F104" s="17">
        <f t="shared" si="42"/>
        <v>-72488.962</v>
      </c>
      <c r="G104" s="17">
        <f t="shared" si="43"/>
        <v>243818.75</v>
      </c>
      <c r="H104" s="17">
        <f t="shared" si="44"/>
        <v>6434.5632500000002</v>
      </c>
      <c r="I104" s="17">
        <f t="shared" si="45"/>
        <v>59750.6875</v>
      </c>
      <c r="J104" s="17">
        <f t="shared" si="46"/>
        <v>53375.353473883806</v>
      </c>
      <c r="K104" s="18">
        <f t="shared" si="47"/>
        <v>1.495375858462292</v>
      </c>
      <c r="L104" s="21"/>
      <c r="M104" s="21">
        <v>194494</v>
      </c>
      <c r="N104" s="22">
        <v>243818.75</v>
      </c>
      <c r="O104" s="22">
        <v>59263.25</v>
      </c>
      <c r="P104" s="22">
        <v>17368.25</v>
      </c>
      <c r="Q104" s="22">
        <v>30898</v>
      </c>
      <c r="R104" s="21">
        <v>33369</v>
      </c>
      <c r="S104" s="21">
        <v>29938</v>
      </c>
      <c r="T104" s="21">
        <v>20128</v>
      </c>
      <c r="U104" s="21">
        <v>40157</v>
      </c>
      <c r="V104" s="21">
        <v>61213</v>
      </c>
      <c r="W104" s="21">
        <v>90464</v>
      </c>
      <c r="X104" s="21">
        <v>127854</v>
      </c>
      <c r="Y104" s="21">
        <v>135808</v>
      </c>
      <c r="Z104" s="21">
        <v>134787</v>
      </c>
      <c r="AA104" s="21">
        <v>114769</v>
      </c>
      <c r="AB104" s="21">
        <v>93958</v>
      </c>
      <c r="AC104" s="21">
        <v>80413</v>
      </c>
      <c r="AD104" s="21">
        <v>57101</v>
      </c>
      <c r="AE104" s="21">
        <v>49685</v>
      </c>
      <c r="AF104" s="21">
        <v>49827</v>
      </c>
      <c r="AG104" s="21">
        <v>52624</v>
      </c>
      <c r="AH104" s="21">
        <v>64562</v>
      </c>
      <c r="AI104" s="21">
        <v>76657</v>
      </c>
      <c r="AJ104" s="21">
        <v>88627</v>
      </c>
      <c r="AK104" s="21">
        <v>92358</v>
      </c>
      <c r="AL104" s="21">
        <v>89807</v>
      </c>
      <c r="AM104" s="21">
        <v>89063</v>
      </c>
      <c r="AN104" s="21">
        <v>81406</v>
      </c>
      <c r="AO104" s="21">
        <v>70591</v>
      </c>
      <c r="AP104" s="21">
        <v>58480</v>
      </c>
      <c r="AQ104" s="21">
        <v>43026</v>
      </c>
      <c r="AR104" s="21">
        <v>26433</v>
      </c>
      <c r="AS104" s="21">
        <v>13011</v>
      </c>
      <c r="AT104" s="21">
        <v>4901</v>
      </c>
      <c r="AU104" s="21">
        <v>6527</v>
      </c>
      <c r="AV104" s="21">
        <v>8080</v>
      </c>
      <c r="AW104" s="21">
        <v>-4174</v>
      </c>
      <c r="AX104" s="21">
        <v>1656</v>
      </c>
      <c r="AY104" s="21">
        <v>15846</v>
      </c>
      <c r="AZ104" s="21">
        <v>21983</v>
      </c>
      <c r="BA104" s="21">
        <v>37259</v>
      </c>
      <c r="BB104" s="21">
        <v>36499</v>
      </c>
      <c r="BC104" s="21">
        <v>-54112.46</v>
      </c>
      <c r="BD104" s="21">
        <v>-64207</v>
      </c>
      <c r="BE104" s="21">
        <v>-68326.107000000004</v>
      </c>
      <c r="BF104" s="21">
        <v>-72488.962</v>
      </c>
      <c r="BG104" s="21">
        <v>6684.2979999999998</v>
      </c>
      <c r="BH104" s="21">
        <v>9121.1139999999996</v>
      </c>
      <c r="BI104" s="21">
        <v>11011.535</v>
      </c>
      <c r="BJ104" s="21">
        <v>14369.945</v>
      </c>
      <c r="BK104" s="21">
        <v>14283.109</v>
      </c>
      <c r="BL104" s="21">
        <v>12961.933999999999</v>
      </c>
      <c r="BM104" s="21">
        <v>11975.264999999999</v>
      </c>
      <c r="BN104" s="21">
        <v>11546.218999999999</v>
      </c>
      <c r="BO104" s="21">
        <v>9383.6319999999996</v>
      </c>
      <c r="BP104" s="21">
        <v>8701.5789999999997</v>
      </c>
      <c r="BQ104" s="21">
        <v>6330.5929999999998</v>
      </c>
      <c r="BR104" s="21">
        <v>5055.1869999999999</v>
      </c>
      <c r="BS104" s="21">
        <v>6469.22</v>
      </c>
      <c r="BT104" s="21">
        <v>5248.9560000000001</v>
      </c>
      <c r="BU104" s="21">
        <v>4703.2780000000002</v>
      </c>
      <c r="BV104" s="21">
        <v>3149.4580000000001</v>
      </c>
      <c r="BW104" s="21">
        <v>1713.713</v>
      </c>
      <c r="BX104" s="21">
        <v>832.28499999999997</v>
      </c>
      <c r="BY104" s="21">
        <v>16031.291999999999</v>
      </c>
      <c r="BZ104" s="21">
        <v>18456.446</v>
      </c>
      <c r="CA104" s="21">
        <v>18037.388999999999</v>
      </c>
      <c r="CB104" s="21">
        <v>17225.492999999999</v>
      </c>
      <c r="CC104" s="21">
        <v>-4764.2920000000004</v>
      </c>
      <c r="CD104" s="21">
        <v>-4266.5330000000004</v>
      </c>
      <c r="CE104" s="21">
        <v>-4944.1450000000004</v>
      </c>
      <c r="CF104" s="21">
        <v>-10778.215</v>
      </c>
      <c r="CG104" s="21" t="s">
        <v>165</v>
      </c>
      <c r="CH104" s="21" t="s">
        <v>165</v>
      </c>
      <c r="CI104" s="21" t="s">
        <v>165</v>
      </c>
      <c r="CK104" s="15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</row>
    <row r="105" spans="1:110" outlineLevel="1" x14ac:dyDescent="0.2">
      <c r="A105" s="14">
        <v>1</v>
      </c>
      <c r="C105" s="9" t="str">
        <f>"    Normalized Profitability Metrics"</f>
        <v xml:space="preserve">    Normalized Profitability Metrics</v>
      </c>
      <c r="D105" s="20"/>
      <c r="E105" s="20"/>
      <c r="F105" s="20"/>
      <c r="G105" s="20"/>
      <c r="H105" s="20"/>
      <c r="I105" s="20"/>
      <c r="J105" s="20"/>
      <c r="K105" s="20"/>
      <c r="L105" s="25"/>
      <c r="M105" s="25" t="s">
        <v>165</v>
      </c>
      <c r="N105" s="25"/>
      <c r="O105" s="25"/>
      <c r="P105" s="25"/>
      <c r="Q105" s="25"/>
      <c r="R105" s="25" t="s">
        <v>165</v>
      </c>
      <c r="S105" s="25" t="s">
        <v>165</v>
      </c>
      <c r="T105" s="25" t="s">
        <v>165</v>
      </c>
      <c r="U105" s="25" t="s">
        <v>165</v>
      </c>
      <c r="V105" s="25" t="s">
        <v>165</v>
      </c>
      <c r="W105" s="25" t="s">
        <v>165</v>
      </c>
      <c r="X105" s="25" t="s">
        <v>165</v>
      </c>
      <c r="Y105" s="25" t="s">
        <v>165</v>
      </c>
      <c r="Z105" s="25" t="s">
        <v>165</v>
      </c>
      <c r="AA105" s="25" t="s">
        <v>165</v>
      </c>
      <c r="AB105" s="25" t="s">
        <v>165</v>
      </c>
      <c r="AC105" s="25" t="s">
        <v>165</v>
      </c>
      <c r="AD105" s="25" t="s">
        <v>165</v>
      </c>
      <c r="AE105" s="25" t="s">
        <v>165</v>
      </c>
      <c r="AF105" s="25" t="s">
        <v>165</v>
      </c>
      <c r="AG105" s="25" t="s">
        <v>165</v>
      </c>
      <c r="AH105" s="25" t="s">
        <v>165</v>
      </c>
      <c r="AI105" s="25" t="s">
        <v>165</v>
      </c>
      <c r="AJ105" s="25" t="s">
        <v>165</v>
      </c>
      <c r="AK105" s="25" t="s">
        <v>165</v>
      </c>
      <c r="AL105" s="25" t="s">
        <v>165</v>
      </c>
      <c r="AM105" s="25" t="s">
        <v>165</v>
      </c>
      <c r="AN105" s="25" t="s">
        <v>165</v>
      </c>
      <c r="AO105" s="25" t="s">
        <v>165</v>
      </c>
      <c r="AP105" s="25" t="s">
        <v>165</v>
      </c>
      <c r="AQ105" s="25" t="s">
        <v>165</v>
      </c>
      <c r="AR105" s="25" t="s">
        <v>165</v>
      </c>
      <c r="AS105" s="25" t="s">
        <v>165</v>
      </c>
      <c r="AT105" s="25" t="s">
        <v>165</v>
      </c>
      <c r="AU105" s="25" t="s">
        <v>165</v>
      </c>
      <c r="AV105" s="25" t="s">
        <v>165</v>
      </c>
      <c r="AW105" s="25" t="s">
        <v>165</v>
      </c>
      <c r="AX105" s="25" t="s">
        <v>165</v>
      </c>
      <c r="AY105" s="25" t="s">
        <v>165</v>
      </c>
      <c r="AZ105" s="25" t="s">
        <v>165</v>
      </c>
      <c r="BA105" s="25" t="s">
        <v>165</v>
      </c>
      <c r="BB105" s="25" t="s">
        <v>165</v>
      </c>
      <c r="BC105" s="25" t="s">
        <v>165</v>
      </c>
      <c r="BD105" s="25" t="s">
        <v>165</v>
      </c>
      <c r="BE105" s="25" t="s">
        <v>165</v>
      </c>
      <c r="BF105" s="25" t="s">
        <v>165</v>
      </c>
      <c r="BG105" s="25" t="s">
        <v>165</v>
      </c>
      <c r="BH105" s="25" t="s">
        <v>165</v>
      </c>
      <c r="BI105" s="25" t="s">
        <v>165</v>
      </c>
      <c r="BJ105" s="25" t="s">
        <v>165</v>
      </c>
      <c r="BK105" s="25" t="s">
        <v>165</v>
      </c>
      <c r="BL105" s="25" t="s">
        <v>165</v>
      </c>
      <c r="BM105" s="25" t="s">
        <v>165</v>
      </c>
      <c r="BN105" s="25" t="s">
        <v>165</v>
      </c>
      <c r="BO105" s="25" t="s">
        <v>165</v>
      </c>
      <c r="BP105" s="25" t="s">
        <v>165</v>
      </c>
      <c r="BQ105" s="25" t="s">
        <v>165</v>
      </c>
      <c r="BR105" s="25" t="s">
        <v>165</v>
      </c>
      <c r="BS105" s="25" t="s">
        <v>165</v>
      </c>
      <c r="BT105" s="25" t="s">
        <v>165</v>
      </c>
      <c r="BU105" s="25" t="s">
        <v>165</v>
      </c>
      <c r="BV105" s="25" t="s">
        <v>165</v>
      </c>
      <c r="BW105" s="25" t="s">
        <v>165</v>
      </c>
      <c r="BX105" s="25" t="s">
        <v>165</v>
      </c>
      <c r="BY105" s="25" t="s">
        <v>165</v>
      </c>
      <c r="BZ105" s="25" t="s">
        <v>165</v>
      </c>
      <c r="CA105" s="25" t="s">
        <v>165</v>
      </c>
      <c r="CB105" s="25" t="s">
        <v>165</v>
      </c>
      <c r="CC105" s="25" t="s">
        <v>165</v>
      </c>
      <c r="CD105" s="25" t="s">
        <v>165</v>
      </c>
      <c r="CE105" s="25" t="s">
        <v>165</v>
      </c>
      <c r="CF105" s="25" t="s">
        <v>165</v>
      </c>
      <c r="CG105" s="25" t="s">
        <v>165</v>
      </c>
      <c r="CH105" s="25" t="s">
        <v>165</v>
      </c>
      <c r="CI105" s="25" t="s">
        <v>165</v>
      </c>
      <c r="CK105" s="15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</row>
    <row r="106" spans="1:110" outlineLevel="2" x14ac:dyDescent="0.2">
      <c r="A106" s="14">
        <v>1</v>
      </c>
      <c r="C106" s="9" t="str">
        <f>"        EBITDA (Normalized)"</f>
        <v xml:space="preserve">        EBITDA (Normalized)</v>
      </c>
      <c r="D106" s="17">
        <f>IF(COUNT(M106:CI106)&gt;0,MEDIAN(M106:CI106),"")</f>
        <v>57974.281499999997</v>
      </c>
      <c r="E106" s="17">
        <f>IF(COUNT(M106:CI106)&gt;0,AVERAGE(M106:CI106),"")</f>
        <v>85488.519375000033</v>
      </c>
      <c r="F106" s="17">
        <f>IF(COUNT(M106:CI106)&gt;0,MIN(M106:CI106),"")</f>
        <v>-77611.233999999997</v>
      </c>
      <c r="G106" s="17">
        <f>IF(COUNT(M106:CI106)&gt;0,MAX(M106:CI106),"")</f>
        <v>367120.75</v>
      </c>
      <c r="H106" s="17">
        <f>IF(COUNT(M106:CI106)&gt;0,QUARTILE(M106:CI106,1),"")</f>
        <v>17160.992249999999</v>
      </c>
      <c r="I106" s="17">
        <f>IF(COUNT(M106:CI106)&gt;0,QUARTILE(M106:CI106,3),"")</f>
        <v>138858.625</v>
      </c>
      <c r="J106" s="17">
        <f>IF(COUNT(M106:CI106)&gt;1,STDEV(M106:CI106),"")</f>
        <v>88855.36029646112</v>
      </c>
      <c r="K106" s="18">
        <f>IF(COUNT(M106:CI106)&gt;1,STDEV(M106:CI106)/AVERAGE(M106:CI106),"")</f>
        <v>1.0393835446686386</v>
      </c>
      <c r="L106" s="21"/>
      <c r="M106" s="21">
        <v>299619</v>
      </c>
      <c r="N106" s="22">
        <v>367120.75</v>
      </c>
      <c r="O106" s="22">
        <v>140840.5</v>
      </c>
      <c r="P106" s="22">
        <v>82851.25</v>
      </c>
      <c r="Q106" s="22">
        <v>89405.75</v>
      </c>
      <c r="R106" s="21">
        <v>108497</v>
      </c>
      <c r="S106" s="21">
        <v>104882</v>
      </c>
      <c r="T106" s="21">
        <v>27385</v>
      </c>
      <c r="U106" s="21">
        <v>116859</v>
      </c>
      <c r="V106" s="21">
        <v>162959</v>
      </c>
      <c r="W106" s="21">
        <v>207894</v>
      </c>
      <c r="X106" s="21">
        <v>258789</v>
      </c>
      <c r="Y106" s="21">
        <v>267516</v>
      </c>
      <c r="Z106" s="21">
        <v>263107</v>
      </c>
      <c r="AA106" s="21">
        <v>228788</v>
      </c>
      <c r="AB106" s="21">
        <v>206586</v>
      </c>
      <c r="AC106" s="21">
        <v>186776</v>
      </c>
      <c r="AD106" s="21">
        <v>150427</v>
      </c>
      <c r="AE106" s="21">
        <v>135821</v>
      </c>
      <c r="AF106" s="21">
        <v>126635</v>
      </c>
      <c r="AG106" s="21">
        <v>125636</v>
      </c>
      <c r="AH106" s="21">
        <v>138198</v>
      </c>
      <c r="AI106" s="21">
        <v>156187</v>
      </c>
      <c r="AJ106" s="21">
        <v>178900</v>
      </c>
      <c r="AK106" s="21">
        <v>181896</v>
      </c>
      <c r="AL106" s="21">
        <v>178592</v>
      </c>
      <c r="AM106" s="21">
        <v>173849</v>
      </c>
      <c r="AN106" s="21">
        <v>154200</v>
      </c>
      <c r="AO106" s="21">
        <v>132689</v>
      </c>
      <c r="AP106" s="21">
        <v>112369</v>
      </c>
      <c r="AQ106" s="21">
        <v>93774</v>
      </c>
      <c r="AR106" s="21">
        <v>68400</v>
      </c>
      <c r="AS106" s="21">
        <v>58459</v>
      </c>
      <c r="AT106" s="21">
        <v>30119</v>
      </c>
      <c r="AU106" s="21">
        <v>31327</v>
      </c>
      <c r="AV106" s="21">
        <v>133777</v>
      </c>
      <c r="AW106" s="21">
        <v>112225</v>
      </c>
      <c r="AX106" s="21">
        <v>68450</v>
      </c>
      <c r="AY106" s="21">
        <v>39206</v>
      </c>
      <c r="AZ106" s="21">
        <v>57366</v>
      </c>
      <c r="BA106" s="21">
        <v>61478</v>
      </c>
      <c r="BB106" s="21">
        <v>57489.563000000002</v>
      </c>
      <c r="BC106" s="21">
        <v>-53602.004999999997</v>
      </c>
      <c r="BD106" s="21">
        <v>41100</v>
      </c>
      <c r="BE106" s="21">
        <v>26939.157999999999</v>
      </c>
      <c r="BF106" s="21">
        <v>-77611.233999999997</v>
      </c>
      <c r="BG106" s="21">
        <v>24501.687999999998</v>
      </c>
      <c r="BH106" s="21">
        <v>27345.370999999999</v>
      </c>
      <c r="BI106" s="21">
        <v>29978.153999999999</v>
      </c>
      <c r="BJ106" s="21">
        <v>33630.642999999996</v>
      </c>
      <c r="BK106" s="21">
        <v>31871.866000000002</v>
      </c>
      <c r="BL106" s="21">
        <v>28052.791000000001</v>
      </c>
      <c r="BM106" s="21">
        <v>24802.667000000001</v>
      </c>
      <c r="BN106" s="21">
        <v>23427.276000000002</v>
      </c>
      <c r="BO106" s="21">
        <v>19357.235000000001</v>
      </c>
      <c r="BP106" s="21">
        <v>18131.036</v>
      </c>
      <c r="BQ106" s="21">
        <v>14250.861000000001</v>
      </c>
      <c r="BR106" s="21">
        <v>11999.875</v>
      </c>
      <c r="BS106" s="21">
        <v>13987.005999999999</v>
      </c>
      <c r="BT106" s="21">
        <v>11432.361000000001</v>
      </c>
      <c r="BU106" s="21">
        <v>10448.384</v>
      </c>
      <c r="BV106" s="21">
        <v>8521.35</v>
      </c>
      <c r="BW106" s="21">
        <v>5944.57</v>
      </c>
      <c r="BX106" s="21">
        <v>4495.6270000000004</v>
      </c>
      <c r="BY106" s="21">
        <v>2571.0700000000002</v>
      </c>
      <c r="BZ106" s="21">
        <v>4696.6660000000002</v>
      </c>
      <c r="CA106" s="21">
        <v>3670.48</v>
      </c>
      <c r="CB106" s="21">
        <v>2592.5309999999999</v>
      </c>
      <c r="CC106" s="21">
        <v>-1550.9549999999999</v>
      </c>
      <c r="CD106" s="21">
        <v>-1077.1969999999999</v>
      </c>
      <c r="CE106" s="21">
        <v>-2634.0619999999999</v>
      </c>
      <c r="CF106" s="21">
        <v>-9444.6309999999994</v>
      </c>
      <c r="CG106" s="21" t="s">
        <v>165</v>
      </c>
      <c r="CH106" s="21" t="s">
        <v>165</v>
      </c>
      <c r="CI106" s="21" t="s">
        <v>165</v>
      </c>
      <c r="CK106" s="15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</row>
    <row r="107" spans="1:110" outlineLevel="2" x14ac:dyDescent="0.2">
      <c r="A107" s="14">
        <v>1</v>
      </c>
      <c r="C107" s="9" t="str">
        <f>"        EBIT (Normalized)"</f>
        <v xml:space="preserve">        EBIT (Normalized)</v>
      </c>
      <c r="D107" s="17">
        <f>IF(COUNT(M107:CI107)&gt;0,MEDIAN(M107:CI107),"")</f>
        <v>45269</v>
      </c>
      <c r="E107" s="17">
        <f>IF(COUNT(M107:CI107)&gt;0,AVERAGE(M107:CI107),"")</f>
        <v>66554.143930555598</v>
      </c>
      <c r="F107" s="17">
        <f>IF(COUNT(M107:CI107)&gt;0,MIN(M107:CI107),"")</f>
        <v>-91561.191999999995</v>
      </c>
      <c r="G107" s="17">
        <f>IF(COUNT(M107:CI107)&gt;0,MAX(M107:CI107),"")</f>
        <v>326896.25</v>
      </c>
      <c r="H107" s="17">
        <f>IF(COUNT(M107:CI107)&gt;0,QUARTILE(M107:CI107,1),"")</f>
        <v>10802.93375</v>
      </c>
      <c r="I107" s="17">
        <f>IF(COUNT(M107:CI107)&gt;0,QUARTILE(M107:CI107,3),"")</f>
        <v>112254</v>
      </c>
      <c r="J107" s="17">
        <f>IF(COUNT(M107:CI107)&gt;1,STDEV(M107:CI107),"")</f>
        <v>76677.204316816162</v>
      </c>
      <c r="K107" s="18">
        <f>IF(COUNT(M107:CI107)&gt;1,STDEV(M107:CI107)/AVERAGE(M107:CI107),"")</f>
        <v>1.1521026308568139</v>
      </c>
      <c r="L107" s="21"/>
      <c r="M107" s="21">
        <v>259768</v>
      </c>
      <c r="N107" s="22">
        <v>326896.25</v>
      </c>
      <c r="O107" s="22">
        <v>91921.75</v>
      </c>
      <c r="P107" s="22">
        <v>50582.5</v>
      </c>
      <c r="Q107" s="22">
        <v>52035.75</v>
      </c>
      <c r="R107" s="21">
        <v>54052</v>
      </c>
      <c r="S107" s="21">
        <v>52107</v>
      </c>
      <c r="T107" s="21">
        <v>36926</v>
      </c>
      <c r="U107" s="21">
        <v>65058</v>
      </c>
      <c r="V107" s="21">
        <v>110201</v>
      </c>
      <c r="W107" s="21">
        <v>154232</v>
      </c>
      <c r="X107" s="21">
        <v>208576</v>
      </c>
      <c r="Y107" s="21">
        <v>219928</v>
      </c>
      <c r="Z107" s="21">
        <v>219164</v>
      </c>
      <c r="AA107" s="21">
        <v>188261</v>
      </c>
      <c r="AB107" s="21">
        <v>165349</v>
      </c>
      <c r="AC107" s="21">
        <v>146243</v>
      </c>
      <c r="AD107" s="21">
        <v>111451</v>
      </c>
      <c r="AE107" s="21">
        <v>100003</v>
      </c>
      <c r="AF107" s="21">
        <v>95742</v>
      </c>
      <c r="AG107" s="21">
        <v>98802</v>
      </c>
      <c r="AH107" s="21">
        <v>114663</v>
      </c>
      <c r="AI107" s="21">
        <v>134061</v>
      </c>
      <c r="AJ107" s="21">
        <v>157196</v>
      </c>
      <c r="AK107" s="21">
        <v>162537</v>
      </c>
      <c r="AL107" s="21">
        <v>158784</v>
      </c>
      <c r="AM107" s="21">
        <v>155421</v>
      </c>
      <c r="AN107" s="21">
        <v>136046</v>
      </c>
      <c r="AO107" s="21">
        <v>114785</v>
      </c>
      <c r="AP107" s="21">
        <v>96689</v>
      </c>
      <c r="AQ107" s="21">
        <v>77931</v>
      </c>
      <c r="AR107" s="21">
        <v>53230</v>
      </c>
      <c r="AS107" s="21">
        <v>44724</v>
      </c>
      <c r="AT107" s="21">
        <v>16031</v>
      </c>
      <c r="AU107" s="21">
        <v>17876</v>
      </c>
      <c r="AV107" s="21">
        <v>120547</v>
      </c>
      <c r="AW107" s="21">
        <v>97904</v>
      </c>
      <c r="AX107" s="21">
        <v>54328</v>
      </c>
      <c r="AY107" s="21">
        <v>25032</v>
      </c>
      <c r="AZ107" s="21">
        <v>43743</v>
      </c>
      <c r="BA107" s="21">
        <v>48726</v>
      </c>
      <c r="BB107" s="21">
        <v>45814</v>
      </c>
      <c r="BC107" s="21">
        <v>-65095.387999999999</v>
      </c>
      <c r="BD107" s="21">
        <v>28430</v>
      </c>
      <c r="BE107" s="21">
        <v>13650.647000000001</v>
      </c>
      <c r="BF107" s="21">
        <v>-91561.191999999995</v>
      </c>
      <c r="BG107" s="21">
        <v>10852.571</v>
      </c>
      <c r="BH107" s="21">
        <v>14795.63</v>
      </c>
      <c r="BI107" s="21">
        <v>17531.621999999999</v>
      </c>
      <c r="BJ107" s="21">
        <v>22562.481</v>
      </c>
      <c r="BK107" s="21">
        <v>22693.335999999999</v>
      </c>
      <c r="BL107" s="21">
        <v>20579.763999999999</v>
      </c>
      <c r="BM107" s="21">
        <v>19107.494999999999</v>
      </c>
      <c r="BN107" s="21">
        <v>18590.302</v>
      </c>
      <c r="BO107" s="21">
        <v>14880.314</v>
      </c>
      <c r="BP107" s="21">
        <v>13764.196</v>
      </c>
      <c r="BQ107" s="21">
        <v>10251.758</v>
      </c>
      <c r="BR107" s="21">
        <v>8285.0630000000001</v>
      </c>
      <c r="BS107" s="21">
        <v>10654.022000000001</v>
      </c>
      <c r="BT107" s="21">
        <v>8675.4459999999999</v>
      </c>
      <c r="BU107" s="21">
        <v>8156.4520000000002</v>
      </c>
      <c r="BV107" s="21">
        <v>6461.8549999999996</v>
      </c>
      <c r="BW107" s="21">
        <v>4041.1019999999999</v>
      </c>
      <c r="BX107" s="21">
        <v>2790.1129999999998</v>
      </c>
      <c r="BY107" s="21">
        <v>1059.5139999999999</v>
      </c>
      <c r="BZ107" s="21">
        <v>3512.12</v>
      </c>
      <c r="CA107" s="21">
        <v>2735.0120000000002</v>
      </c>
      <c r="CB107" s="21">
        <v>1604.857</v>
      </c>
      <c r="CC107" s="21">
        <v>-2691.1219999999998</v>
      </c>
      <c r="CD107" s="21">
        <v>-2337.835</v>
      </c>
      <c r="CE107" s="21">
        <v>-4741.4049999999997</v>
      </c>
      <c r="CF107" s="21">
        <v>-10707.617</v>
      </c>
      <c r="CG107" s="21" t="s">
        <v>165</v>
      </c>
      <c r="CH107" s="21" t="s">
        <v>165</v>
      </c>
      <c r="CI107" s="21" t="s">
        <v>165</v>
      </c>
      <c r="CK107" s="15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</row>
    <row r="108" spans="1:110" outlineLevel="2" x14ac:dyDescent="0.2">
      <c r="A108" s="14">
        <v>1</v>
      </c>
      <c r="C108" s="9" t="str">
        <f>"        EBITDAR (Normalized)"</f>
        <v xml:space="preserve">        EBITDAR (Normalized)</v>
      </c>
      <c r="D108" s="17">
        <f>IF(COUNT(M108:CI108)&gt;0,MEDIAN(M108:CI108),"")</f>
        <v>59968.5</v>
      </c>
      <c r="E108" s="17">
        <f>IF(COUNT(M108:CI108)&gt;0,AVERAGE(M108:CI108),"")</f>
        <v>85884.512430555595</v>
      </c>
      <c r="F108" s="17">
        <f>IF(COUNT(M108:CI108)&gt;0,MIN(M108:CI108),"")</f>
        <v>-77611.233999999997</v>
      </c>
      <c r="G108" s="17">
        <f>IF(COUNT(M108:CI108)&gt;0,MAX(M108:CI108),"")</f>
        <v>357849.5</v>
      </c>
      <c r="H108" s="17">
        <f>IF(COUNT(M108:CI108)&gt;0,QUARTILE(M108:CI108,1),"")</f>
        <v>17160.992249999999</v>
      </c>
      <c r="I108" s="17">
        <f>IF(COUNT(M108:CI108)&gt;0,QUARTILE(M108:CI108,3),"")</f>
        <v>136415.25</v>
      </c>
      <c r="J108" s="17">
        <f>IF(COUNT(M108:CI108)&gt;1,STDEV(M108:CI108),"")</f>
        <v>87675.034871583019</v>
      </c>
      <c r="K108" s="18">
        <f>IF(COUNT(M108:CI108)&gt;1,STDEV(M108:CI108)/AVERAGE(M108:CI108),"")</f>
        <v>1.020848024752719</v>
      </c>
      <c r="L108" s="21"/>
      <c r="M108" s="21">
        <v>289268</v>
      </c>
      <c r="N108" s="22">
        <v>357849.5</v>
      </c>
      <c r="O108" s="22">
        <v>117972.25</v>
      </c>
      <c r="P108" s="22">
        <v>83593.75</v>
      </c>
      <c r="Q108" s="22">
        <v>103732.25</v>
      </c>
      <c r="R108" s="21">
        <v>105804</v>
      </c>
      <c r="S108" s="21">
        <v>103265</v>
      </c>
      <c r="T108" s="21">
        <v>89001</v>
      </c>
      <c r="U108" s="21">
        <v>116859</v>
      </c>
      <c r="V108" s="21">
        <v>162959</v>
      </c>
      <c r="W108" s="21">
        <v>207894</v>
      </c>
      <c r="X108" s="21">
        <v>258789</v>
      </c>
      <c r="Y108" s="21">
        <v>267516</v>
      </c>
      <c r="Z108" s="21">
        <v>263107</v>
      </c>
      <c r="AA108" s="21">
        <v>228788</v>
      </c>
      <c r="AB108" s="21">
        <v>206586</v>
      </c>
      <c r="AC108" s="21">
        <v>186776</v>
      </c>
      <c r="AD108" s="21">
        <v>150427</v>
      </c>
      <c r="AE108" s="21">
        <v>135821</v>
      </c>
      <c r="AF108" s="21">
        <v>126635</v>
      </c>
      <c r="AG108" s="21">
        <v>125636</v>
      </c>
      <c r="AH108" s="21">
        <v>138198</v>
      </c>
      <c r="AI108" s="21">
        <v>156187</v>
      </c>
      <c r="AJ108" s="21">
        <v>178900</v>
      </c>
      <c r="AK108" s="21">
        <v>183310</v>
      </c>
      <c r="AL108" s="21">
        <v>178592</v>
      </c>
      <c r="AM108" s="21">
        <v>173849</v>
      </c>
      <c r="AN108" s="21">
        <v>152776</v>
      </c>
      <c r="AO108" s="21">
        <v>131009</v>
      </c>
      <c r="AP108" s="21">
        <v>112369</v>
      </c>
      <c r="AQ108" s="21">
        <v>93774</v>
      </c>
      <c r="AR108" s="21">
        <v>68717</v>
      </c>
      <c r="AS108" s="21">
        <v>58459</v>
      </c>
      <c r="AT108" s="21">
        <v>30119</v>
      </c>
      <c r="AU108" s="21">
        <v>31327</v>
      </c>
      <c r="AV108" s="21">
        <v>133777</v>
      </c>
      <c r="AW108" s="21">
        <v>112225</v>
      </c>
      <c r="AX108" s="21">
        <v>68450</v>
      </c>
      <c r="AY108" s="21">
        <v>39206</v>
      </c>
      <c r="AZ108" s="21">
        <v>57366</v>
      </c>
      <c r="BA108" s="21">
        <v>61478</v>
      </c>
      <c r="BB108" s="21">
        <v>57489.563000000002</v>
      </c>
      <c r="BC108" s="21">
        <v>-53602.004999999997</v>
      </c>
      <c r="BD108" s="21">
        <v>41100</v>
      </c>
      <c r="BE108" s="21">
        <v>26939.157999999999</v>
      </c>
      <c r="BF108" s="21">
        <v>-77611.233999999997</v>
      </c>
      <c r="BG108" s="21">
        <v>24501.687999999998</v>
      </c>
      <c r="BH108" s="21">
        <v>27345.370999999999</v>
      </c>
      <c r="BI108" s="21">
        <v>29978.153999999999</v>
      </c>
      <c r="BJ108" s="21">
        <v>33630.642999999996</v>
      </c>
      <c r="BK108" s="21">
        <v>31871.866000000002</v>
      </c>
      <c r="BL108" s="21">
        <v>28052.791000000001</v>
      </c>
      <c r="BM108" s="21">
        <v>24802.667000000001</v>
      </c>
      <c r="BN108" s="21">
        <v>23427.276000000002</v>
      </c>
      <c r="BO108" s="21">
        <v>19357.235000000001</v>
      </c>
      <c r="BP108" s="21">
        <v>18131.036</v>
      </c>
      <c r="BQ108" s="21">
        <v>14250.861000000001</v>
      </c>
      <c r="BR108" s="21">
        <v>11999.875</v>
      </c>
      <c r="BS108" s="21">
        <v>13987.005999999999</v>
      </c>
      <c r="BT108" s="21">
        <v>11432.361000000001</v>
      </c>
      <c r="BU108" s="21">
        <v>10448.384</v>
      </c>
      <c r="BV108" s="21">
        <v>8521.35</v>
      </c>
      <c r="BW108" s="21">
        <v>5944.57</v>
      </c>
      <c r="BX108" s="21">
        <v>4495.6270000000004</v>
      </c>
      <c r="BY108" s="21">
        <v>2571.0700000000002</v>
      </c>
      <c r="BZ108" s="21">
        <v>4696.6660000000002</v>
      </c>
      <c r="CA108" s="21">
        <v>3670.48</v>
      </c>
      <c r="CB108" s="21">
        <v>2592.5309999999999</v>
      </c>
      <c r="CC108" s="21">
        <v>-1550.9549999999999</v>
      </c>
      <c r="CD108" s="21">
        <v>-1077.1969999999999</v>
      </c>
      <c r="CE108" s="21">
        <v>-2634.0619999999999</v>
      </c>
      <c r="CF108" s="21">
        <v>-9444.6309999999994</v>
      </c>
      <c r="CG108" s="21" t="s">
        <v>165</v>
      </c>
      <c r="CH108" s="21" t="s">
        <v>165</v>
      </c>
      <c r="CI108" s="21" t="s">
        <v>165</v>
      </c>
      <c r="CK108" s="15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</row>
    <row r="109" spans="1:110" outlineLevel="2" x14ac:dyDescent="0.2">
      <c r="A109" s="14">
        <v>1</v>
      </c>
      <c r="C109" s="9" t="str">
        <f>"        Net Income (Normalized)"</f>
        <v xml:space="preserve">        Net Income (Normalized)</v>
      </c>
      <c r="D109" s="17">
        <f>IF(COUNT(M109:CI109)&gt;0,MEDIAN(M109:CI109),"")</f>
        <v>24465.111783815712</v>
      </c>
      <c r="E109" s="17">
        <f>IF(COUNT(M109:CI109)&gt;0,AVERAGE(M109:CI109),"")</f>
        <v>47255.88269007983</v>
      </c>
      <c r="F109" s="17">
        <f>IF(COUNT(M109:CI109)&gt;0,MIN(M109:CI109),"")</f>
        <v>-72488.962</v>
      </c>
      <c r="G109" s="17">
        <f>IF(COUNT(M109:CI109)&gt;0,MAX(M109:CI109),"")</f>
        <v>251765</v>
      </c>
      <c r="H109" s="17">
        <f>IF(COUNT(M109:CI109)&gt;0,QUARTILE(M109:CI109,1),"")</f>
        <v>7157.8240000000005</v>
      </c>
      <c r="I109" s="17">
        <f>IF(COUNT(M109:CI109)&gt;0,QUARTILE(M109:CI109,3),"")</f>
        <v>72654.350000000006</v>
      </c>
      <c r="J109" s="17">
        <f>IF(COUNT(M109:CI109)&gt;1,STDEV(M109:CI109),"")</f>
        <v>59685.773883192538</v>
      </c>
      <c r="K109" s="18">
        <f>IF(COUNT(M109:CI109)&gt;1,STDEV(M109:CI109)/AVERAGE(M109:CI109),"")</f>
        <v>1.2630337322155671</v>
      </c>
      <c r="L109" s="21"/>
      <c r="M109" s="21">
        <v>202845</v>
      </c>
      <c r="N109" s="22">
        <v>251765</v>
      </c>
      <c r="O109" s="22">
        <v>70585.5</v>
      </c>
      <c r="P109" s="22">
        <v>39218</v>
      </c>
      <c r="Q109" s="22">
        <v>36399</v>
      </c>
      <c r="R109" s="21">
        <v>40691</v>
      </c>
      <c r="S109" s="21">
        <v>35909</v>
      </c>
      <c r="T109" s="21">
        <v>25097</v>
      </c>
      <c r="U109" s="21">
        <v>43899</v>
      </c>
      <c r="V109" s="21">
        <v>76782</v>
      </c>
      <c r="W109" s="21">
        <v>109732</v>
      </c>
      <c r="X109" s="21">
        <v>146547</v>
      </c>
      <c r="Y109" s="21">
        <v>152247</v>
      </c>
      <c r="Z109" s="21">
        <v>147875</v>
      </c>
      <c r="AA109" s="21">
        <v>119363.87322754992</v>
      </c>
      <c r="AB109" s="21">
        <v>102544</v>
      </c>
      <c r="AC109" s="21">
        <v>89933</v>
      </c>
      <c r="AD109" s="21">
        <v>67954</v>
      </c>
      <c r="AE109" s="21">
        <v>53647.717296099741</v>
      </c>
      <c r="AF109" s="21">
        <v>56279</v>
      </c>
      <c r="AG109" s="21">
        <v>57775</v>
      </c>
      <c r="AH109" s="21">
        <v>68578.41698641087</v>
      </c>
      <c r="AI109" s="21">
        <v>81538.622492288807</v>
      </c>
      <c r="AJ109" s="21">
        <v>93384</v>
      </c>
      <c r="AK109" s="21">
        <v>119661</v>
      </c>
      <c r="AL109" s="21">
        <v>178138</v>
      </c>
      <c r="AM109" s="21">
        <v>173312</v>
      </c>
      <c r="AN109" s="21">
        <v>154221</v>
      </c>
      <c r="AO109" s="21">
        <v>132652</v>
      </c>
      <c r="AP109" s="21">
        <v>114118</v>
      </c>
      <c r="AQ109" s="21">
        <v>47820.861835390184</v>
      </c>
      <c r="AR109" s="21">
        <v>68390</v>
      </c>
      <c r="AS109" s="21">
        <v>24465.111783815712</v>
      </c>
      <c r="AT109" s="21">
        <v>6103.4687296840466</v>
      </c>
      <c r="AU109" s="21">
        <v>7631.35</v>
      </c>
      <c r="AV109" s="21">
        <v>74723.199999999997</v>
      </c>
      <c r="AW109" s="21">
        <v>55874.95</v>
      </c>
      <c r="AX109" s="21">
        <v>28430.15</v>
      </c>
      <c r="AY109" s="21">
        <v>12837.067528517111</v>
      </c>
      <c r="AZ109" s="21">
        <v>24298.860386460037</v>
      </c>
      <c r="BA109" s="21">
        <v>31176.906163579195</v>
      </c>
      <c r="BB109" s="21">
        <v>28695.938383472272</v>
      </c>
      <c r="BC109" s="21">
        <v>-54717.675322352698</v>
      </c>
      <c r="BD109" s="21">
        <v>18528.131829383885</v>
      </c>
      <c r="BE109" s="21">
        <v>10959.048010119983</v>
      </c>
      <c r="BF109" s="21">
        <v>-72488.962</v>
      </c>
      <c r="BG109" s="21">
        <v>6684.2979999999998</v>
      </c>
      <c r="BH109" s="21">
        <v>9121.1139999999996</v>
      </c>
      <c r="BI109" s="21">
        <v>11011.535</v>
      </c>
      <c r="BJ109" s="21">
        <v>14369.945</v>
      </c>
      <c r="BK109" s="21">
        <v>14283.109</v>
      </c>
      <c r="BL109" s="21">
        <v>12961.933999999999</v>
      </c>
      <c r="BM109" s="21">
        <v>11975.264999999999</v>
      </c>
      <c r="BN109" s="21">
        <v>11546.218999999999</v>
      </c>
      <c r="BO109" s="21">
        <v>9383.6319999999996</v>
      </c>
      <c r="BP109" s="21">
        <v>8701.5789999999997</v>
      </c>
      <c r="BQ109" s="21">
        <v>6330.5929999999998</v>
      </c>
      <c r="BR109" s="21">
        <v>5055.1869999999999</v>
      </c>
      <c r="BS109" s="21">
        <v>6469.22</v>
      </c>
      <c r="BT109" s="21">
        <v>5248.9560000000001</v>
      </c>
      <c r="BU109" s="21">
        <v>5584.6093828997555</v>
      </c>
      <c r="BV109" s="21">
        <v>4686.2807232446539</v>
      </c>
      <c r="BW109" s="21">
        <v>3603.1755694215803</v>
      </c>
      <c r="BX109" s="21">
        <v>2329.8135000000002</v>
      </c>
      <c r="BY109" s="21">
        <v>16692.13725</v>
      </c>
      <c r="BZ109" s="21">
        <v>18456.446</v>
      </c>
      <c r="CA109" s="21">
        <v>18037.388999999999</v>
      </c>
      <c r="CB109" s="21">
        <v>17225.492999999999</v>
      </c>
      <c r="CC109" s="21">
        <v>-4764.2920000000004</v>
      </c>
      <c r="CD109" s="21">
        <v>-4266.5330000000004</v>
      </c>
      <c r="CE109" s="21">
        <v>-4944.1450000000004</v>
      </c>
      <c r="CF109" s="21">
        <v>-10778.215</v>
      </c>
      <c r="CG109" s="21">
        <v>-2447.971</v>
      </c>
      <c r="CH109" s="21">
        <v>-2542.0700000000002</v>
      </c>
      <c r="CI109" s="21">
        <v>-1243.04</v>
      </c>
      <c r="CK109" s="15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</row>
    <row r="110" spans="1:110" outlineLevel="1" x14ac:dyDescent="0.2">
      <c r="A110" s="14">
        <v>1</v>
      </c>
      <c r="C110" s="9" t="str">
        <f>"    Analyst Normalized Profitability Metrics"</f>
        <v xml:space="preserve">    Analyst Normalized Profitability Metrics</v>
      </c>
      <c r="D110" s="20"/>
      <c r="E110" s="20"/>
      <c r="F110" s="20"/>
      <c r="G110" s="20"/>
      <c r="H110" s="20"/>
      <c r="I110" s="20"/>
      <c r="J110" s="20"/>
      <c r="K110" s="20"/>
      <c r="L110" s="25"/>
      <c r="M110" s="25" t="s">
        <v>165</v>
      </c>
      <c r="N110" s="25"/>
      <c r="O110" s="25"/>
      <c r="P110" s="25"/>
      <c r="Q110" s="25"/>
      <c r="R110" s="25" t="s">
        <v>165</v>
      </c>
      <c r="S110" s="25" t="s">
        <v>165</v>
      </c>
      <c r="T110" s="25" t="s">
        <v>165</v>
      </c>
      <c r="U110" s="25" t="s">
        <v>165</v>
      </c>
      <c r="V110" s="25" t="s">
        <v>165</v>
      </c>
      <c r="W110" s="25" t="s">
        <v>165</v>
      </c>
      <c r="X110" s="25" t="s">
        <v>165</v>
      </c>
      <c r="Y110" s="25" t="s">
        <v>165</v>
      </c>
      <c r="Z110" s="25" t="s">
        <v>165</v>
      </c>
      <c r="AA110" s="25" t="s">
        <v>165</v>
      </c>
      <c r="AB110" s="25" t="s">
        <v>165</v>
      </c>
      <c r="AC110" s="25" t="s">
        <v>165</v>
      </c>
      <c r="AD110" s="25" t="s">
        <v>165</v>
      </c>
      <c r="AE110" s="25" t="s">
        <v>165</v>
      </c>
      <c r="AF110" s="25" t="s">
        <v>165</v>
      </c>
      <c r="AG110" s="25" t="s">
        <v>165</v>
      </c>
      <c r="AH110" s="25" t="s">
        <v>165</v>
      </c>
      <c r="AI110" s="25" t="s">
        <v>165</v>
      </c>
      <c r="AJ110" s="25" t="s">
        <v>165</v>
      </c>
      <c r="AK110" s="25" t="s">
        <v>165</v>
      </c>
      <c r="AL110" s="25" t="s">
        <v>165</v>
      </c>
      <c r="AM110" s="25" t="s">
        <v>165</v>
      </c>
      <c r="AN110" s="25" t="s">
        <v>165</v>
      </c>
      <c r="AO110" s="25" t="s">
        <v>165</v>
      </c>
      <c r="AP110" s="25" t="s">
        <v>165</v>
      </c>
      <c r="AQ110" s="25" t="s">
        <v>165</v>
      </c>
      <c r="AR110" s="25" t="s">
        <v>165</v>
      </c>
      <c r="AS110" s="25" t="s">
        <v>165</v>
      </c>
      <c r="AT110" s="25" t="s">
        <v>165</v>
      </c>
      <c r="AU110" s="25" t="s">
        <v>165</v>
      </c>
      <c r="AV110" s="25" t="s">
        <v>165</v>
      </c>
      <c r="AW110" s="25" t="s">
        <v>165</v>
      </c>
      <c r="AX110" s="25" t="s">
        <v>165</v>
      </c>
      <c r="AY110" s="25" t="s">
        <v>165</v>
      </c>
      <c r="AZ110" s="25" t="s">
        <v>165</v>
      </c>
      <c r="BA110" s="25" t="s">
        <v>165</v>
      </c>
      <c r="BB110" s="25" t="s">
        <v>165</v>
      </c>
      <c r="BC110" s="25" t="s">
        <v>165</v>
      </c>
      <c r="BD110" s="25" t="s">
        <v>165</v>
      </c>
      <c r="BE110" s="25" t="s">
        <v>165</v>
      </c>
      <c r="BF110" s="25" t="s">
        <v>165</v>
      </c>
      <c r="BG110" s="25" t="s">
        <v>165</v>
      </c>
      <c r="BH110" s="25" t="s">
        <v>165</v>
      </c>
      <c r="BI110" s="25" t="s">
        <v>165</v>
      </c>
      <c r="BJ110" s="25" t="s">
        <v>165</v>
      </c>
      <c r="BK110" s="25" t="s">
        <v>165</v>
      </c>
      <c r="BL110" s="25" t="s">
        <v>165</v>
      </c>
      <c r="BM110" s="25" t="s">
        <v>165</v>
      </c>
      <c r="BN110" s="25" t="s">
        <v>165</v>
      </c>
      <c r="BO110" s="25" t="s">
        <v>165</v>
      </c>
      <c r="BP110" s="25" t="s">
        <v>165</v>
      </c>
      <c r="BQ110" s="25" t="s">
        <v>165</v>
      </c>
      <c r="BR110" s="25" t="s">
        <v>165</v>
      </c>
      <c r="BS110" s="25" t="s">
        <v>165</v>
      </c>
      <c r="BT110" s="25" t="s">
        <v>165</v>
      </c>
      <c r="BU110" s="25" t="s">
        <v>165</v>
      </c>
      <c r="BV110" s="25" t="s">
        <v>165</v>
      </c>
      <c r="BW110" s="25" t="s">
        <v>165</v>
      </c>
      <c r="BX110" s="25" t="s">
        <v>165</v>
      </c>
      <c r="BY110" s="25" t="s">
        <v>165</v>
      </c>
      <c r="BZ110" s="25" t="s">
        <v>165</v>
      </c>
      <c r="CA110" s="25" t="s">
        <v>165</v>
      </c>
      <c r="CB110" s="25" t="s">
        <v>165</v>
      </c>
      <c r="CC110" s="25" t="s">
        <v>165</v>
      </c>
      <c r="CD110" s="25" t="s">
        <v>165</v>
      </c>
      <c r="CE110" s="25" t="s">
        <v>165</v>
      </c>
      <c r="CF110" s="25" t="s">
        <v>165</v>
      </c>
      <c r="CG110" s="25" t="s">
        <v>165</v>
      </c>
      <c r="CH110" s="25" t="s">
        <v>165</v>
      </c>
      <c r="CI110" s="25" t="s">
        <v>165</v>
      </c>
      <c r="CK110" s="15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</row>
    <row r="111" spans="1:110" outlineLevel="2" x14ac:dyDescent="0.2">
      <c r="A111" s="14">
        <v>1</v>
      </c>
      <c r="C111" s="9" t="str">
        <f>"        EBITDA (Analyst Normalized)"</f>
        <v xml:space="preserve">        EBITDA (Analyst Normalized)</v>
      </c>
      <c r="D111" s="17">
        <f>IF(COUNT(M111:CI111)&gt;0,MEDIAN(M111:CI111),"")</f>
        <v>149957.5</v>
      </c>
      <c r="E111" s="17">
        <f>IF(COUNT(M111:CI111)&gt;0,AVERAGE(M111:CI111),"")</f>
        <v>171438.80208333334</v>
      </c>
      <c r="F111" s="17">
        <f>IF(COUNT(M111:CI111)&gt;0,MIN(M111:CI111),"")</f>
        <v>81429.5</v>
      </c>
      <c r="G111" s="17">
        <f>IF(COUNT(M111:CI111)&gt;0,MAX(M111:CI111),"")</f>
        <v>362711.25</v>
      </c>
      <c r="H111" s="17">
        <f>IF(COUNT(M111:CI111)&gt;0,QUARTILE(M111:CI111,1),"")</f>
        <v>119215.75</v>
      </c>
      <c r="I111" s="17">
        <f>IF(COUNT(M111:CI111)&gt;0,QUARTILE(M111:CI111,3),"")</f>
        <v>210958.5</v>
      </c>
      <c r="J111" s="17">
        <f>IF(COUNT(M111:CI111)&gt;1,STDEV(M111:CI111),"")</f>
        <v>74550.931176932427</v>
      </c>
      <c r="K111" s="18">
        <f>IF(COUNT(M111:CI111)&gt;1,STDEV(M111:CI111)/AVERAGE(M111:CI111),"")</f>
        <v>0.43485448026342688</v>
      </c>
      <c r="L111" s="21"/>
      <c r="M111" s="21">
        <v>294574</v>
      </c>
      <c r="N111" s="22">
        <v>362711.25</v>
      </c>
      <c r="O111" s="22">
        <v>130693.75</v>
      </c>
      <c r="P111" s="22">
        <v>81429.5</v>
      </c>
      <c r="Q111" s="22">
        <v>98390.75</v>
      </c>
      <c r="R111" s="21">
        <v>103200</v>
      </c>
      <c r="S111" s="21">
        <v>98034</v>
      </c>
      <c r="T111" s="21">
        <v>82864</v>
      </c>
      <c r="U111" s="21">
        <v>109465</v>
      </c>
      <c r="V111" s="21">
        <v>156415</v>
      </c>
      <c r="W111" s="21">
        <v>206763</v>
      </c>
      <c r="X111" s="21">
        <v>259663</v>
      </c>
      <c r="Y111" s="21">
        <v>268548</v>
      </c>
      <c r="Z111" s="21">
        <v>263018</v>
      </c>
      <c r="AA111" s="21">
        <v>223545</v>
      </c>
      <c r="AB111" s="21">
        <v>203228</v>
      </c>
      <c r="AC111" s="21">
        <v>183467</v>
      </c>
      <c r="AD111" s="21">
        <v>148846</v>
      </c>
      <c r="AE111" s="21">
        <v>134657</v>
      </c>
      <c r="AF111" s="21">
        <v>122466</v>
      </c>
      <c r="AG111" s="21">
        <v>123888</v>
      </c>
      <c r="AH111" s="21">
        <v>134437</v>
      </c>
      <c r="AI111" s="21">
        <v>151069</v>
      </c>
      <c r="AJ111" s="21">
        <v>173159</v>
      </c>
      <c r="AK111" s="21" t="s">
        <v>165</v>
      </c>
      <c r="AL111" s="21" t="s">
        <v>165</v>
      </c>
      <c r="AM111" s="21" t="s">
        <v>165</v>
      </c>
      <c r="AN111" s="21" t="s">
        <v>165</v>
      </c>
      <c r="AO111" s="21" t="s">
        <v>165</v>
      </c>
      <c r="AP111" s="21" t="s">
        <v>165</v>
      </c>
      <c r="AQ111" s="21" t="s">
        <v>165</v>
      </c>
      <c r="AR111" s="21" t="s">
        <v>165</v>
      </c>
      <c r="AS111" s="21" t="s">
        <v>165</v>
      </c>
      <c r="AT111" s="21" t="s">
        <v>165</v>
      </c>
      <c r="AU111" s="21" t="s">
        <v>165</v>
      </c>
      <c r="AV111" s="21" t="s">
        <v>165</v>
      </c>
      <c r="AW111" s="21" t="s">
        <v>165</v>
      </c>
      <c r="AX111" s="21" t="s">
        <v>165</v>
      </c>
      <c r="AY111" s="21" t="s">
        <v>165</v>
      </c>
      <c r="AZ111" s="21" t="s">
        <v>165</v>
      </c>
      <c r="BA111" s="21" t="s">
        <v>165</v>
      </c>
      <c r="BB111" s="21" t="s">
        <v>165</v>
      </c>
      <c r="BC111" s="21" t="s">
        <v>165</v>
      </c>
      <c r="BD111" s="21" t="s">
        <v>165</v>
      </c>
      <c r="BE111" s="21" t="s">
        <v>165</v>
      </c>
      <c r="BF111" s="21" t="s">
        <v>165</v>
      </c>
      <c r="BG111" s="21" t="s">
        <v>165</v>
      </c>
      <c r="BH111" s="21" t="s">
        <v>165</v>
      </c>
      <c r="BI111" s="21" t="s">
        <v>165</v>
      </c>
      <c r="BJ111" s="21" t="s">
        <v>165</v>
      </c>
      <c r="BK111" s="21" t="s">
        <v>165</v>
      </c>
      <c r="BL111" s="21" t="s">
        <v>165</v>
      </c>
      <c r="BM111" s="21" t="s">
        <v>165</v>
      </c>
      <c r="BN111" s="21" t="s">
        <v>165</v>
      </c>
      <c r="BO111" s="21" t="s">
        <v>165</v>
      </c>
      <c r="BP111" s="21" t="s">
        <v>165</v>
      </c>
      <c r="BQ111" s="21" t="s">
        <v>165</v>
      </c>
      <c r="BR111" s="21" t="s">
        <v>165</v>
      </c>
      <c r="BS111" s="21" t="s">
        <v>165</v>
      </c>
      <c r="BT111" s="21" t="s">
        <v>165</v>
      </c>
      <c r="BU111" s="21" t="s">
        <v>165</v>
      </c>
      <c r="BV111" s="21" t="s">
        <v>165</v>
      </c>
      <c r="BW111" s="21" t="s">
        <v>165</v>
      </c>
      <c r="BX111" s="21" t="s">
        <v>165</v>
      </c>
      <c r="BY111" s="21" t="s">
        <v>165</v>
      </c>
      <c r="BZ111" s="21" t="s">
        <v>165</v>
      </c>
      <c r="CA111" s="21" t="s">
        <v>165</v>
      </c>
      <c r="CB111" s="21" t="s">
        <v>165</v>
      </c>
      <c r="CC111" s="21" t="s">
        <v>165</v>
      </c>
      <c r="CD111" s="21" t="s">
        <v>165</v>
      </c>
      <c r="CE111" s="21" t="s">
        <v>165</v>
      </c>
      <c r="CF111" s="21" t="s">
        <v>165</v>
      </c>
      <c r="CG111" s="21" t="s">
        <v>165</v>
      </c>
      <c r="CH111" s="21" t="s">
        <v>165</v>
      </c>
      <c r="CI111" s="21" t="s">
        <v>165</v>
      </c>
      <c r="CK111" s="15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</row>
    <row r="112" spans="1:110" outlineLevel="2" x14ac:dyDescent="0.2">
      <c r="A112" s="14">
        <v>1</v>
      </c>
      <c r="C112" s="9" t="str">
        <f>"        EBIT (Analyst Normalized)"</f>
        <v xml:space="preserve">        EBIT (Analyst Normalized)</v>
      </c>
      <c r="D112" s="17">
        <f>IF(COUNT(M112:CI112)&gt;0,MEDIAN(M112:CI112),"")</f>
        <v>110386</v>
      </c>
      <c r="E112" s="17">
        <f>IF(COUNT(M112:CI112)&gt;0,AVERAGE(M112:CI112),"")</f>
        <v>134673.85416666666</v>
      </c>
      <c r="F112" s="17">
        <f>IF(COUNT(M112:CI112)&gt;0,MIN(M112:CI112),"")</f>
        <v>36337</v>
      </c>
      <c r="G112" s="17">
        <f>IF(COUNT(M112:CI112)&gt;0,MAX(M112:CI112),"")</f>
        <v>332082</v>
      </c>
      <c r="H112" s="17">
        <f>IF(COUNT(M112:CI112)&gt;0,QUARTILE(M112:CI112,1),"")</f>
        <v>85822.375</v>
      </c>
      <c r="I112" s="17">
        <f>IF(COUNT(M112:CI112)&gt;0,QUARTILE(M112:CI112,3),"")</f>
        <v>167247.75</v>
      </c>
      <c r="J112" s="17">
        <f>IF(COUNT(M112:CI112)&gt;1,STDEV(M112:CI112),"")</f>
        <v>73448.877260150955</v>
      </c>
      <c r="K112" s="18">
        <f>IF(COUNT(M112:CI112)&gt;1,STDEV(M112:CI112)/AVERAGE(M112:CI112),"")</f>
        <v>0.54538334641595487</v>
      </c>
      <c r="L112" s="21"/>
      <c r="M112" s="21">
        <v>265359</v>
      </c>
      <c r="N112" s="22">
        <v>332082</v>
      </c>
      <c r="O112" s="22">
        <v>108642.75</v>
      </c>
      <c r="P112" s="22">
        <v>68570.5</v>
      </c>
      <c r="Q112" s="22">
        <v>54939.25</v>
      </c>
      <c r="R112" s="21">
        <v>67886</v>
      </c>
      <c r="S112" s="21">
        <v>57870</v>
      </c>
      <c r="T112" s="21">
        <v>36337</v>
      </c>
      <c r="U112" s="21">
        <v>57664</v>
      </c>
      <c r="V112" s="21">
        <v>103657</v>
      </c>
      <c r="W112" s="21">
        <v>153101</v>
      </c>
      <c r="X112" s="21">
        <v>209450</v>
      </c>
      <c r="Y112" s="21">
        <v>220960</v>
      </c>
      <c r="Z112" s="21">
        <v>219075</v>
      </c>
      <c r="AA112" s="21">
        <v>183018</v>
      </c>
      <c r="AB112" s="21">
        <v>161991</v>
      </c>
      <c r="AC112" s="21">
        <v>142934</v>
      </c>
      <c r="AD112" s="21">
        <v>109870</v>
      </c>
      <c r="AE112" s="21">
        <v>98839</v>
      </c>
      <c r="AF112" s="21">
        <v>91573</v>
      </c>
      <c r="AG112" s="21">
        <v>97054</v>
      </c>
      <c r="AH112" s="21">
        <v>110902</v>
      </c>
      <c r="AI112" s="21">
        <v>128943</v>
      </c>
      <c r="AJ112" s="21">
        <v>151455</v>
      </c>
      <c r="AK112" s="21" t="s">
        <v>165</v>
      </c>
      <c r="AL112" s="21" t="s">
        <v>165</v>
      </c>
      <c r="AM112" s="21" t="s">
        <v>165</v>
      </c>
      <c r="AN112" s="21" t="s">
        <v>165</v>
      </c>
      <c r="AO112" s="21" t="s">
        <v>165</v>
      </c>
      <c r="AP112" s="21" t="s">
        <v>165</v>
      </c>
      <c r="AQ112" s="21" t="s">
        <v>165</v>
      </c>
      <c r="AR112" s="21" t="s">
        <v>165</v>
      </c>
      <c r="AS112" s="21" t="s">
        <v>165</v>
      </c>
      <c r="AT112" s="21" t="s">
        <v>165</v>
      </c>
      <c r="AU112" s="21" t="s">
        <v>165</v>
      </c>
      <c r="AV112" s="21" t="s">
        <v>165</v>
      </c>
      <c r="AW112" s="21" t="s">
        <v>165</v>
      </c>
      <c r="AX112" s="21" t="s">
        <v>165</v>
      </c>
      <c r="AY112" s="21" t="s">
        <v>165</v>
      </c>
      <c r="AZ112" s="21" t="s">
        <v>165</v>
      </c>
      <c r="BA112" s="21" t="s">
        <v>165</v>
      </c>
      <c r="BB112" s="21" t="s">
        <v>165</v>
      </c>
      <c r="BC112" s="21" t="s">
        <v>165</v>
      </c>
      <c r="BD112" s="21" t="s">
        <v>165</v>
      </c>
      <c r="BE112" s="21" t="s">
        <v>165</v>
      </c>
      <c r="BF112" s="21" t="s">
        <v>165</v>
      </c>
      <c r="BG112" s="21" t="s">
        <v>165</v>
      </c>
      <c r="BH112" s="21" t="s">
        <v>165</v>
      </c>
      <c r="BI112" s="21" t="s">
        <v>165</v>
      </c>
      <c r="BJ112" s="21" t="s">
        <v>165</v>
      </c>
      <c r="BK112" s="21" t="s">
        <v>165</v>
      </c>
      <c r="BL112" s="21" t="s">
        <v>165</v>
      </c>
      <c r="BM112" s="21" t="s">
        <v>165</v>
      </c>
      <c r="BN112" s="21" t="s">
        <v>165</v>
      </c>
      <c r="BO112" s="21" t="s">
        <v>165</v>
      </c>
      <c r="BP112" s="21" t="s">
        <v>165</v>
      </c>
      <c r="BQ112" s="21" t="s">
        <v>165</v>
      </c>
      <c r="BR112" s="21" t="s">
        <v>165</v>
      </c>
      <c r="BS112" s="21" t="s">
        <v>165</v>
      </c>
      <c r="BT112" s="21" t="s">
        <v>165</v>
      </c>
      <c r="BU112" s="21" t="s">
        <v>165</v>
      </c>
      <c r="BV112" s="21" t="s">
        <v>165</v>
      </c>
      <c r="BW112" s="21" t="s">
        <v>165</v>
      </c>
      <c r="BX112" s="21" t="s">
        <v>165</v>
      </c>
      <c r="BY112" s="21" t="s">
        <v>165</v>
      </c>
      <c r="BZ112" s="21" t="s">
        <v>165</v>
      </c>
      <c r="CA112" s="21" t="s">
        <v>165</v>
      </c>
      <c r="CB112" s="21" t="s">
        <v>165</v>
      </c>
      <c r="CC112" s="21" t="s">
        <v>165</v>
      </c>
      <c r="CD112" s="21" t="s">
        <v>165</v>
      </c>
      <c r="CE112" s="21" t="s">
        <v>165</v>
      </c>
      <c r="CF112" s="21" t="s">
        <v>165</v>
      </c>
      <c r="CG112" s="21" t="s">
        <v>165</v>
      </c>
      <c r="CH112" s="21" t="s">
        <v>165</v>
      </c>
      <c r="CI112" s="21" t="s">
        <v>165</v>
      </c>
      <c r="CK112" s="15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</row>
    <row r="113" spans="1:110" outlineLevel="2" x14ac:dyDescent="0.2">
      <c r="A113" s="14">
        <v>1</v>
      </c>
      <c r="C113" s="9" t="str">
        <f>"        Net Income (Analyst Normalized)"</f>
        <v xml:space="preserve">        Net Income (Analyst Normalized)</v>
      </c>
      <c r="D113" s="17">
        <f>IF(COUNT(M113:CI113)&gt;0,MEDIAN(M113:CI113),"")</f>
        <v>67868.829998798494</v>
      </c>
      <c r="E113" s="17">
        <f>IF(COUNT(M113:CI113)&gt;0,AVERAGE(M113:CI113),"")</f>
        <v>84685.497411181743</v>
      </c>
      <c r="F113" s="17">
        <f>IF(COUNT(M113:CI113)&gt;0,MIN(M113:CI113),"")</f>
        <v>16422.360001026998</v>
      </c>
      <c r="G113" s="17">
        <f>IF(COUNT(M113:CI113)&gt;0,MAX(M113:CI113),"")</f>
        <v>251836.02750001501</v>
      </c>
      <c r="H113" s="17">
        <f>IF(COUNT(M113:CI113)&gt;0,QUARTILE(M113:CI113,1),"")</f>
        <v>48110.795010886752</v>
      </c>
      <c r="I113" s="17">
        <f>IF(COUNT(M113:CI113)&gt;0,QUARTILE(M113:CI113,3),"")</f>
        <v>101207.11251757375</v>
      </c>
      <c r="J113" s="17">
        <f>IF(COUNT(M113:CI113)&gt;1,STDEV(M113:CI113),"")</f>
        <v>56863.805342074127</v>
      </c>
      <c r="K113" s="18">
        <f>IF(COUNT(M113:CI113)&gt;1,STDEV(M113:CI113)/AVERAGE(M113:CI113),"")</f>
        <v>0.67147040615440634</v>
      </c>
      <c r="L113" s="21"/>
      <c r="M113" s="21">
        <v>202909</v>
      </c>
      <c r="N113" s="22">
        <v>251836.02750001501</v>
      </c>
      <c r="O113" s="22">
        <v>69498.559997632998</v>
      </c>
      <c r="P113" s="22">
        <v>37843.874998443251</v>
      </c>
      <c r="Q113" s="22">
        <v>29333.995004657751</v>
      </c>
      <c r="R113" s="21">
        <v>39092.480009466999</v>
      </c>
      <c r="S113" s="21">
        <v>30655.040004477003</v>
      </c>
      <c r="T113" s="21">
        <v>16422.360001026998</v>
      </c>
      <c r="U113" s="21">
        <v>31166.100003660002</v>
      </c>
      <c r="V113" s="21">
        <v>62774.400013922997</v>
      </c>
      <c r="W113" s="21">
        <v>95497.250045567009</v>
      </c>
      <c r="X113" s="21">
        <v>134151.95005699899</v>
      </c>
      <c r="Y113" s="21">
        <v>141887.70005494202</v>
      </c>
      <c r="Z113" s="21">
        <v>139682.75004407699</v>
      </c>
      <c r="AA113" s="21">
        <v>115953.950010031</v>
      </c>
      <c r="AB113" s="21">
        <v>96291.500020088002</v>
      </c>
      <c r="AC113" s="21">
        <v>82705.100021423001</v>
      </c>
      <c r="AD113" s="21">
        <v>60402.250030070994</v>
      </c>
      <c r="AE113" s="21">
        <v>53012.200029970001</v>
      </c>
      <c r="AF113" s="21">
        <v>51116.900011359998</v>
      </c>
      <c r="AG113" s="21">
        <v>55457.750009745003</v>
      </c>
      <c r="AH113" s="21">
        <v>66239.099999964004</v>
      </c>
      <c r="AI113" s="21">
        <v>78269.199999927994</v>
      </c>
      <c r="AJ113" s="21">
        <v>90252.500000893997</v>
      </c>
      <c r="AK113" s="21" t="s">
        <v>165</v>
      </c>
      <c r="AL113" s="21" t="s">
        <v>165</v>
      </c>
      <c r="AM113" s="21" t="s">
        <v>165</v>
      </c>
      <c r="AN113" s="21" t="s">
        <v>165</v>
      </c>
      <c r="AO113" s="21" t="s">
        <v>165</v>
      </c>
      <c r="AP113" s="21" t="s">
        <v>165</v>
      </c>
      <c r="AQ113" s="21" t="s">
        <v>165</v>
      </c>
      <c r="AR113" s="21" t="s">
        <v>165</v>
      </c>
      <c r="AS113" s="21" t="s">
        <v>165</v>
      </c>
      <c r="AT113" s="21" t="s">
        <v>165</v>
      </c>
      <c r="AU113" s="21" t="s">
        <v>165</v>
      </c>
      <c r="AV113" s="21" t="s">
        <v>165</v>
      </c>
      <c r="AW113" s="21" t="s">
        <v>165</v>
      </c>
      <c r="AX113" s="21" t="s">
        <v>165</v>
      </c>
      <c r="AY113" s="21" t="s">
        <v>165</v>
      </c>
      <c r="AZ113" s="21" t="s">
        <v>165</v>
      </c>
      <c r="BA113" s="21" t="s">
        <v>165</v>
      </c>
      <c r="BB113" s="21" t="s">
        <v>165</v>
      </c>
      <c r="BC113" s="21" t="s">
        <v>165</v>
      </c>
      <c r="BD113" s="21" t="s">
        <v>165</v>
      </c>
      <c r="BE113" s="21" t="s">
        <v>165</v>
      </c>
      <c r="BF113" s="21" t="s">
        <v>165</v>
      </c>
      <c r="BG113" s="21" t="s">
        <v>165</v>
      </c>
      <c r="BH113" s="21" t="s">
        <v>165</v>
      </c>
      <c r="BI113" s="21" t="s">
        <v>165</v>
      </c>
      <c r="BJ113" s="21" t="s">
        <v>165</v>
      </c>
      <c r="BK113" s="21" t="s">
        <v>165</v>
      </c>
      <c r="BL113" s="21" t="s">
        <v>165</v>
      </c>
      <c r="BM113" s="21" t="s">
        <v>165</v>
      </c>
      <c r="BN113" s="21" t="s">
        <v>165</v>
      </c>
      <c r="BO113" s="21" t="s">
        <v>165</v>
      </c>
      <c r="BP113" s="21" t="s">
        <v>165</v>
      </c>
      <c r="BQ113" s="21" t="s">
        <v>165</v>
      </c>
      <c r="BR113" s="21" t="s">
        <v>165</v>
      </c>
      <c r="BS113" s="21" t="s">
        <v>165</v>
      </c>
      <c r="BT113" s="21" t="s">
        <v>165</v>
      </c>
      <c r="BU113" s="21" t="s">
        <v>165</v>
      </c>
      <c r="BV113" s="21" t="s">
        <v>165</v>
      </c>
      <c r="BW113" s="21" t="s">
        <v>165</v>
      </c>
      <c r="BX113" s="21" t="s">
        <v>165</v>
      </c>
      <c r="BY113" s="21" t="s">
        <v>165</v>
      </c>
      <c r="BZ113" s="21" t="s">
        <v>165</v>
      </c>
      <c r="CA113" s="21" t="s">
        <v>165</v>
      </c>
      <c r="CB113" s="21" t="s">
        <v>165</v>
      </c>
      <c r="CC113" s="21" t="s">
        <v>165</v>
      </c>
      <c r="CD113" s="21" t="s">
        <v>165</v>
      </c>
      <c r="CE113" s="21" t="s">
        <v>165</v>
      </c>
      <c r="CF113" s="21" t="s">
        <v>165</v>
      </c>
      <c r="CG113" s="21" t="s">
        <v>165</v>
      </c>
      <c r="CH113" s="21" t="s">
        <v>165</v>
      </c>
      <c r="CI113" s="21" t="s">
        <v>165</v>
      </c>
      <c r="CK113" s="15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</row>
    <row r="114" spans="1:110" outlineLevel="2" x14ac:dyDescent="0.2">
      <c r="A114" s="14">
        <v>1</v>
      </c>
      <c r="C114" s="9" t="str">
        <f>"        EPS (Analyst Normalized)"</f>
        <v xml:space="preserve">        EPS (Analyst Normalized)</v>
      </c>
      <c r="D114" s="18">
        <f>IF(COUNT(M114:CI114)&gt;0,MEDIAN(M114:CI114),"")</f>
        <v>1.207430875</v>
      </c>
      <c r="E114" s="18">
        <f>IF(COUNT(M114:CI114)&gt;0,AVERAGE(M114:CI114),"")</f>
        <v>1.5367695937499997</v>
      </c>
      <c r="F114" s="18">
        <f>IF(COUNT(M114:CI114)&gt;0,MIN(M114:CI114),"")</f>
        <v>0.30250099999999996</v>
      </c>
      <c r="G114" s="18">
        <f>IF(COUNT(M114:CI114)&gt;0,MAX(M114:CI114),"")</f>
        <v>4.7079205000000002</v>
      </c>
      <c r="H114" s="18">
        <f>IF(COUNT(M114:CI114)&gt;0,QUARTILE(M114:CI114,1),"")</f>
        <v>0.86916475000000004</v>
      </c>
      <c r="I114" s="18">
        <f>IF(COUNT(M114:CI114)&gt;0,QUARTILE(M114:CI114,3),"")</f>
        <v>1.7943989999999999</v>
      </c>
      <c r="J114" s="18">
        <f>IF(COUNT(M114:CI114)&gt;1,STDEV(M114:CI114),"")</f>
        <v>1.0928284446500562</v>
      </c>
      <c r="K114" s="18">
        <f>IF(COUNT(M114:CI114)&gt;1,STDEV(M114:CI114)/AVERAGE(M114:CI114),"")</f>
        <v>0.71112055385176798</v>
      </c>
      <c r="L114" s="22"/>
      <c r="M114" s="22">
        <v>4.2099629999999992</v>
      </c>
      <c r="N114" s="22">
        <v>4.7079205000000002</v>
      </c>
      <c r="O114" s="22">
        <v>1.24490575</v>
      </c>
      <c r="P114" s="22">
        <v>0.68296224999999999</v>
      </c>
      <c r="Q114" s="22">
        <v>0.53449075000000001</v>
      </c>
      <c r="R114" s="22">
        <v>0.70888599999999991</v>
      </c>
      <c r="S114" s="22">
        <v>0.5594880000000001</v>
      </c>
      <c r="T114" s="22">
        <v>0.30250099999999996</v>
      </c>
      <c r="U114" s="22">
        <v>0.56708800000000004</v>
      </c>
      <c r="V114" s="22">
        <v>1.1165390000000002</v>
      </c>
      <c r="W114" s="22">
        <v>1.686714</v>
      </c>
      <c r="X114" s="22">
        <v>2.368992</v>
      </c>
      <c r="Y114" s="22">
        <v>2.4949600000000003</v>
      </c>
      <c r="Z114" s="22">
        <v>2.4642559999999998</v>
      </c>
      <c r="AA114" s="22">
        <v>2.0492819999999998</v>
      </c>
      <c r="AB114" s="22">
        <v>1.709438</v>
      </c>
      <c r="AC114" s="22">
        <v>1.4821229999999999</v>
      </c>
      <c r="AD114" s="22">
        <v>1.0893539999999999</v>
      </c>
      <c r="AE114" s="22">
        <v>0.95915800000000007</v>
      </c>
      <c r="AF114" s="22">
        <v>0.92259100000000005</v>
      </c>
      <c r="AG114" s="22">
        <v>0.98938799999999993</v>
      </c>
      <c r="AH114" s="22">
        <v>1.169956</v>
      </c>
      <c r="AI114" s="22">
        <v>1.3598810000000001</v>
      </c>
      <c r="AJ114" s="22">
        <v>1.501633</v>
      </c>
      <c r="AK114" s="22" t="s">
        <v>165</v>
      </c>
      <c r="AL114" s="22" t="s">
        <v>165</v>
      </c>
      <c r="AM114" s="22" t="s">
        <v>165</v>
      </c>
      <c r="AN114" s="22" t="s">
        <v>165</v>
      </c>
      <c r="AO114" s="22" t="s">
        <v>165</v>
      </c>
      <c r="AP114" s="22" t="s">
        <v>165</v>
      </c>
      <c r="AQ114" s="22" t="s">
        <v>165</v>
      </c>
      <c r="AR114" s="22" t="s">
        <v>165</v>
      </c>
      <c r="AS114" s="22" t="s">
        <v>165</v>
      </c>
      <c r="AT114" s="22" t="s">
        <v>165</v>
      </c>
      <c r="AU114" s="22" t="s">
        <v>165</v>
      </c>
      <c r="AV114" s="22" t="s">
        <v>165</v>
      </c>
      <c r="AW114" s="22" t="s">
        <v>165</v>
      </c>
      <c r="AX114" s="22" t="s">
        <v>165</v>
      </c>
      <c r="AY114" s="22" t="s">
        <v>165</v>
      </c>
      <c r="AZ114" s="22" t="s">
        <v>165</v>
      </c>
      <c r="BA114" s="22" t="s">
        <v>165</v>
      </c>
      <c r="BB114" s="22" t="s">
        <v>165</v>
      </c>
      <c r="BC114" s="22" t="s">
        <v>165</v>
      </c>
      <c r="BD114" s="22" t="s">
        <v>165</v>
      </c>
      <c r="BE114" s="22" t="s">
        <v>165</v>
      </c>
      <c r="BF114" s="22" t="s">
        <v>165</v>
      </c>
      <c r="BG114" s="22" t="s">
        <v>165</v>
      </c>
      <c r="BH114" s="22" t="s">
        <v>165</v>
      </c>
      <c r="BI114" s="22" t="s">
        <v>165</v>
      </c>
      <c r="BJ114" s="22" t="s">
        <v>165</v>
      </c>
      <c r="BK114" s="22" t="s">
        <v>165</v>
      </c>
      <c r="BL114" s="22" t="s">
        <v>165</v>
      </c>
      <c r="BM114" s="22" t="s">
        <v>165</v>
      </c>
      <c r="BN114" s="22" t="s">
        <v>165</v>
      </c>
      <c r="BO114" s="22" t="s">
        <v>165</v>
      </c>
      <c r="BP114" s="22" t="s">
        <v>165</v>
      </c>
      <c r="BQ114" s="22" t="s">
        <v>165</v>
      </c>
      <c r="BR114" s="22" t="s">
        <v>165</v>
      </c>
      <c r="BS114" s="22" t="s">
        <v>165</v>
      </c>
      <c r="BT114" s="22" t="s">
        <v>165</v>
      </c>
      <c r="BU114" s="22" t="s">
        <v>165</v>
      </c>
      <c r="BV114" s="22" t="s">
        <v>165</v>
      </c>
      <c r="BW114" s="22" t="s">
        <v>165</v>
      </c>
      <c r="BX114" s="22" t="s">
        <v>165</v>
      </c>
      <c r="BY114" s="22" t="s">
        <v>165</v>
      </c>
      <c r="BZ114" s="22" t="s">
        <v>165</v>
      </c>
      <c r="CA114" s="22" t="s">
        <v>165</v>
      </c>
      <c r="CB114" s="22" t="s">
        <v>165</v>
      </c>
      <c r="CC114" s="22" t="s">
        <v>165</v>
      </c>
      <c r="CD114" s="22" t="s">
        <v>165</v>
      </c>
      <c r="CE114" s="22" t="s">
        <v>165</v>
      </c>
      <c r="CF114" s="22" t="s">
        <v>165</v>
      </c>
      <c r="CG114" s="22" t="s">
        <v>165</v>
      </c>
      <c r="CH114" s="22" t="s">
        <v>165</v>
      </c>
      <c r="CI114" s="22" t="s">
        <v>165</v>
      </c>
      <c r="CK114" s="15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</row>
    <row r="115" spans="1:110" x14ac:dyDescent="0.2">
      <c r="A115" s="14"/>
      <c r="CK115" s="15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</row>
    <row r="116" spans="1:110" x14ac:dyDescent="0.2">
      <c r="A116" s="14"/>
      <c r="CK116" s="15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</row>
    <row r="117" spans="1:110" x14ac:dyDescent="0.2">
      <c r="A117" s="14"/>
      <c r="C117" s="89" t="s">
        <v>86</v>
      </c>
      <c r="CK117" s="15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</row>
    <row r="118" spans="1:110" x14ac:dyDescent="0.2">
      <c r="A118" s="14"/>
      <c r="C118" s="89" t="s">
        <v>10</v>
      </c>
      <c r="CK118" s="15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</row>
    <row r="119" spans="1:110" x14ac:dyDescent="0.2">
      <c r="A119" s="14"/>
      <c r="CK119" s="15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</row>
    <row r="120" spans="1:110" x14ac:dyDescent="0.2">
      <c r="A120" s="1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60:M62 R60:CI62 N60:Q63 D10:CI10 D18:CI18 D26:CI27 D91:CI91 D42:CI52 D56:CI56">
    <cfRule type="expression" dxfId="25" priority="1">
      <formula>NOT(SUBTOTAL(109,$A11)=$A11)</formula>
    </cfRule>
  </conditionalFormatting>
  <conditionalFormatting sqref="D114:M114 R114:CI114">
    <cfRule type="expression" dxfId="24" priority="3">
      <formula>NOT(SUBTOTAL(109,#REF!)=#REF!)</formula>
    </cfRule>
  </conditionalFormatting>
  <hyperlinks>
    <hyperlink ref="M5" r:id="rId1" xr:uid="{00000000-0004-0000-0200-000000000000}"/>
    <hyperlink ref="R5" r:id="rId2" xr:uid="{00000000-0004-0000-0200-00000E000000}"/>
    <hyperlink ref="S5" r:id="rId3" xr:uid="{00000000-0004-0000-0200-00000F000000}"/>
    <hyperlink ref="T5" r:id="rId4" xr:uid="{00000000-0004-0000-0200-000010000000}"/>
    <hyperlink ref="U5" r:id="rId5" xr:uid="{00000000-0004-0000-0200-000011000000}"/>
    <hyperlink ref="V5" r:id="rId6" xr:uid="{00000000-0004-0000-0200-000012000000}"/>
    <hyperlink ref="W5" r:id="rId7" xr:uid="{00000000-0004-0000-0200-000013000000}"/>
    <hyperlink ref="X5" r:id="rId8" xr:uid="{00000000-0004-0000-0200-000014000000}"/>
    <hyperlink ref="Y5" r:id="rId9" xr:uid="{00000000-0004-0000-0200-000015000000}"/>
    <hyperlink ref="Z5" r:id="rId10" xr:uid="{00000000-0004-0000-0200-000016000000}"/>
    <hyperlink ref="AA5" r:id="rId11" xr:uid="{00000000-0004-0000-0200-000017000000}"/>
    <hyperlink ref="AB5" r:id="rId12" xr:uid="{00000000-0004-0000-0200-000018000000}"/>
    <hyperlink ref="AC5" r:id="rId13" xr:uid="{00000000-0004-0000-0200-000019000000}"/>
    <hyperlink ref="AD5" r:id="rId14" xr:uid="{00000000-0004-0000-0200-00001A000000}"/>
    <hyperlink ref="AE5" r:id="rId15" xr:uid="{00000000-0004-0000-0200-00001B000000}"/>
    <hyperlink ref="AF5" r:id="rId16" xr:uid="{00000000-0004-0000-0200-00001C000000}"/>
    <hyperlink ref="AG5" r:id="rId17" xr:uid="{00000000-0004-0000-0200-00001D000000}"/>
    <hyperlink ref="AH5" r:id="rId18" xr:uid="{00000000-0004-0000-0200-00001E000000}"/>
    <hyperlink ref="AI5" r:id="rId19" xr:uid="{00000000-0004-0000-0200-00001F000000}"/>
    <hyperlink ref="AJ5" r:id="rId20" xr:uid="{00000000-0004-0000-0200-000020000000}"/>
    <hyperlink ref="AK5" r:id="rId21" xr:uid="{00000000-0004-0000-0200-000021000000}"/>
    <hyperlink ref="AL5" r:id="rId22" xr:uid="{00000000-0004-0000-0200-000022000000}"/>
    <hyperlink ref="AM5" r:id="rId23" xr:uid="{00000000-0004-0000-0200-000023000000}"/>
    <hyperlink ref="AN5" r:id="rId24" xr:uid="{00000000-0004-0000-0200-000024000000}"/>
    <hyperlink ref="AO5" r:id="rId25" xr:uid="{00000000-0004-0000-0200-000025000000}"/>
    <hyperlink ref="AP5" r:id="rId26" xr:uid="{00000000-0004-0000-0200-000026000000}"/>
    <hyperlink ref="AQ5" r:id="rId27" xr:uid="{00000000-0004-0000-0200-000027000000}"/>
    <hyperlink ref="AR5" r:id="rId28" xr:uid="{00000000-0004-0000-0200-000028000000}"/>
    <hyperlink ref="AS5" r:id="rId29" xr:uid="{00000000-0004-0000-0200-000029000000}"/>
    <hyperlink ref="AT5" r:id="rId30" xr:uid="{00000000-0004-0000-0200-00002A000000}"/>
    <hyperlink ref="AU5" r:id="rId31" xr:uid="{00000000-0004-0000-0200-00002B000000}"/>
    <hyperlink ref="AV5" r:id="rId32" xr:uid="{00000000-0004-0000-0200-00002C000000}"/>
    <hyperlink ref="AW5" r:id="rId33" xr:uid="{00000000-0004-0000-0200-00002D000000}"/>
    <hyperlink ref="AX5" r:id="rId34" xr:uid="{00000000-0004-0000-0200-00002E000000}"/>
    <hyperlink ref="AY5" r:id="rId35" xr:uid="{00000000-0004-0000-0200-00002F000000}"/>
    <hyperlink ref="AZ5" r:id="rId36" xr:uid="{00000000-0004-0000-0200-000030000000}"/>
    <hyperlink ref="BA5" r:id="rId37" xr:uid="{00000000-0004-0000-0200-000031000000}"/>
    <hyperlink ref="BB5" r:id="rId38" xr:uid="{00000000-0004-0000-0200-000032000000}"/>
    <hyperlink ref="BC5" r:id="rId39" xr:uid="{00000000-0004-0000-0200-000033000000}"/>
    <hyperlink ref="BD5" r:id="rId40" xr:uid="{00000000-0004-0000-0200-000034000000}"/>
    <hyperlink ref="BE5" r:id="rId41" xr:uid="{00000000-0004-0000-0200-000035000000}"/>
    <hyperlink ref="BF5" r:id="rId42" xr:uid="{00000000-0004-0000-0200-000036000000}"/>
    <hyperlink ref="BG5" r:id="rId43" xr:uid="{00000000-0004-0000-0200-000037000000}"/>
    <hyperlink ref="BH5" r:id="rId44" xr:uid="{00000000-0004-0000-0200-000038000000}"/>
    <hyperlink ref="BI5" r:id="rId45" xr:uid="{00000000-0004-0000-0200-000039000000}"/>
    <hyperlink ref="BJ5" r:id="rId46" xr:uid="{00000000-0004-0000-0200-00003A000000}"/>
    <hyperlink ref="BK5" r:id="rId47" xr:uid="{00000000-0004-0000-0200-00003B000000}"/>
    <hyperlink ref="BL5" r:id="rId48" xr:uid="{00000000-0004-0000-0200-00003C000000}"/>
    <hyperlink ref="BM5" r:id="rId49" xr:uid="{00000000-0004-0000-0200-00003D000000}"/>
    <hyperlink ref="BN5" r:id="rId50" xr:uid="{00000000-0004-0000-0200-00003E000000}"/>
    <hyperlink ref="BO5" r:id="rId51" xr:uid="{00000000-0004-0000-0200-00003F000000}"/>
    <hyperlink ref="BP5" r:id="rId52" xr:uid="{00000000-0004-0000-0200-000040000000}"/>
    <hyperlink ref="BQ5" r:id="rId53" xr:uid="{00000000-0004-0000-0200-000041000000}"/>
    <hyperlink ref="BR5" r:id="rId54" xr:uid="{00000000-0004-0000-0200-000042000000}"/>
    <hyperlink ref="BS5" r:id="rId55" xr:uid="{00000000-0004-0000-0200-000043000000}"/>
    <hyperlink ref="BT5" r:id="rId56" xr:uid="{00000000-0004-0000-0200-000044000000}"/>
    <hyperlink ref="BU5" r:id="rId57" xr:uid="{00000000-0004-0000-0200-000045000000}"/>
    <hyperlink ref="BV5" r:id="rId58" xr:uid="{00000000-0004-0000-0200-000046000000}"/>
    <hyperlink ref="BW5" r:id="rId59" xr:uid="{00000000-0004-0000-0200-000047000000}"/>
    <hyperlink ref="BX5" r:id="rId60" xr:uid="{00000000-0004-0000-0200-000048000000}"/>
    <hyperlink ref="BY5" r:id="rId61" xr:uid="{00000000-0004-0000-0200-000049000000}"/>
    <hyperlink ref="BZ5" r:id="rId62" xr:uid="{00000000-0004-0000-0200-00004A000000}"/>
    <hyperlink ref="CA5" r:id="rId63" xr:uid="{00000000-0004-0000-0200-00004B000000}"/>
    <hyperlink ref="CB5" r:id="rId64" xr:uid="{00000000-0004-0000-0200-00004C000000}"/>
    <hyperlink ref="CC5" r:id="rId65" xr:uid="{00000000-0004-0000-0200-00004D000000}"/>
    <hyperlink ref="CD5" r:id="rId66" xr:uid="{00000000-0004-0000-0200-00004E000000}"/>
    <hyperlink ref="CE5" r:id="rId67" xr:uid="{00000000-0004-0000-0200-00004F000000}"/>
    <hyperlink ref="CF5" r:id="rId68" xr:uid="{00000000-0004-0000-0200-000050000000}"/>
    <hyperlink ref="CG5" r:id="rId69" xr:uid="{00000000-0004-0000-0200-000051000000}"/>
    <hyperlink ref="CH5" r:id="rId70" xr:uid="{00000000-0004-0000-0200-000052000000}"/>
    <hyperlink ref="CI5" r:id="rId71" xr:uid="{00000000-0004-0000-0200-000053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LX238"/>
  <sheetViews>
    <sheetView showGridLines="0" topLeftCell="A107" zoomScale="110" zoomScaleNormal="110" workbookViewId="0">
      <selection activeCell="N165" sqref="N165"/>
    </sheetView>
  </sheetViews>
  <sheetFormatPr baseColWidth="10" defaultColWidth="8.83203125" defaultRowHeight="15" outlineLevelRow="6" outlineLevelCol="1" x14ac:dyDescent="0.2"/>
  <cols>
    <col min="1" max="1" width="1" style="1" customWidth="1"/>
    <col min="2" max="2" width="2" style="1" customWidth="1"/>
    <col min="3" max="3" width="50.6640625" style="1" customWidth="1"/>
    <col min="4" max="10" width="12.6640625" style="1" hidden="1" customWidth="1" outlineLevel="1"/>
    <col min="11" max="11" width="10.6640625" style="1" hidden="1" customWidth="1" outlineLevel="1" collapsed="1"/>
    <col min="12" max="12" width="2.6640625" style="1" customWidth="1" collapsed="1"/>
    <col min="13" max="13" width="14.6640625" style="1" customWidth="1" collapsed="1"/>
    <col min="14" max="17" width="14.6640625" style="1" customWidth="1"/>
    <col min="18" max="83" width="14.6640625" style="1" customWidth="1" collapsed="1"/>
    <col min="84" max="84" width="2" style="1" customWidth="1"/>
    <col min="85" max="1012" width="14.6640625" style="1" customWidth="1" collapsed="1"/>
  </cols>
  <sheetData>
    <row r="1" spans="1:106" ht="6.5" customHeight="1" x14ac:dyDescent="0.2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</row>
    <row r="2" spans="1:106" ht="39.75" customHeight="1" x14ac:dyDescent="0.2">
      <c r="A2" s="14"/>
      <c r="CG2" s="15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</row>
    <row r="3" spans="1:106" ht="18.75" customHeight="1" x14ac:dyDescent="0.2">
      <c r="A3" s="14"/>
      <c r="C3" s="6" t="s">
        <v>167</v>
      </c>
      <c r="CG3" s="15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</row>
    <row r="4" spans="1:106" ht="21" x14ac:dyDescent="0.25">
      <c r="A4" s="14"/>
      <c r="C4" s="7" t="s">
        <v>91</v>
      </c>
      <c r="D4" s="26" t="s">
        <v>1</v>
      </c>
      <c r="E4" s="91"/>
      <c r="F4" s="91"/>
      <c r="G4" s="91"/>
      <c r="H4" s="91"/>
      <c r="I4" s="91"/>
      <c r="J4" s="91"/>
      <c r="K4" s="91"/>
      <c r="CG4" s="15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</row>
    <row r="5" spans="1:106" x14ac:dyDescent="0.2">
      <c r="A5" s="14"/>
      <c r="C5" s="7" t="s">
        <v>92</v>
      </c>
      <c r="D5" s="157" t="s">
        <v>2</v>
      </c>
      <c r="E5" s="157" t="s">
        <v>3</v>
      </c>
      <c r="F5" s="157" t="s">
        <v>4</v>
      </c>
      <c r="G5" s="157" t="s">
        <v>5</v>
      </c>
      <c r="H5" s="157" t="s">
        <v>6</v>
      </c>
      <c r="I5" s="157" t="s">
        <v>7</v>
      </c>
      <c r="J5" s="157" t="s">
        <v>8</v>
      </c>
      <c r="K5" s="157" t="s">
        <v>9</v>
      </c>
      <c r="M5" s="32" t="s">
        <v>94</v>
      </c>
      <c r="N5" s="32" t="s">
        <v>168</v>
      </c>
      <c r="O5" s="32" t="s">
        <v>169</v>
      </c>
      <c r="P5" s="32" t="s">
        <v>170</v>
      </c>
      <c r="Q5" s="32" t="s">
        <v>171</v>
      </c>
      <c r="R5" s="32" t="s">
        <v>99</v>
      </c>
      <c r="S5" s="32" t="s">
        <v>100</v>
      </c>
      <c r="T5" s="32" t="s">
        <v>101</v>
      </c>
      <c r="U5" s="32" t="s">
        <v>102</v>
      </c>
      <c r="V5" s="32" t="s">
        <v>103</v>
      </c>
      <c r="W5" s="32" t="s">
        <v>104</v>
      </c>
      <c r="X5" s="32" t="s">
        <v>105</v>
      </c>
      <c r="Y5" s="32" t="s">
        <v>106</v>
      </c>
      <c r="Z5" s="32" t="s">
        <v>107</v>
      </c>
      <c r="AA5" s="32" t="s">
        <v>108</v>
      </c>
      <c r="AB5" s="32" t="s">
        <v>109</v>
      </c>
      <c r="AC5" s="32" t="s">
        <v>110</v>
      </c>
      <c r="AD5" s="32" t="s">
        <v>111</v>
      </c>
      <c r="AE5" s="32" t="s">
        <v>112</v>
      </c>
      <c r="AF5" s="32" t="s">
        <v>113</v>
      </c>
      <c r="AG5" s="32" t="s">
        <v>114</v>
      </c>
      <c r="AH5" s="32" t="s">
        <v>115</v>
      </c>
      <c r="AI5" s="32" t="s">
        <v>116</v>
      </c>
      <c r="AJ5" s="32" t="s">
        <v>117</v>
      </c>
      <c r="AK5" s="32" t="s">
        <v>118</v>
      </c>
      <c r="AL5" s="32" t="s">
        <v>119</v>
      </c>
      <c r="AM5" s="32" t="s">
        <v>120</v>
      </c>
      <c r="AN5" s="32" t="s">
        <v>121</v>
      </c>
      <c r="AO5" s="32" t="s">
        <v>122</v>
      </c>
      <c r="AP5" s="32" t="s">
        <v>123</v>
      </c>
      <c r="AQ5" s="32" t="s">
        <v>124</v>
      </c>
      <c r="AR5" s="32" t="s">
        <v>125</v>
      </c>
      <c r="AS5" s="32" t="s">
        <v>126</v>
      </c>
      <c r="AT5" s="32" t="s">
        <v>127</v>
      </c>
      <c r="AU5" s="32" t="s">
        <v>128</v>
      </c>
      <c r="AV5" s="32" t="s">
        <v>129</v>
      </c>
      <c r="AW5" s="32" t="s">
        <v>130</v>
      </c>
      <c r="AX5" s="32" t="s">
        <v>131</v>
      </c>
      <c r="AY5" s="32" t="s">
        <v>132</v>
      </c>
      <c r="AZ5" s="32" t="s">
        <v>133</v>
      </c>
      <c r="BA5" s="32" t="s">
        <v>134</v>
      </c>
      <c r="BB5" s="32" t="s">
        <v>135</v>
      </c>
      <c r="BC5" s="32" t="s">
        <v>136</v>
      </c>
      <c r="BD5" s="32" t="s">
        <v>137</v>
      </c>
      <c r="BE5" s="32" t="s">
        <v>138</v>
      </c>
      <c r="BF5" s="32" t="s">
        <v>139</v>
      </c>
      <c r="BG5" s="32" t="s">
        <v>140</v>
      </c>
      <c r="BH5" s="32" t="s">
        <v>141</v>
      </c>
      <c r="BI5" s="32" t="s">
        <v>142</v>
      </c>
      <c r="BJ5" s="32" t="s">
        <v>143</v>
      </c>
      <c r="BK5" s="32" t="s">
        <v>144</v>
      </c>
      <c r="BL5" s="32" t="s">
        <v>145</v>
      </c>
      <c r="BM5" s="32" t="s">
        <v>146</v>
      </c>
      <c r="BN5" s="32" t="s">
        <v>147</v>
      </c>
      <c r="BO5" s="32" t="s">
        <v>148</v>
      </c>
      <c r="BP5" s="32" t="s">
        <v>149</v>
      </c>
      <c r="BQ5" s="32" t="s">
        <v>150</v>
      </c>
      <c r="BR5" s="32" t="s">
        <v>151</v>
      </c>
      <c r="BS5" s="32" t="s">
        <v>152</v>
      </c>
      <c r="BT5" s="32" t="s">
        <v>153</v>
      </c>
      <c r="BU5" s="32" t="s">
        <v>154</v>
      </c>
      <c r="BV5" s="32" t="s">
        <v>155</v>
      </c>
      <c r="BW5" s="32" t="s">
        <v>156</v>
      </c>
      <c r="BX5" s="32" t="s">
        <v>157</v>
      </c>
      <c r="BY5" s="32" t="s">
        <v>158</v>
      </c>
      <c r="BZ5" s="32" t="s">
        <v>159</v>
      </c>
      <c r="CA5" s="32" t="s">
        <v>160</v>
      </c>
      <c r="CB5" s="32" t="s">
        <v>161</v>
      </c>
      <c r="CC5" s="32" t="s">
        <v>162</v>
      </c>
      <c r="CD5" s="32" t="s">
        <v>163</v>
      </c>
      <c r="CE5" s="32" t="s">
        <v>164</v>
      </c>
      <c r="CG5" s="15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</row>
    <row r="6" spans="1:106" x14ac:dyDescent="0.2">
      <c r="A6" s="14"/>
      <c r="D6" s="158"/>
      <c r="E6" s="158"/>
      <c r="F6" s="158"/>
      <c r="G6" s="158"/>
      <c r="H6" s="158"/>
      <c r="I6" s="158"/>
      <c r="J6" s="158"/>
      <c r="K6" s="158"/>
      <c r="CG6" s="15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</row>
    <row r="7" spans="1:106" x14ac:dyDescent="0.2">
      <c r="A7" s="14"/>
      <c r="C7" s="8" t="s">
        <v>93</v>
      </c>
      <c r="D7" s="91"/>
      <c r="E7" s="91"/>
      <c r="F7" s="91"/>
      <c r="G7" s="91"/>
      <c r="H7" s="91"/>
      <c r="I7" s="91"/>
      <c r="J7" s="91"/>
      <c r="K7" s="91"/>
      <c r="CG7" s="15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</row>
    <row r="8" spans="1:106" x14ac:dyDescent="0.2">
      <c r="A8" s="14"/>
      <c r="D8" s="91"/>
      <c r="E8" s="91"/>
      <c r="F8" s="91"/>
      <c r="G8" s="91"/>
      <c r="H8" s="91"/>
      <c r="I8" s="91"/>
      <c r="J8" s="91"/>
      <c r="K8" s="91"/>
      <c r="CG8" s="15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</row>
    <row r="9" spans="1:106" x14ac:dyDescent="0.2">
      <c r="A9" s="14"/>
      <c r="D9" s="91"/>
      <c r="E9" s="91"/>
      <c r="F9" s="91"/>
      <c r="G9" s="91"/>
      <c r="H9" s="91"/>
      <c r="I9" s="91"/>
      <c r="J9" s="91"/>
      <c r="K9" s="9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G9" s="15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</row>
    <row r="10" spans="1:106" x14ac:dyDescent="0.2">
      <c r="A10" s="14"/>
      <c r="D10" s="91"/>
      <c r="E10" s="91"/>
      <c r="F10" s="91"/>
      <c r="G10" s="91"/>
      <c r="H10" s="91"/>
      <c r="I10" s="91"/>
      <c r="J10" s="91"/>
      <c r="K10" s="91"/>
      <c r="CG10" s="15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</row>
    <row r="11" spans="1:106" x14ac:dyDescent="0.2">
      <c r="A11" s="14">
        <v>1</v>
      </c>
      <c r="C11" s="91" t="str">
        <f>IF(SUBTOTAL(109,A11)=A11,"Assets","Total Assets")</f>
        <v>Assets</v>
      </c>
      <c r="D11" s="27" t="str">
        <f t="shared" ref="D11:D42" si="0">IF(COUNT(M11:CE11)&gt;0,MEDIAN(M11:CE11),"")</f>
        <v/>
      </c>
      <c r="E11" s="27" t="str">
        <f t="shared" ref="E11:E42" si="1">IF(COUNT(M11:CE11)&gt;0,AVERAGE(M11:CE11),"")</f>
        <v/>
      </c>
      <c r="F11" s="27" t="str">
        <f t="shared" ref="F11:F42" si="2">IF(COUNT(M11:CE11)&gt;0,MIN(M11:CE11),"")</f>
        <v/>
      </c>
      <c r="G11" s="27" t="str">
        <f t="shared" ref="G11:G42" si="3">IF(COUNT(M11:CE11)&gt;0,MAX(M11:CE11),"")</f>
        <v/>
      </c>
      <c r="H11" s="27" t="str">
        <f t="shared" ref="H11:H42" si="4">IF(COUNT(M11:CE11)&gt;0,QUARTILE(M11:CE11,1),"")</f>
        <v/>
      </c>
      <c r="I11" s="27" t="str">
        <f t="shared" ref="I11:I42" si="5">IF(COUNT(M11:CE11)&gt;0,QUARTILE(M11:CE11,3),"")</f>
        <v/>
      </c>
      <c r="J11" s="27" t="str">
        <f t="shared" ref="J11:J42" si="6">IF(COUNT(M11:CE11)&gt;1,STDEV(M11:CE11),"")</f>
        <v/>
      </c>
      <c r="K11" s="28" t="str">
        <f t="shared" ref="K11:K42" si="7">IF(COUNT(M11:CE11)&gt;1,STDEV(M11:CE11)/AVERAGE(M11:CE11),"")</f>
        <v/>
      </c>
      <c r="L11" s="27"/>
      <c r="M11" s="27" t="str">
        <f>IF(SUBTOTAL(109,A11)=A11,"",497476)</f>
        <v/>
      </c>
      <c r="N11" s="27"/>
      <c r="O11" s="27"/>
      <c r="P11" s="27"/>
      <c r="Q11" s="27"/>
      <c r="R11" s="27" t="str">
        <f>IF(SUBTOTAL(109,A11)=A11,"",816263)</f>
        <v/>
      </c>
      <c r="S11" s="27" t="str">
        <f>IF(SUBTOTAL(109,A11)=A11,"",778122)</f>
        <v/>
      </c>
      <c r="T11" s="27" t="str">
        <f>IF(SUBTOTAL(109,A11)=A11,"",788036)</f>
        <v/>
      </c>
      <c r="U11" s="27" t="str">
        <f>IF(SUBTOTAL(109,A11)=A11,"",739720)</f>
        <v/>
      </c>
      <c r="V11" s="27" t="str">
        <f>IF(SUBTOTAL(109,A11)=A11,"",728256)</f>
        <v/>
      </c>
      <c r="W11" s="27" t="str">
        <f>IF(SUBTOTAL(109,A11)=A11,"",654683)</f>
        <v/>
      </c>
      <c r="X11" s="27" t="str">
        <f>IF(SUBTOTAL(109,A11)=A11,"",619503)</f>
        <v/>
      </c>
      <c r="Y11" s="27" t="str">
        <f>IF(SUBTOTAL(109,A11)=A11,"",577030)</f>
        <v/>
      </c>
      <c r="Z11" s="27" t="str">
        <f>IF(SUBTOTAL(109,A11)=A11,"",523816)</f>
        <v/>
      </c>
      <c r="AA11" s="27" t="str">
        <f>IF(SUBTOTAL(109,A11)=A11,"",514095)</f>
        <v/>
      </c>
      <c r="AB11" s="27" t="str">
        <f>IF(SUBTOTAL(109,A11)=A11,"",490925)</f>
        <v/>
      </c>
      <c r="AC11" s="27" t="str">
        <f>IF(SUBTOTAL(109,A11)=A11,"",547217)</f>
        <v/>
      </c>
      <c r="AD11" s="27" t="str">
        <f>IF(SUBTOTAL(109,A11)=A11,"",415989)</f>
        <v/>
      </c>
      <c r="AE11" s="27" t="str">
        <f>IF(SUBTOTAL(109,A11)=A11,"",435755)</f>
        <v/>
      </c>
      <c r="AF11" s="27" t="str">
        <f>IF(SUBTOTAL(109,A11)=A11,"",381503)</f>
        <v/>
      </c>
      <c r="AG11" s="27" t="str">
        <f>IF(SUBTOTAL(109,A11)=A11,"",346102)</f>
        <v/>
      </c>
      <c r="AH11" s="27" t="str">
        <f>IF(SUBTOTAL(109,A11)=A11,"",342480)</f>
        <v/>
      </c>
      <c r="AI11" s="27" t="str">
        <f>IF(SUBTOTAL(109,A11)=A11,"",398871)</f>
        <v/>
      </c>
      <c r="AJ11" s="27" t="str">
        <f>IF(SUBTOTAL(109,A11)=A11,"",326989)</f>
        <v/>
      </c>
      <c r="AK11" s="27" t="str">
        <f>IF(SUBTOTAL(109,A11)=A11,"",281541)</f>
        <v/>
      </c>
      <c r="AL11" s="27" t="str">
        <f>IF(SUBTOTAL(109,A11)=A11,"",288609)</f>
        <v/>
      </c>
      <c r="AM11" s="27" t="str">
        <f>IF(SUBTOTAL(109,A11)=A11,"",272935)</f>
        <v/>
      </c>
      <c r="AN11" s="27" t="str">
        <f>IF(SUBTOTAL(109,A11)=A11,"",261674)</f>
        <v/>
      </c>
      <c r="AO11" s="27" t="str">
        <f>IF(SUBTOTAL(109,A11)=A11,"",237793)</f>
        <v/>
      </c>
      <c r="AP11" s="27" t="str">
        <f>IF(SUBTOTAL(109,A11)=A11,"",271663)</f>
        <v/>
      </c>
      <c r="AQ11" s="27" t="str">
        <f>IF(SUBTOTAL(109,A11)=A11,"",272972)</f>
        <v/>
      </c>
      <c r="AR11" s="27" t="str">
        <f>IF(SUBTOTAL(109,A11)=A11,"",281497)</f>
        <v/>
      </c>
      <c r="AS11" s="27" t="str">
        <f>IF(SUBTOTAL(109,A11)=A11,"",249345)</f>
        <v/>
      </c>
      <c r="AT11" s="27" t="str">
        <f>IF(SUBTOTAL(109,A11)=A11,"",314698)</f>
        <v/>
      </c>
      <c r="AU11" s="27" t="str">
        <f>IF(SUBTOTAL(109,A11)=A11,"",343101)</f>
        <v/>
      </c>
      <c r="AV11" s="27" t="str">
        <f>IF(SUBTOTAL(109,A11)=A11,"",349051)</f>
        <v/>
      </c>
      <c r="AW11" s="27" t="str">
        <f>IF(SUBTOTAL(109,A11)=A11,"",323353)</f>
        <v/>
      </c>
      <c r="AX11" s="27" t="str">
        <f>IF(SUBTOTAL(109,A11)=A11,"",333634)</f>
        <v/>
      </c>
      <c r="AY11" s="27" t="str">
        <f>IF(SUBTOTAL(109,A11)=A11,"",324935)</f>
        <v/>
      </c>
      <c r="AZ11" s="27" t="str">
        <f>IF(SUBTOTAL(109,A11)=A11,"",210231)</f>
        <v/>
      </c>
      <c r="BA11" s="27" t="str">
        <f>IF(SUBTOTAL(109,A11)=A11,"",189118.376)</f>
        <v/>
      </c>
      <c r="BB11" s="27" t="str">
        <f>IF(SUBTOTAL(109,A11)=A11,"",190396.469)</f>
        <v/>
      </c>
      <c r="BC11" s="27" t="str">
        <f>IF(SUBTOTAL(109,A11)=A11,"",298225.997)</f>
        <v/>
      </c>
      <c r="BD11" s="27" t="str">
        <f>IF(SUBTOTAL(109,A11)=A11,"",289750.572)</f>
        <v/>
      </c>
      <c r="BE11" s="27" t="str">
        <f>IF(SUBTOTAL(109,A11)=A11,"",292369.314)</f>
        <v/>
      </c>
      <c r="BF11" s="27" t="str">
        <f>IF(SUBTOTAL(109,A11)=A11,"",288454.014)</f>
        <v/>
      </c>
      <c r="BG11" s="27" t="str">
        <f>IF(SUBTOTAL(109,A11)=A11,"",278980.31)</f>
        <v/>
      </c>
      <c r="BH11" s="27" t="str">
        <f>IF(SUBTOTAL(109,A11)=A11,"",268257.428)</f>
        <v/>
      </c>
      <c r="BI11" s="27" t="str">
        <f>IF(SUBTOTAL(109,A11)=A11,"",251484.997)</f>
        <v/>
      </c>
      <c r="BJ11" s="27" t="str">
        <f>IF(SUBTOTAL(109,A11)=A11,"",104813.806)</f>
        <v/>
      </c>
      <c r="BK11" s="27" t="str">
        <f>IF(SUBTOTAL(109,A11)=A11,"",100713.181)</f>
        <v/>
      </c>
      <c r="BL11" s="27" t="str">
        <f>IF(SUBTOTAL(109,A11)=A11,"",94697.635)</f>
        <v/>
      </c>
      <c r="BM11" s="27" t="str">
        <f>IF(SUBTOTAL(109,A11)=A11,"",84091.918)</f>
        <v/>
      </c>
      <c r="BN11" s="27" t="str">
        <f>IF(SUBTOTAL(109,A11)=A11,"",86117.498)</f>
        <v/>
      </c>
      <c r="BO11" s="27" t="str">
        <f>IF(SUBTOTAL(109,A11)=A11,"",81893.976)</f>
        <v/>
      </c>
      <c r="BP11" s="27" t="str">
        <f>IF(SUBTOTAL(109,A11)=A11,"",81992.346)</f>
        <v/>
      </c>
      <c r="BQ11" s="27" t="str">
        <f>IF(SUBTOTAL(109,A11)=A11,"",76583.547)</f>
        <v/>
      </c>
      <c r="BR11" s="27" t="str">
        <f>IF(SUBTOTAL(109,A11)=A11,"",96760.745)</f>
        <v/>
      </c>
      <c r="BS11" s="27" t="str">
        <f>IF(SUBTOTAL(109,A11)=A11,"",95401.613)</f>
        <v/>
      </c>
      <c r="BT11" s="27" t="str">
        <f>IF(SUBTOTAL(109,A11)=A11,"",105289.971)</f>
        <v/>
      </c>
      <c r="BU11" s="27" t="str">
        <f>IF(SUBTOTAL(109,A11)=A11,"",98499.865)</f>
        <v/>
      </c>
      <c r="BV11" s="27" t="str">
        <f>IF(SUBTOTAL(109,A11)=A11,"",101434.492)</f>
        <v/>
      </c>
      <c r="BW11" s="27" t="str">
        <f>IF(SUBTOTAL(109,A11)=A11,"",99971.599)</f>
        <v/>
      </c>
      <c r="BX11" s="27" t="str">
        <f>IF(SUBTOTAL(109,A11)=A11,"",106532.689)</f>
        <v/>
      </c>
      <c r="BY11" s="27" t="str">
        <f>IF(SUBTOTAL(109,A11)=A11,"",80099.015)</f>
        <v/>
      </c>
      <c r="BZ11" s="27" t="str">
        <f>IF(SUBTOTAL(109,A11)=A11,"",82854.907)</f>
        <v/>
      </c>
      <c r="CA11" s="27" t="str">
        <f>IF(SUBTOTAL(109,A11)=A11,"",82478.555)</f>
        <v/>
      </c>
      <c r="CB11" s="27" t="str">
        <f>IF(SUBTOTAL(109,A11)=A11,"",96444.853)</f>
        <v/>
      </c>
      <c r="CC11" s="27" t="str">
        <f>IF(SUBTOTAL(109,A11)=A11,"",638.217)</f>
        <v/>
      </c>
      <c r="CD11" s="27" t="str">
        <f>IF(SUBTOTAL(109,A11)=A11,"",542.595)</f>
        <v/>
      </c>
      <c r="CE11" s="27" t="str">
        <f>IF(SUBTOTAL(109,A11)=A11,"",22.212)</f>
        <v/>
      </c>
      <c r="CG11" s="15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</row>
    <row r="12" spans="1:106" outlineLevel="1" x14ac:dyDescent="0.2">
      <c r="A12" s="14">
        <v>1</v>
      </c>
      <c r="C12" s="9" t="str">
        <f>IF(SUBTOTAL(109,A12)=A12,"    Current Assets","    Total Current Assets")</f>
        <v xml:space="preserve">    Current Assets</v>
      </c>
      <c r="D12" s="17" t="str">
        <f t="shared" si="0"/>
        <v/>
      </c>
      <c r="E12" s="17" t="str">
        <f t="shared" si="1"/>
        <v/>
      </c>
      <c r="F12" s="17" t="str">
        <f t="shared" si="2"/>
        <v/>
      </c>
      <c r="G12" s="17" t="str">
        <f t="shared" si="3"/>
        <v/>
      </c>
      <c r="H12" s="17" t="str">
        <f t="shared" si="4"/>
        <v/>
      </c>
      <c r="I12" s="17" t="str">
        <f t="shared" si="5"/>
        <v/>
      </c>
      <c r="J12" s="17" t="str">
        <f t="shared" si="6"/>
        <v/>
      </c>
      <c r="K12" s="18" t="str">
        <f t="shared" si="7"/>
        <v/>
      </c>
      <c r="L12" s="21"/>
      <c r="M12" s="21" t="str">
        <f>IF(SUBTOTAL(109,A12)=A12,"",327597)</f>
        <v/>
      </c>
      <c r="N12" s="21"/>
      <c r="O12" s="21"/>
      <c r="P12" s="21"/>
      <c r="Q12" s="21"/>
      <c r="R12" s="21" t="str">
        <f>IF(SUBTOTAL(109,A12)=A12,"",347798)</f>
        <v/>
      </c>
      <c r="S12" s="21" t="str">
        <f>IF(SUBTOTAL(109,A12)=A12,"",317748)</f>
        <v/>
      </c>
      <c r="T12" s="21" t="str">
        <f>IF(SUBTOTAL(109,A12)=A12,"",318441)</f>
        <v/>
      </c>
      <c r="U12" s="21" t="str">
        <f>IF(SUBTOTAL(109,A12)=A12,"",262578)</f>
        <v/>
      </c>
      <c r="V12" s="21" t="str">
        <f>IF(SUBTOTAL(109,A12)=A12,"",273712)</f>
        <v/>
      </c>
      <c r="W12" s="21" t="str">
        <f>IF(SUBTOTAL(109,A12)=A12,"",365789)</f>
        <v/>
      </c>
      <c r="X12" s="21" t="str">
        <f>IF(SUBTOTAL(109,A12)=A12,"",333231)</f>
        <v/>
      </c>
      <c r="Y12" s="21" t="str">
        <f>IF(SUBTOTAL(109,A12)=A12,"",292998)</f>
        <v/>
      </c>
      <c r="Z12" s="21" t="str">
        <f>IF(SUBTOTAL(109,A12)=A12,"",234856)</f>
        <v/>
      </c>
      <c r="AA12" s="21" t="str">
        <f>IF(SUBTOTAL(109,A12)=A12,"",223226)</f>
        <v/>
      </c>
      <c r="AB12" s="21" t="str">
        <f>IF(SUBTOTAL(109,A12)=A12,"",197076)</f>
        <v/>
      </c>
      <c r="AC12" s="21" t="str">
        <f>IF(SUBTOTAL(109,A12)=A12,"",242941)</f>
        <v/>
      </c>
      <c r="AD12" s="21" t="str">
        <f>IF(SUBTOTAL(109,A12)=A12,"",244918)</f>
        <v/>
      </c>
      <c r="AE12" s="21" t="str">
        <f>IF(SUBTOTAL(109,A12)=A12,"",263263)</f>
        <v/>
      </c>
      <c r="AF12" s="21" t="str">
        <f>IF(SUBTOTAL(109,A12)=A12,"",239171)</f>
        <v/>
      </c>
      <c r="AG12" s="21" t="str">
        <f>IF(SUBTOTAL(109,A12)=A12,"",212195)</f>
        <v/>
      </c>
      <c r="AH12" s="21" t="str">
        <f>IF(SUBTOTAL(109,A12)=A12,"",225632)</f>
        <v/>
      </c>
      <c r="AI12" s="21" t="str">
        <f>IF(SUBTOTAL(109,A12)=A12,"",287181)</f>
        <v/>
      </c>
      <c r="AJ12" s="21" t="str">
        <f>IF(SUBTOTAL(109,A12)=A12,"",229566)</f>
        <v/>
      </c>
      <c r="AK12" s="21" t="str">
        <f>IF(SUBTOTAL(109,A12)=A12,"",194326)</f>
        <v/>
      </c>
      <c r="AL12" s="21" t="str">
        <f>IF(SUBTOTAL(109,A12)=A12,"",209960)</f>
        <v/>
      </c>
      <c r="AM12" s="21" t="str">
        <f>IF(SUBTOTAL(109,A12)=A12,"",199875)</f>
        <v/>
      </c>
      <c r="AN12" s="21" t="str">
        <f>IF(SUBTOTAL(109,A12)=A12,"",190714)</f>
        <v/>
      </c>
      <c r="AO12" s="21" t="str">
        <f>IF(SUBTOTAL(109,A12)=A12,"",161545)</f>
        <v/>
      </c>
      <c r="AP12" s="21" t="str">
        <f>IF(SUBTOTAL(109,A12)=A12,"",192652)</f>
        <v/>
      </c>
      <c r="AQ12" s="21" t="str">
        <f>IF(SUBTOTAL(109,A12)=A12,"",194507)</f>
        <v/>
      </c>
      <c r="AR12" s="21" t="str">
        <f>IF(SUBTOTAL(109,A12)=A12,"",203611)</f>
        <v/>
      </c>
      <c r="AS12" s="21" t="str">
        <f>IF(SUBTOTAL(109,A12)=A12,"",177495)</f>
        <v/>
      </c>
      <c r="AT12" s="21" t="str">
        <f>IF(SUBTOTAL(109,A12)=A12,"",191997)</f>
        <v/>
      </c>
      <c r="AU12" s="21" t="str">
        <f>IF(SUBTOTAL(109,A12)=A12,"",179907)</f>
        <v/>
      </c>
      <c r="AV12" s="21" t="str">
        <f>IF(SUBTOTAL(109,A12)=A12,"",184553)</f>
        <v/>
      </c>
      <c r="AW12" s="21" t="str">
        <f>IF(SUBTOTAL(109,A12)=A12,"",164944)</f>
        <v/>
      </c>
      <c r="AX12" s="21" t="str">
        <f>IF(SUBTOTAL(109,A12)=A12,"",175163)</f>
        <v/>
      </c>
      <c r="AY12" s="21" t="str">
        <f>IF(SUBTOTAL(109,A12)=A12,"",165838)</f>
        <v/>
      </c>
      <c r="AZ12" s="21" t="str">
        <f>IF(SUBTOTAL(109,A12)=A12,"",145381)</f>
        <v/>
      </c>
      <c r="BA12" s="21" t="str">
        <f>IF(SUBTOTAL(109,A12)=A12,"",124522.005)</f>
        <v/>
      </c>
      <c r="BB12" s="21" t="str">
        <f>IF(SUBTOTAL(109,A12)=A12,"",125086.456)</f>
        <v/>
      </c>
      <c r="BC12" s="21" t="str">
        <f>IF(SUBTOTAL(109,A12)=A12,"",133490.693)</f>
        <v/>
      </c>
      <c r="BD12" s="21" t="str">
        <f>IF(SUBTOTAL(109,A12)=A12,"",122171.486)</f>
        <v/>
      </c>
      <c r="BE12" s="21" t="str">
        <f>IF(SUBTOTAL(109,A12)=A12,"",124935.2)</f>
        <v/>
      </c>
      <c r="BF12" s="21" t="str">
        <f>IF(SUBTOTAL(109,A12)=A12,"",120839.578)</f>
        <v/>
      </c>
      <c r="BG12" s="21" t="str">
        <f>IF(SUBTOTAL(109,A12)=A12,"",110482.621)</f>
        <v/>
      </c>
      <c r="BH12" s="21" t="str">
        <f>IF(SUBTOTAL(109,A12)=A12,"",102262.933)</f>
        <v/>
      </c>
      <c r="BI12" s="21" t="str">
        <f>IF(SUBTOTAL(109,A12)=A12,"",83284.913)</f>
        <v/>
      </c>
      <c r="BJ12" s="21" t="str">
        <f>IF(SUBTOTAL(109,A12)=A12,"",60757.613)</f>
        <v/>
      </c>
      <c r="BK12" s="21" t="str">
        <f>IF(SUBTOTAL(109,A12)=A12,"",57016.25)</f>
        <v/>
      </c>
      <c r="BL12" s="21" t="str">
        <f>IF(SUBTOTAL(109,A12)=A12,"",53163.288)</f>
        <v/>
      </c>
      <c r="BM12" s="21" t="str">
        <f>IF(SUBTOTAL(109,A12)=A12,"",48947.076)</f>
        <v/>
      </c>
      <c r="BN12" s="21" t="str">
        <f>IF(SUBTOTAL(109,A12)=A12,"",52820.816)</f>
        <v/>
      </c>
      <c r="BO12" s="21" t="str">
        <f>IF(SUBTOTAL(109,A12)=A12,"",51047.47)</f>
        <v/>
      </c>
      <c r="BP12" s="21" t="str">
        <f>IF(SUBTOTAL(109,A12)=A12,"",50859.317)</f>
        <v/>
      </c>
      <c r="BQ12" s="21" t="str">
        <f>IF(SUBTOTAL(109,A12)=A12,"",44801.171)</f>
        <v/>
      </c>
      <c r="BR12" s="21" t="str">
        <f>IF(SUBTOTAL(109,A12)=A12,"",45607.234)</f>
        <v/>
      </c>
      <c r="BS12" s="21" t="str">
        <f>IF(SUBTOTAL(109,A12)=A12,"",44045.135)</f>
        <v/>
      </c>
      <c r="BT12" s="21" t="str">
        <f>IF(SUBTOTAL(109,A12)=A12,"",49331.383)</f>
        <v/>
      </c>
      <c r="BU12" s="21" t="str">
        <f>IF(SUBTOTAL(109,A12)=A12,"",45807.558)</f>
        <v/>
      </c>
      <c r="BV12" s="21" t="str">
        <f>IF(SUBTOTAL(109,A12)=A12,"",54256.334)</f>
        <v/>
      </c>
      <c r="BW12" s="21" t="str">
        <f>IF(SUBTOTAL(109,A12)=A12,"",51939.898)</f>
        <v/>
      </c>
      <c r="BX12" s="21" t="str">
        <f>IF(SUBTOTAL(109,A12)=A12,"",56475.868)</f>
        <v/>
      </c>
      <c r="BY12" s="21" t="str">
        <f>IF(SUBTOTAL(109,A12)=A12,"",45713.37)</f>
        <v/>
      </c>
      <c r="BZ12" s="21" t="str">
        <f>IF(SUBTOTAL(109,A12)=A12,"",49380.383)</f>
        <v/>
      </c>
      <c r="CA12" s="21" t="str">
        <f>IF(SUBTOTAL(109,A12)=A12,"",50013.335)</f>
        <v/>
      </c>
      <c r="CB12" s="21" t="str">
        <f>IF(SUBTOTAL(109,A12)=A12,"",54128.813)</f>
        <v/>
      </c>
      <c r="CC12" s="21" t="str">
        <f>IF(SUBTOTAL(109,A12)=A12,"",207.865)</f>
        <v/>
      </c>
      <c r="CD12" s="21" t="str">
        <f>IF(SUBTOTAL(109,A12)=A12,"",98.305)</f>
        <v/>
      </c>
      <c r="CE12" s="21" t="str">
        <f>IF(SUBTOTAL(109,A12)=A12,"",1)</f>
        <v/>
      </c>
      <c r="CG12" s="15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</row>
    <row r="13" spans="1:106" outlineLevel="2" x14ac:dyDescent="0.2">
      <c r="A13" s="14">
        <v>1</v>
      </c>
      <c r="C13" s="9" t="str">
        <f>IF(SUBTOTAL(109,A13)=A13,"        Cash, Cash Equivalents and Short Term Investments","        Cash, Cash Equivalents and Short Term Investments")</f>
        <v xml:space="preserve">        Cash, Cash Equivalents and Short Term Investments</v>
      </c>
      <c r="D13" s="17" t="str">
        <f t="shared" si="0"/>
        <v/>
      </c>
      <c r="E13" s="17" t="str">
        <f t="shared" si="1"/>
        <v/>
      </c>
      <c r="F13" s="17" t="str">
        <f t="shared" si="2"/>
        <v/>
      </c>
      <c r="G13" s="17" t="str">
        <f t="shared" si="3"/>
        <v/>
      </c>
      <c r="H13" s="17" t="str">
        <f t="shared" si="4"/>
        <v/>
      </c>
      <c r="I13" s="17" t="str">
        <f t="shared" si="5"/>
        <v/>
      </c>
      <c r="J13" s="17" t="str">
        <f t="shared" si="6"/>
        <v/>
      </c>
      <c r="K13" s="18" t="str">
        <f t="shared" si="7"/>
        <v/>
      </c>
      <c r="L13" s="21"/>
      <c r="M13" s="21" t="str">
        <f>IF(SUBTOTAL(109,A13)=A13,"",120728)</f>
        <v/>
      </c>
      <c r="N13" s="21"/>
      <c r="O13" s="21"/>
      <c r="P13" s="21"/>
      <c r="Q13" s="21"/>
      <c r="R13" s="21" t="str">
        <f>IF(SUBTOTAL(109,A13)=A13,"",68171)</f>
        <v/>
      </c>
      <c r="S13" s="21" t="str">
        <f>IF(SUBTOTAL(109,A13)=A13,"",43372)</f>
        <v/>
      </c>
      <c r="T13" s="21" t="str">
        <f>IF(SUBTOTAL(109,A13)=A13,"",61549)</f>
        <v/>
      </c>
      <c r="U13" s="21" t="str">
        <f>IF(SUBTOTAL(109,A13)=A13,"",54253)</f>
        <v/>
      </c>
      <c r="V13" s="21" t="str">
        <f>IF(SUBTOTAL(109,A13)=A13,"",73896)</f>
        <v/>
      </c>
      <c r="W13" s="21" t="str">
        <f>IF(SUBTOTAL(109,A13)=A13,"",215012)</f>
        <v/>
      </c>
      <c r="X13" s="21" t="str">
        <f>IF(SUBTOTAL(109,A13)=A13,"",191279)</f>
        <v/>
      </c>
      <c r="Y13" s="21" t="str">
        <f>IF(SUBTOTAL(109,A13)=A13,"",105220)</f>
        <v/>
      </c>
      <c r="Z13" s="21" t="str">
        <f>IF(SUBTOTAL(109,A13)=A13,"",54064)</f>
        <v/>
      </c>
      <c r="AA13" s="21" t="str">
        <f>IF(SUBTOTAL(109,A13)=A13,"",55417)</f>
        <v/>
      </c>
      <c r="AB13" s="21" t="str">
        <f>IF(SUBTOTAL(109,A13)=A13,"",42222)</f>
        <v/>
      </c>
      <c r="AC13" s="21" t="str">
        <f>IF(SUBTOTAL(109,A13)=A13,"",59010)</f>
        <v/>
      </c>
      <c r="AD13" s="21" t="str">
        <f>IF(SUBTOTAL(109,A13)=A13,"",64373)</f>
        <v/>
      </c>
      <c r="AE13" s="21" t="str">
        <f>IF(SUBTOTAL(109,A13)=A13,"",83458)</f>
        <v/>
      </c>
      <c r="AF13" s="21" t="str">
        <f>IF(SUBTOTAL(109,A13)=A13,"",68860)</f>
        <v/>
      </c>
      <c r="AG13" s="21" t="str">
        <f>IF(SUBTOTAL(109,A13)=A13,"",45288)</f>
        <v/>
      </c>
      <c r="AH13" s="21" t="str">
        <f>IF(SUBTOTAL(109,A13)=A13,"",52922)</f>
        <v/>
      </c>
      <c r="AI13" s="21" t="str">
        <f>IF(SUBTOTAL(109,A13)=A13,"",143107)</f>
        <v/>
      </c>
      <c r="AJ13" s="21" t="str">
        <f>IF(SUBTOTAL(109,A13)=A13,"",97142)</f>
        <v/>
      </c>
      <c r="AK13" s="21" t="str">
        <f>IF(SUBTOTAL(109,A13)=A13,"",58657)</f>
        <v/>
      </c>
      <c r="AL13" s="21" t="str">
        <f>IF(SUBTOTAL(109,A13)=A13,"",57955)</f>
        <v/>
      </c>
      <c r="AM13" s="21" t="str">
        <f>IF(SUBTOTAL(109,A13)=A13,"",57207)</f>
        <v/>
      </c>
      <c r="AN13" s="21" t="str">
        <f>IF(SUBTOTAL(109,A13)=A13,"",53383)</f>
        <v/>
      </c>
      <c r="AO13" s="21" t="str">
        <f>IF(SUBTOTAL(109,A13)=A13,"",25745)</f>
        <v/>
      </c>
      <c r="AP13" s="21" t="str">
        <f>IF(SUBTOTAL(109,A13)=A13,"",49190)</f>
        <v/>
      </c>
      <c r="AQ13" s="21" t="str">
        <f>IF(SUBTOTAL(109,A13)=A13,"",37682)</f>
        <v/>
      </c>
      <c r="AR13" s="21" t="str">
        <f>IF(SUBTOTAL(109,A13)=A13,"",52471)</f>
        <v/>
      </c>
      <c r="AS13" s="21" t="str">
        <f>IF(SUBTOTAL(109,A13)=A13,"",32594)</f>
        <v/>
      </c>
      <c r="AT13" s="21" t="str">
        <f>IF(SUBTOTAL(109,A13)=A13,"",43599)</f>
        <v/>
      </c>
      <c r="AU13" s="21" t="str">
        <f>IF(SUBTOTAL(109,A13)=A13,"",26680)</f>
        <v/>
      </c>
      <c r="AV13" s="21" t="str">
        <f>IF(SUBTOTAL(109,A13)=A13,"",39855)</f>
        <v/>
      </c>
      <c r="AW13" s="21" t="str">
        <f>IF(SUBTOTAL(109,A13)=A13,"",37045)</f>
        <v/>
      </c>
      <c r="AX13" s="21" t="str">
        <f>IF(SUBTOTAL(109,A13)=A13,"",46396)</f>
        <v/>
      </c>
      <c r="AY13" s="21" t="str">
        <f>IF(SUBTOTAL(109,A13)=A13,"",35173)</f>
        <v/>
      </c>
      <c r="AZ13" s="21" t="str">
        <f>IF(SUBTOTAL(109,A13)=A13,"",39822)</f>
        <v/>
      </c>
      <c r="BA13" s="21" t="str">
        <f>IF(SUBTOTAL(109,A13)=A13,"",21339.717)</f>
        <v/>
      </c>
      <c r="BB13" s="21" t="str">
        <f>IF(SUBTOTAL(109,A13)=A13,"",2850.001)</f>
        <v/>
      </c>
      <c r="BC13" s="21" t="str">
        <f>IF(SUBTOTAL(109,A13)=A13,"",1365.242)</f>
        <v/>
      </c>
      <c r="BD13" s="21" t="str">
        <f>IF(SUBTOTAL(109,A13)=A13,"",4358.856)</f>
        <v/>
      </c>
      <c r="BE13" s="21" t="str">
        <f>IF(SUBTOTAL(109,A13)=A13,"",3655.922)</f>
        <v/>
      </c>
      <c r="BF13" s="21" t="str">
        <f>IF(SUBTOTAL(109,A13)=A13,"",590.67)</f>
        <v/>
      </c>
      <c r="BG13" s="21" t="str">
        <f>IF(SUBTOTAL(109,A13)=A13,"",1008.379)</f>
        <v/>
      </c>
      <c r="BH13" s="21" t="str">
        <f>IF(SUBTOTAL(109,A13)=A13,"",4065.328)</f>
        <v/>
      </c>
      <c r="BI13" s="21" t="str">
        <f>IF(SUBTOTAL(109,A13)=A13,"",1851.637)</f>
        <v/>
      </c>
      <c r="BJ13" s="21" t="str">
        <f>IF(SUBTOTAL(109,A13)=A13,"",654.434)</f>
        <v/>
      </c>
      <c r="BK13" s="21" t="str">
        <f>IF(SUBTOTAL(109,A13)=A13,"",1259.476)</f>
        <v/>
      </c>
      <c r="BL13" s="21" t="str">
        <f>IF(SUBTOTAL(109,A13)=A13,"",731.306)</f>
        <v/>
      </c>
      <c r="BM13" s="21" t="str">
        <f>IF(SUBTOTAL(109,A13)=A13,"",955.405)</f>
        <v/>
      </c>
      <c r="BN13" s="21" t="str">
        <f>IF(SUBTOTAL(109,A13)=A13,"",497.694)</f>
        <v/>
      </c>
      <c r="BO13" s="21" t="str">
        <f>IF(SUBTOTAL(109,A13)=A13,"",1231.986)</f>
        <v/>
      </c>
      <c r="BP13" s="21" t="str">
        <f>IF(SUBTOTAL(109,A13)=A13,"",4081.475)</f>
        <v/>
      </c>
      <c r="BQ13" s="21" t="str">
        <f>IF(SUBTOTAL(109,A13)=A13,"",932.269)</f>
        <v/>
      </c>
      <c r="BR13" s="21" t="str">
        <f>IF(SUBTOTAL(109,A13)=A13,"",4391.418)</f>
        <v/>
      </c>
      <c r="BS13" s="21" t="str">
        <f>IF(SUBTOTAL(109,A13)=A13,"",3522.181)</f>
        <v/>
      </c>
      <c r="BT13" s="21" t="str">
        <f>IF(SUBTOTAL(109,A13)=A13,"",7049.401)</f>
        <v/>
      </c>
      <c r="BU13" s="21" t="str">
        <f>IF(SUBTOTAL(109,A13)=A13,"",6413.022)</f>
        <v/>
      </c>
      <c r="BV13" s="21" t="str">
        <f>IF(SUBTOTAL(109,A13)=A13,"",12056.279)</f>
        <v/>
      </c>
      <c r="BW13" s="21" t="str">
        <f>IF(SUBTOTAL(109,A13)=A13,"",10708.168)</f>
        <v/>
      </c>
      <c r="BX13" s="21" t="str">
        <f>IF(SUBTOTAL(109,A13)=A13,"",13762.45)</f>
        <v/>
      </c>
      <c r="BY13" s="21" t="str">
        <f>IF(SUBTOTAL(109,A13)=A13,"",14110.864)</f>
        <v/>
      </c>
      <c r="BZ13" s="21" t="str">
        <f>IF(SUBTOTAL(109,A13)=A13,"",14589.063)</f>
        <v/>
      </c>
      <c r="CA13" s="21" t="str">
        <f>IF(SUBTOTAL(109,A13)=A13,"",15856.688)</f>
        <v/>
      </c>
      <c r="CB13" s="21" t="str">
        <f>IF(SUBTOTAL(109,A13)=A13,"",21015.65)</f>
        <v/>
      </c>
      <c r="CC13" s="21" t="str">
        <f>IF(SUBTOTAL(109,A13)=A13,"",181.43)</f>
        <v/>
      </c>
      <c r="CD13" s="21" t="str">
        <f>IF(SUBTOTAL(109,A13)=A13,"",83.121)</f>
        <v/>
      </c>
      <c r="CE13" s="21" t="str">
        <f>IF(SUBTOTAL(109,A13)=A13,"",1)</f>
        <v/>
      </c>
      <c r="CG13" s="15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</row>
    <row r="14" spans="1:106" outlineLevel="3" x14ac:dyDescent="0.2">
      <c r="A14" s="14">
        <v>1</v>
      </c>
      <c r="C14" s="9" t="str">
        <f>IF(SUBTOTAL(109,A14)=A14,"            Cash and Cash Equivalents","            Cash and Cash Equivalents")</f>
        <v xml:space="preserve">            Cash and Cash Equivalents</v>
      </c>
      <c r="D14" s="17" t="str">
        <f t="shared" si="0"/>
        <v/>
      </c>
      <c r="E14" s="17" t="str">
        <f t="shared" si="1"/>
        <v/>
      </c>
      <c r="F14" s="17" t="str">
        <f t="shared" si="2"/>
        <v/>
      </c>
      <c r="G14" s="17" t="str">
        <f t="shared" si="3"/>
        <v/>
      </c>
      <c r="H14" s="17" t="str">
        <f t="shared" si="4"/>
        <v/>
      </c>
      <c r="I14" s="17" t="str">
        <f t="shared" si="5"/>
        <v/>
      </c>
      <c r="J14" s="17" t="str">
        <f t="shared" si="6"/>
        <v/>
      </c>
      <c r="K14" s="18" t="str">
        <f t="shared" si="7"/>
        <v/>
      </c>
      <c r="L14" s="21"/>
      <c r="M14" s="21" t="str">
        <f>IF(SUBTOTAL(109,A14)=A14,"",120728)</f>
        <v/>
      </c>
      <c r="N14" s="21"/>
      <c r="O14" s="21"/>
      <c r="P14" s="21"/>
      <c r="Q14" s="21"/>
      <c r="R14" s="21" t="str">
        <f>IF(SUBTOTAL(109,A14)=A14,"",68171)</f>
        <v/>
      </c>
      <c r="S14" s="21" t="str">
        <f>IF(SUBTOTAL(109,A14)=A14,"",43372)</f>
        <v/>
      </c>
      <c r="T14" s="21" t="str">
        <f>IF(SUBTOTAL(109,A14)=A14,"",61549)</f>
        <v/>
      </c>
      <c r="U14" s="21" t="str">
        <f>IF(SUBTOTAL(109,A14)=A14,"",54253)</f>
        <v/>
      </c>
      <c r="V14" s="21" t="str">
        <f>IF(SUBTOTAL(109,A14)=A14,"",73896)</f>
        <v/>
      </c>
      <c r="W14" s="21" t="str">
        <f>IF(SUBTOTAL(109,A14)=A14,"",215012)</f>
        <v/>
      </c>
      <c r="X14" s="21" t="str">
        <f>IF(SUBTOTAL(109,A14)=A14,"",191279)</f>
        <v/>
      </c>
      <c r="Y14" s="21" t="str">
        <f>IF(SUBTOTAL(109,A14)=A14,"",105220)</f>
        <v/>
      </c>
      <c r="Z14" s="21" t="str">
        <f>IF(SUBTOTAL(109,A14)=A14,"",54064)</f>
        <v/>
      </c>
      <c r="AA14" s="21" t="str">
        <f>IF(SUBTOTAL(109,A14)=A14,"",55417)</f>
        <v/>
      </c>
      <c r="AB14" s="21" t="str">
        <f>IF(SUBTOTAL(109,A14)=A14,"",42222)</f>
        <v/>
      </c>
      <c r="AC14" s="21" t="str">
        <f>IF(SUBTOTAL(109,A14)=A14,"",59010)</f>
        <v/>
      </c>
      <c r="AD14" s="21" t="str">
        <f>IF(SUBTOTAL(109,A14)=A14,"",64373)</f>
        <v/>
      </c>
      <c r="AE14" s="21" t="str">
        <f>IF(SUBTOTAL(109,A14)=A14,"",83458)</f>
        <v/>
      </c>
      <c r="AF14" s="21" t="str">
        <f>IF(SUBTOTAL(109,A14)=A14,"",68860)</f>
        <v/>
      </c>
      <c r="AG14" s="21" t="str">
        <f>IF(SUBTOTAL(109,A14)=A14,"",45288)</f>
        <v/>
      </c>
      <c r="AH14" s="21" t="str">
        <f>IF(SUBTOTAL(109,A14)=A14,"",52922)</f>
        <v/>
      </c>
      <c r="AI14" s="21" t="str">
        <f>IF(SUBTOTAL(109,A14)=A14,"",143107)</f>
        <v/>
      </c>
      <c r="AJ14" s="21" t="str">
        <f>IF(SUBTOTAL(109,A14)=A14,"",97142)</f>
        <v/>
      </c>
      <c r="AK14" s="21" t="str">
        <f>IF(SUBTOTAL(109,A14)=A14,"",58657)</f>
        <v/>
      </c>
      <c r="AL14" s="21" t="str">
        <f>IF(SUBTOTAL(109,A14)=A14,"",57955)</f>
        <v/>
      </c>
      <c r="AM14" s="21" t="str">
        <f>IF(SUBTOTAL(109,A14)=A14,"",57207)</f>
        <v/>
      </c>
      <c r="AN14" s="21" t="str">
        <f>IF(SUBTOTAL(109,A14)=A14,"",53383)</f>
        <v/>
      </c>
      <c r="AO14" s="21" t="str">
        <f>IF(SUBTOTAL(109,A14)=A14,"",25745)</f>
        <v/>
      </c>
      <c r="AP14" s="21" t="str">
        <f>IF(SUBTOTAL(109,A14)=A14,"",49190)</f>
        <v/>
      </c>
      <c r="AQ14" s="21" t="str">
        <f>IF(SUBTOTAL(109,A14)=A14,"",37682)</f>
        <v/>
      </c>
      <c r="AR14" s="21" t="str">
        <f>IF(SUBTOTAL(109,A14)=A14,"",52471)</f>
        <v/>
      </c>
      <c r="AS14" s="21" t="str">
        <f>IF(SUBTOTAL(109,A14)=A14,"",32594)</f>
        <v/>
      </c>
      <c r="AT14" s="21" t="str">
        <f>IF(SUBTOTAL(109,A14)=A14,"",43599)</f>
        <v/>
      </c>
      <c r="AU14" s="21" t="str">
        <f>IF(SUBTOTAL(109,A14)=A14,"",26680)</f>
        <v/>
      </c>
      <c r="AV14" s="21" t="str">
        <f>IF(SUBTOTAL(109,A14)=A14,"",39855)</f>
        <v/>
      </c>
      <c r="AW14" s="21" t="str">
        <f>IF(SUBTOTAL(109,A14)=A14,"",37045)</f>
        <v/>
      </c>
      <c r="AX14" s="21" t="str">
        <f>IF(SUBTOTAL(109,A14)=A14,"",46396)</f>
        <v/>
      </c>
      <c r="AY14" s="21" t="str">
        <f>IF(SUBTOTAL(109,A14)=A14,"",35173)</f>
        <v/>
      </c>
      <c r="AZ14" s="21" t="str">
        <f>IF(SUBTOTAL(109,A14)=A14,"",39822)</f>
        <v/>
      </c>
      <c r="BA14" s="21" t="str">
        <f>IF(SUBTOTAL(109,A14)=A14,"",21339.717)</f>
        <v/>
      </c>
      <c r="BB14" s="21" t="str">
        <f>IF(SUBTOTAL(109,A14)=A14,"",2850.001)</f>
        <v/>
      </c>
      <c r="BC14" s="21" t="str">
        <f>IF(SUBTOTAL(109,A14)=A14,"",1365.242)</f>
        <v/>
      </c>
      <c r="BD14" s="21" t="str">
        <f>IF(SUBTOTAL(109,A14)=A14,"",4358.856)</f>
        <v/>
      </c>
      <c r="BE14" s="21" t="str">
        <f>IF(SUBTOTAL(109,A14)=A14,"",3655.922)</f>
        <v/>
      </c>
      <c r="BF14" s="21" t="str">
        <f>IF(SUBTOTAL(109,A14)=A14,"",590.67)</f>
        <v/>
      </c>
      <c r="BG14" s="21" t="str">
        <f>IF(SUBTOTAL(109,A14)=A14,"",1008.379)</f>
        <v/>
      </c>
      <c r="BH14" s="21" t="str">
        <f>IF(SUBTOTAL(109,A14)=A14,"",4065.328)</f>
        <v/>
      </c>
      <c r="BI14" s="21" t="str">
        <f>IF(SUBTOTAL(109,A14)=A14,"",1851.637)</f>
        <v/>
      </c>
      <c r="BJ14" s="21" t="str">
        <f>IF(SUBTOTAL(109,A14)=A14,"",654.434)</f>
        <v/>
      </c>
      <c r="BK14" s="21" t="str">
        <f>IF(SUBTOTAL(109,A14)=A14,"",1259.476)</f>
        <v/>
      </c>
      <c r="BL14" s="21" t="str">
        <f>IF(SUBTOTAL(109,A14)=A14,"",731.306)</f>
        <v/>
      </c>
      <c r="BM14" s="21" t="str">
        <f>IF(SUBTOTAL(109,A14)=A14,"",955.405)</f>
        <v/>
      </c>
      <c r="BN14" s="21" t="str">
        <f>IF(SUBTOTAL(109,A14)=A14,"",497.694)</f>
        <v/>
      </c>
      <c r="BO14" s="21" t="str">
        <f>IF(SUBTOTAL(109,A14)=A14,"",1231.986)</f>
        <v/>
      </c>
      <c r="BP14" s="21" t="str">
        <f>IF(SUBTOTAL(109,A14)=A14,"",4081.475)</f>
        <v/>
      </c>
      <c r="BQ14" s="21" t="str">
        <f>IF(SUBTOTAL(109,A14)=A14,"",932.269)</f>
        <v/>
      </c>
      <c r="BR14" s="21" t="str">
        <f>IF(SUBTOTAL(109,A14)=A14,"",4391.418)</f>
        <v/>
      </c>
      <c r="BS14" s="21" t="str">
        <f>IF(SUBTOTAL(109,A14)=A14,"",3522.181)</f>
        <v/>
      </c>
      <c r="BT14" s="21" t="str">
        <f>IF(SUBTOTAL(109,A14)=A14,"",5510.663)</f>
        <v/>
      </c>
      <c r="BU14" s="21" t="str">
        <f>IF(SUBTOTAL(109,A14)=A14,"",4787.716)</f>
        <v/>
      </c>
      <c r="BV14" s="21" t="str">
        <f>IF(SUBTOTAL(109,A14)=A14,"",10456.599)</f>
        <v/>
      </c>
      <c r="BW14" s="21" t="str">
        <f>IF(SUBTOTAL(109,A14)=A14,"",9145.269)</f>
        <v/>
      </c>
      <c r="BX14" s="21" t="str">
        <f>IF(SUBTOTAL(109,A14)=A14,"",12182.01)</f>
        <v/>
      </c>
      <c r="BY14" s="21" t="str">
        <f>IF(SUBTOTAL(109,A14)=A14,"",9184.757)</f>
        <v/>
      </c>
      <c r="BZ14" s="21" t="str">
        <f>IF(SUBTOTAL(109,A14)=A14,"",9859.651)</f>
        <v/>
      </c>
      <c r="CA14" s="21" t="str">
        <f>IF(SUBTOTAL(109,A14)=A14,"",11176.617)</f>
        <v/>
      </c>
      <c r="CB14" s="21" t="str">
        <f>IF(SUBTOTAL(109,A14)=A14,"",20012.491)</f>
        <v/>
      </c>
      <c r="CC14" s="21" t="str">
        <f>IF(SUBTOTAL(109,A14)=A14,"",181.43)</f>
        <v/>
      </c>
      <c r="CD14" s="21" t="str">
        <f>IF(SUBTOTAL(109,A14)=A14,"",83.121)</f>
        <v/>
      </c>
      <c r="CE14" s="21" t="str">
        <f>IF(SUBTOTAL(109,A14)=A14,"",1)</f>
        <v/>
      </c>
      <c r="CG14" s="15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</row>
    <row r="15" spans="1:106" outlineLevel="4" x14ac:dyDescent="0.2">
      <c r="A15" s="14">
        <v>1</v>
      </c>
      <c r="C15" s="9" t="str">
        <f>"                Cash"</f>
        <v xml:space="preserve">                Cash</v>
      </c>
      <c r="D15" s="17">
        <f t="shared" si="0"/>
        <v>42.060499999999998</v>
      </c>
      <c r="E15" s="17">
        <f t="shared" si="1"/>
        <v>42.060499999999998</v>
      </c>
      <c r="F15" s="17">
        <f t="shared" si="2"/>
        <v>1</v>
      </c>
      <c r="G15" s="17">
        <f t="shared" si="3"/>
        <v>83.120999999999995</v>
      </c>
      <c r="H15" s="17">
        <f t="shared" si="4"/>
        <v>21.530249999999999</v>
      </c>
      <c r="I15" s="17">
        <f t="shared" si="5"/>
        <v>62.59075</v>
      </c>
      <c r="J15" s="17">
        <f t="shared" si="6"/>
        <v>58.068315977820461</v>
      </c>
      <c r="K15" s="18">
        <f t="shared" si="7"/>
        <v>1.3805902444768956</v>
      </c>
      <c r="L15" s="21"/>
      <c r="M15" s="21" t="s">
        <v>165</v>
      </c>
      <c r="N15" s="21"/>
      <c r="O15" s="21"/>
      <c r="P15" s="21"/>
      <c r="Q15" s="21"/>
      <c r="R15" s="21" t="s">
        <v>165</v>
      </c>
      <c r="S15" s="21" t="s">
        <v>165</v>
      </c>
      <c r="T15" s="21" t="s">
        <v>165</v>
      </c>
      <c r="U15" s="21" t="s">
        <v>165</v>
      </c>
      <c r="V15" s="21" t="s">
        <v>165</v>
      </c>
      <c r="W15" s="21" t="s">
        <v>165</v>
      </c>
      <c r="X15" s="21" t="s">
        <v>165</v>
      </c>
      <c r="Y15" s="21" t="s">
        <v>165</v>
      </c>
      <c r="Z15" s="21" t="s">
        <v>165</v>
      </c>
      <c r="AA15" s="21" t="s">
        <v>165</v>
      </c>
      <c r="AB15" s="21" t="s">
        <v>165</v>
      </c>
      <c r="AC15" s="21" t="s">
        <v>165</v>
      </c>
      <c r="AD15" s="21" t="s">
        <v>165</v>
      </c>
      <c r="AE15" s="21" t="s">
        <v>165</v>
      </c>
      <c r="AF15" s="21" t="s">
        <v>165</v>
      </c>
      <c r="AG15" s="21" t="s">
        <v>165</v>
      </c>
      <c r="AH15" s="21" t="s">
        <v>165</v>
      </c>
      <c r="AI15" s="21" t="s">
        <v>165</v>
      </c>
      <c r="AJ15" s="21" t="s">
        <v>165</v>
      </c>
      <c r="AK15" s="21" t="s">
        <v>165</v>
      </c>
      <c r="AL15" s="21" t="s">
        <v>165</v>
      </c>
      <c r="AM15" s="21" t="s">
        <v>165</v>
      </c>
      <c r="AN15" s="21" t="s">
        <v>165</v>
      </c>
      <c r="AO15" s="21" t="s">
        <v>165</v>
      </c>
      <c r="AP15" s="21" t="s">
        <v>165</v>
      </c>
      <c r="AQ15" s="21" t="s">
        <v>165</v>
      </c>
      <c r="AR15" s="21" t="s">
        <v>165</v>
      </c>
      <c r="AS15" s="21" t="s">
        <v>165</v>
      </c>
      <c r="AT15" s="21" t="s">
        <v>165</v>
      </c>
      <c r="AU15" s="21" t="s">
        <v>165</v>
      </c>
      <c r="AV15" s="21" t="s">
        <v>165</v>
      </c>
      <c r="AW15" s="21" t="s">
        <v>165</v>
      </c>
      <c r="AX15" s="21" t="s">
        <v>165</v>
      </c>
      <c r="AY15" s="21" t="s">
        <v>165</v>
      </c>
      <c r="AZ15" s="21" t="s">
        <v>165</v>
      </c>
      <c r="BA15" s="21" t="s">
        <v>165</v>
      </c>
      <c r="BB15" s="21" t="s">
        <v>165</v>
      </c>
      <c r="BC15" s="21" t="s">
        <v>165</v>
      </c>
      <c r="BD15" s="21" t="s">
        <v>165</v>
      </c>
      <c r="BE15" s="21" t="s">
        <v>165</v>
      </c>
      <c r="BF15" s="21" t="s">
        <v>165</v>
      </c>
      <c r="BG15" s="21" t="s">
        <v>165</v>
      </c>
      <c r="BH15" s="21" t="s">
        <v>165</v>
      </c>
      <c r="BI15" s="21" t="s">
        <v>165</v>
      </c>
      <c r="BJ15" s="21" t="s">
        <v>165</v>
      </c>
      <c r="BK15" s="21" t="s">
        <v>165</v>
      </c>
      <c r="BL15" s="21" t="s">
        <v>165</v>
      </c>
      <c r="BM15" s="21" t="s">
        <v>165</v>
      </c>
      <c r="BN15" s="21" t="s">
        <v>165</v>
      </c>
      <c r="BO15" s="21" t="s">
        <v>165</v>
      </c>
      <c r="BP15" s="21" t="s">
        <v>165</v>
      </c>
      <c r="BQ15" s="21" t="s">
        <v>165</v>
      </c>
      <c r="BR15" s="21" t="s">
        <v>165</v>
      </c>
      <c r="BS15" s="21" t="s">
        <v>165</v>
      </c>
      <c r="BT15" s="21" t="s">
        <v>165</v>
      </c>
      <c r="BU15" s="21" t="s">
        <v>165</v>
      </c>
      <c r="BV15" s="21" t="s">
        <v>165</v>
      </c>
      <c r="BW15" s="21" t="s">
        <v>165</v>
      </c>
      <c r="BX15" s="21" t="s">
        <v>165</v>
      </c>
      <c r="BY15" s="21" t="s">
        <v>165</v>
      </c>
      <c r="BZ15" s="21" t="s">
        <v>165</v>
      </c>
      <c r="CA15" s="21" t="s">
        <v>165</v>
      </c>
      <c r="CB15" s="21" t="s">
        <v>165</v>
      </c>
      <c r="CC15" s="21" t="s">
        <v>165</v>
      </c>
      <c r="CD15" s="21">
        <v>83.120999999999995</v>
      </c>
      <c r="CE15" s="21">
        <v>1</v>
      </c>
      <c r="CG15" s="15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</row>
    <row r="16" spans="1:106" outlineLevel="4" x14ac:dyDescent="0.2">
      <c r="A16" s="14">
        <v>1</v>
      </c>
      <c r="C16" s="10" t="str">
        <f>"                Total Cash and Cash Equivalents"</f>
        <v xml:space="preserve">                Total Cash and Cash Equivalents</v>
      </c>
      <c r="D16" s="29">
        <f t="shared" si="0"/>
        <v>37045</v>
      </c>
      <c r="E16" s="29">
        <f t="shared" si="1"/>
        <v>39704.49253521127</v>
      </c>
      <c r="F16" s="29">
        <f t="shared" si="2"/>
        <v>1</v>
      </c>
      <c r="G16" s="29">
        <f t="shared" si="3"/>
        <v>215012</v>
      </c>
      <c r="H16" s="29">
        <f t="shared" si="4"/>
        <v>4073.4014999999999</v>
      </c>
      <c r="I16" s="29">
        <f t="shared" si="5"/>
        <v>56312</v>
      </c>
      <c r="J16" s="29">
        <f t="shared" si="6"/>
        <v>43852.979009999894</v>
      </c>
      <c r="K16" s="30">
        <f t="shared" si="7"/>
        <v>1.1044840573421157</v>
      </c>
      <c r="L16" s="31"/>
      <c r="M16" s="31">
        <v>120728</v>
      </c>
      <c r="N16" s="31">
        <v>125874.25</v>
      </c>
      <c r="O16" s="31">
        <v>72983</v>
      </c>
      <c r="P16" s="31">
        <v>38265.75</v>
      </c>
      <c r="Q16" s="31">
        <v>37174.25</v>
      </c>
      <c r="R16" s="31">
        <v>68171</v>
      </c>
      <c r="S16" s="31">
        <v>43372</v>
      </c>
      <c r="T16" s="31">
        <v>61549</v>
      </c>
      <c r="U16" s="31">
        <v>54253</v>
      </c>
      <c r="V16" s="31">
        <v>73896</v>
      </c>
      <c r="W16" s="31">
        <v>215012</v>
      </c>
      <c r="X16" s="31">
        <v>191279</v>
      </c>
      <c r="Y16" s="31">
        <v>105220</v>
      </c>
      <c r="Z16" s="31">
        <v>54064</v>
      </c>
      <c r="AA16" s="31">
        <v>55417</v>
      </c>
      <c r="AB16" s="31">
        <v>42222</v>
      </c>
      <c r="AC16" s="31">
        <v>59010</v>
      </c>
      <c r="AD16" s="31">
        <v>64373</v>
      </c>
      <c r="AE16" s="31">
        <v>83458</v>
      </c>
      <c r="AF16" s="31">
        <v>68860</v>
      </c>
      <c r="AG16" s="31">
        <v>45288</v>
      </c>
      <c r="AH16" s="31">
        <v>52922</v>
      </c>
      <c r="AI16" s="31">
        <v>143107</v>
      </c>
      <c r="AJ16" s="31">
        <v>97142</v>
      </c>
      <c r="AK16" s="31">
        <v>58657</v>
      </c>
      <c r="AL16" s="31">
        <v>57955</v>
      </c>
      <c r="AM16" s="31">
        <v>57207</v>
      </c>
      <c r="AN16" s="31">
        <v>53383</v>
      </c>
      <c r="AO16" s="31">
        <v>25745</v>
      </c>
      <c r="AP16" s="31">
        <v>49190</v>
      </c>
      <c r="AQ16" s="31">
        <v>37682</v>
      </c>
      <c r="AR16" s="31">
        <v>52471</v>
      </c>
      <c r="AS16" s="31">
        <v>32594</v>
      </c>
      <c r="AT16" s="31">
        <v>43599</v>
      </c>
      <c r="AU16" s="31">
        <v>26680</v>
      </c>
      <c r="AV16" s="31">
        <v>39855</v>
      </c>
      <c r="AW16" s="31">
        <v>37045</v>
      </c>
      <c r="AX16" s="31">
        <v>46396</v>
      </c>
      <c r="AY16" s="31">
        <v>35173</v>
      </c>
      <c r="AZ16" s="31">
        <v>39822</v>
      </c>
      <c r="BA16" s="31">
        <v>21339.717000000001</v>
      </c>
      <c r="BB16" s="31">
        <v>2850.0010000000002</v>
      </c>
      <c r="BC16" s="31">
        <v>1365.242</v>
      </c>
      <c r="BD16" s="31">
        <v>4358.8559999999998</v>
      </c>
      <c r="BE16" s="31">
        <v>3655.922</v>
      </c>
      <c r="BF16" s="31">
        <v>590.66999999999996</v>
      </c>
      <c r="BG16" s="31">
        <v>1008.379</v>
      </c>
      <c r="BH16" s="31">
        <v>4065.328</v>
      </c>
      <c r="BI16" s="31">
        <v>1851.6369999999999</v>
      </c>
      <c r="BJ16" s="31">
        <v>654.43399999999997</v>
      </c>
      <c r="BK16" s="31">
        <v>1259.4760000000001</v>
      </c>
      <c r="BL16" s="31">
        <v>731.30600000000004</v>
      </c>
      <c r="BM16" s="31">
        <v>955.40499999999997</v>
      </c>
      <c r="BN16" s="31">
        <v>497.69400000000002</v>
      </c>
      <c r="BO16" s="31">
        <v>1231.9860000000001</v>
      </c>
      <c r="BP16" s="31">
        <v>4081.4749999999999</v>
      </c>
      <c r="BQ16" s="31">
        <v>932.26900000000001</v>
      </c>
      <c r="BR16" s="31">
        <v>4391.4179999999997</v>
      </c>
      <c r="BS16" s="31">
        <v>3522.181</v>
      </c>
      <c r="BT16" s="31">
        <v>5510.6629999999996</v>
      </c>
      <c r="BU16" s="31">
        <v>4787.7160000000003</v>
      </c>
      <c r="BV16" s="31">
        <v>10456.599</v>
      </c>
      <c r="BW16" s="31">
        <v>9145.2690000000002</v>
      </c>
      <c r="BX16" s="31">
        <v>12182.01</v>
      </c>
      <c r="BY16" s="31">
        <v>9184.7569999999996</v>
      </c>
      <c r="BZ16" s="31">
        <v>9859.6509999999998</v>
      </c>
      <c r="CA16" s="31">
        <v>11176.617</v>
      </c>
      <c r="CB16" s="31">
        <v>20012.491000000002</v>
      </c>
      <c r="CC16" s="31">
        <v>181.43</v>
      </c>
      <c r="CD16" s="31">
        <v>83.120999999999995</v>
      </c>
      <c r="CE16" s="31">
        <v>1</v>
      </c>
      <c r="CG16" s="15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</row>
    <row r="17" spans="1:106" outlineLevel="3" x14ac:dyDescent="0.2">
      <c r="A17" s="14">
        <v>1</v>
      </c>
      <c r="C17" s="9" t="str">
        <f>"            Short Term Investments"</f>
        <v xml:space="preserve">            Short Term Investments</v>
      </c>
      <c r="D17" s="17">
        <f t="shared" si="0"/>
        <v>1599.68</v>
      </c>
      <c r="E17" s="17">
        <f t="shared" si="1"/>
        <v>2582.8680000000004</v>
      </c>
      <c r="F17" s="17">
        <f t="shared" si="2"/>
        <v>1003.159</v>
      </c>
      <c r="G17" s="17">
        <f t="shared" si="3"/>
        <v>4926.107</v>
      </c>
      <c r="H17" s="17">
        <f t="shared" si="4"/>
        <v>1562.8989999999999</v>
      </c>
      <c r="I17" s="17">
        <f t="shared" si="5"/>
        <v>4680.0709999999999</v>
      </c>
      <c r="J17" s="17">
        <f t="shared" si="6"/>
        <v>1658.7326051529515</v>
      </c>
      <c r="K17" s="18">
        <f t="shared" si="7"/>
        <v>0.64220572059933034</v>
      </c>
      <c r="L17" s="21"/>
      <c r="M17" s="21" t="s">
        <v>165</v>
      </c>
      <c r="N17" s="21"/>
      <c r="O17" s="21"/>
      <c r="P17" s="21"/>
      <c r="Q17" s="21"/>
      <c r="R17" s="21" t="s">
        <v>165</v>
      </c>
      <c r="S17" s="21" t="s">
        <v>165</v>
      </c>
      <c r="T17" s="21" t="s">
        <v>165</v>
      </c>
      <c r="U17" s="21" t="s">
        <v>165</v>
      </c>
      <c r="V17" s="21" t="s">
        <v>165</v>
      </c>
      <c r="W17" s="21" t="s">
        <v>165</v>
      </c>
      <c r="X17" s="21" t="s">
        <v>165</v>
      </c>
      <c r="Y17" s="21" t="s">
        <v>165</v>
      </c>
      <c r="Z17" s="21" t="s">
        <v>165</v>
      </c>
      <c r="AA17" s="21" t="s">
        <v>165</v>
      </c>
      <c r="AB17" s="21" t="s">
        <v>165</v>
      </c>
      <c r="AC17" s="21" t="s">
        <v>165</v>
      </c>
      <c r="AD17" s="21" t="s">
        <v>165</v>
      </c>
      <c r="AE17" s="21" t="s">
        <v>165</v>
      </c>
      <c r="AF17" s="21" t="s">
        <v>165</v>
      </c>
      <c r="AG17" s="21" t="s">
        <v>165</v>
      </c>
      <c r="AH17" s="21" t="s">
        <v>165</v>
      </c>
      <c r="AI17" s="21" t="s">
        <v>165</v>
      </c>
      <c r="AJ17" s="21" t="s">
        <v>165</v>
      </c>
      <c r="AK17" s="21" t="s">
        <v>165</v>
      </c>
      <c r="AL17" s="21" t="s">
        <v>165</v>
      </c>
      <c r="AM17" s="21" t="s">
        <v>165</v>
      </c>
      <c r="AN17" s="21" t="s">
        <v>165</v>
      </c>
      <c r="AO17" s="21" t="s">
        <v>165</v>
      </c>
      <c r="AP17" s="21" t="s">
        <v>165</v>
      </c>
      <c r="AQ17" s="21" t="s">
        <v>165</v>
      </c>
      <c r="AR17" s="21" t="s">
        <v>165</v>
      </c>
      <c r="AS17" s="21" t="s">
        <v>165</v>
      </c>
      <c r="AT17" s="21" t="s">
        <v>165</v>
      </c>
      <c r="AU17" s="21" t="s">
        <v>165</v>
      </c>
      <c r="AV17" s="21" t="s">
        <v>165</v>
      </c>
      <c r="AW17" s="21" t="s">
        <v>165</v>
      </c>
      <c r="AX17" s="21" t="s">
        <v>165</v>
      </c>
      <c r="AY17" s="21" t="s">
        <v>165</v>
      </c>
      <c r="AZ17" s="21" t="s">
        <v>165</v>
      </c>
      <c r="BA17" s="21" t="s">
        <v>165</v>
      </c>
      <c r="BB17" s="21" t="s">
        <v>165</v>
      </c>
      <c r="BC17" s="21" t="s">
        <v>165</v>
      </c>
      <c r="BD17" s="21" t="s">
        <v>165</v>
      </c>
      <c r="BE17" s="21" t="s">
        <v>165</v>
      </c>
      <c r="BF17" s="21" t="s">
        <v>165</v>
      </c>
      <c r="BG17" s="21" t="s">
        <v>165</v>
      </c>
      <c r="BH17" s="21" t="s">
        <v>165</v>
      </c>
      <c r="BI17" s="21" t="s">
        <v>165</v>
      </c>
      <c r="BJ17" s="21" t="s">
        <v>165</v>
      </c>
      <c r="BK17" s="21" t="s">
        <v>165</v>
      </c>
      <c r="BL17" s="21" t="s">
        <v>165</v>
      </c>
      <c r="BM17" s="21" t="s">
        <v>165</v>
      </c>
      <c r="BN17" s="21" t="s">
        <v>165</v>
      </c>
      <c r="BO17" s="21" t="s">
        <v>165</v>
      </c>
      <c r="BP17" s="21" t="s">
        <v>165</v>
      </c>
      <c r="BQ17" s="21" t="s">
        <v>165</v>
      </c>
      <c r="BR17" s="21" t="s">
        <v>165</v>
      </c>
      <c r="BS17" s="21" t="s">
        <v>165</v>
      </c>
      <c r="BT17" s="21">
        <v>1538.7380000000001</v>
      </c>
      <c r="BU17" s="21">
        <v>1625.306</v>
      </c>
      <c r="BV17" s="21">
        <v>1599.68</v>
      </c>
      <c r="BW17" s="21">
        <v>1562.8989999999999</v>
      </c>
      <c r="BX17" s="21">
        <v>1580.44</v>
      </c>
      <c r="BY17" s="21">
        <v>4926.107</v>
      </c>
      <c r="BZ17" s="21">
        <v>4729.4120000000003</v>
      </c>
      <c r="CA17" s="21">
        <v>4680.0709999999999</v>
      </c>
      <c r="CB17" s="21">
        <v>1003.159</v>
      </c>
      <c r="CC17" s="21" t="s">
        <v>165</v>
      </c>
      <c r="CD17" s="21" t="s">
        <v>165</v>
      </c>
      <c r="CE17" s="21" t="s">
        <v>165</v>
      </c>
      <c r="CG17" s="15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</row>
    <row r="18" spans="1:106" outlineLevel="3" x14ac:dyDescent="0.2">
      <c r="A18" s="14">
        <v>1</v>
      </c>
      <c r="C18" s="10" t="str">
        <f>"            Total Cash, Cash Equivalents and Short Term Investments"</f>
        <v xml:space="preserve">            Total Cash, Cash Equivalents and Short Term Investments</v>
      </c>
      <c r="D18" s="29">
        <f t="shared" si="0"/>
        <v>37045</v>
      </c>
      <c r="E18" s="29">
        <f t="shared" si="1"/>
        <v>40031.898338028179</v>
      </c>
      <c r="F18" s="29">
        <f t="shared" si="2"/>
        <v>1</v>
      </c>
      <c r="G18" s="29">
        <f t="shared" si="3"/>
        <v>215012</v>
      </c>
      <c r="H18" s="29">
        <f t="shared" si="4"/>
        <v>4073.4014999999999</v>
      </c>
      <c r="I18" s="29">
        <f t="shared" si="5"/>
        <v>56312</v>
      </c>
      <c r="J18" s="29">
        <f t="shared" si="6"/>
        <v>43639.098485652357</v>
      </c>
      <c r="K18" s="30">
        <f t="shared" si="7"/>
        <v>1.0901081461879496</v>
      </c>
      <c r="L18" s="31"/>
      <c r="M18" s="31">
        <v>120728</v>
      </c>
      <c r="N18" s="31">
        <v>125874.25</v>
      </c>
      <c r="O18" s="31">
        <v>72983</v>
      </c>
      <c r="P18" s="31">
        <v>38265.75</v>
      </c>
      <c r="Q18" s="31">
        <v>37174.25</v>
      </c>
      <c r="R18" s="31">
        <v>68171</v>
      </c>
      <c r="S18" s="31">
        <v>43372</v>
      </c>
      <c r="T18" s="31">
        <v>61549</v>
      </c>
      <c r="U18" s="31">
        <v>54253</v>
      </c>
      <c r="V18" s="31">
        <v>73896</v>
      </c>
      <c r="W18" s="31">
        <v>215012</v>
      </c>
      <c r="X18" s="31">
        <v>191279</v>
      </c>
      <c r="Y18" s="31">
        <v>105220</v>
      </c>
      <c r="Z18" s="31">
        <v>54064</v>
      </c>
      <c r="AA18" s="31">
        <v>55417</v>
      </c>
      <c r="AB18" s="31">
        <v>42222</v>
      </c>
      <c r="AC18" s="31">
        <v>59010</v>
      </c>
      <c r="AD18" s="31">
        <v>64373</v>
      </c>
      <c r="AE18" s="31">
        <v>83458</v>
      </c>
      <c r="AF18" s="31">
        <v>68860</v>
      </c>
      <c r="AG18" s="31">
        <v>45288</v>
      </c>
      <c r="AH18" s="31">
        <v>52922</v>
      </c>
      <c r="AI18" s="31">
        <v>143107</v>
      </c>
      <c r="AJ18" s="31">
        <v>97142</v>
      </c>
      <c r="AK18" s="31">
        <v>58657</v>
      </c>
      <c r="AL18" s="31">
        <v>57955</v>
      </c>
      <c r="AM18" s="31">
        <v>57207</v>
      </c>
      <c r="AN18" s="31">
        <v>53383</v>
      </c>
      <c r="AO18" s="31">
        <v>25745</v>
      </c>
      <c r="AP18" s="31">
        <v>49190</v>
      </c>
      <c r="AQ18" s="31">
        <v>37682</v>
      </c>
      <c r="AR18" s="31">
        <v>52471</v>
      </c>
      <c r="AS18" s="31">
        <v>32594</v>
      </c>
      <c r="AT18" s="31">
        <v>43599</v>
      </c>
      <c r="AU18" s="31">
        <v>26680</v>
      </c>
      <c r="AV18" s="31">
        <v>39855</v>
      </c>
      <c r="AW18" s="31">
        <v>37045</v>
      </c>
      <c r="AX18" s="31">
        <v>46396</v>
      </c>
      <c r="AY18" s="31">
        <v>35173</v>
      </c>
      <c r="AZ18" s="31">
        <v>39822</v>
      </c>
      <c r="BA18" s="31">
        <v>21339.717000000001</v>
      </c>
      <c r="BB18" s="31">
        <v>2850.0010000000002</v>
      </c>
      <c r="BC18" s="31">
        <v>1365.242</v>
      </c>
      <c r="BD18" s="31">
        <v>4358.8559999999998</v>
      </c>
      <c r="BE18" s="31">
        <v>3655.922</v>
      </c>
      <c r="BF18" s="31">
        <v>590.66999999999996</v>
      </c>
      <c r="BG18" s="31">
        <v>1008.379</v>
      </c>
      <c r="BH18" s="31">
        <v>4065.328</v>
      </c>
      <c r="BI18" s="31">
        <v>1851.6369999999999</v>
      </c>
      <c r="BJ18" s="31">
        <v>654.43399999999997</v>
      </c>
      <c r="BK18" s="31">
        <v>1259.4760000000001</v>
      </c>
      <c r="BL18" s="31">
        <v>731.30600000000004</v>
      </c>
      <c r="BM18" s="31">
        <v>955.40499999999997</v>
      </c>
      <c r="BN18" s="31">
        <v>497.69400000000002</v>
      </c>
      <c r="BO18" s="31">
        <v>1231.9860000000001</v>
      </c>
      <c r="BP18" s="31">
        <v>4081.4749999999999</v>
      </c>
      <c r="BQ18" s="31">
        <v>932.26900000000001</v>
      </c>
      <c r="BR18" s="31">
        <v>4391.4179999999997</v>
      </c>
      <c r="BS18" s="31">
        <v>3522.181</v>
      </c>
      <c r="BT18" s="31">
        <v>7049.4009999999998</v>
      </c>
      <c r="BU18" s="31">
        <v>6413.0219999999999</v>
      </c>
      <c r="BV18" s="31">
        <v>12056.279</v>
      </c>
      <c r="BW18" s="31">
        <v>10708.168</v>
      </c>
      <c r="BX18" s="31">
        <v>13762.45</v>
      </c>
      <c r="BY18" s="31">
        <v>14110.864</v>
      </c>
      <c r="BZ18" s="31">
        <v>14589.063</v>
      </c>
      <c r="CA18" s="31">
        <v>15856.688</v>
      </c>
      <c r="CB18" s="31">
        <v>21015.65</v>
      </c>
      <c r="CC18" s="31">
        <v>181.43</v>
      </c>
      <c r="CD18" s="31">
        <v>83.120999999999995</v>
      </c>
      <c r="CE18" s="31">
        <v>1</v>
      </c>
      <c r="CG18" s="15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</row>
    <row r="19" spans="1:106" outlineLevel="2" x14ac:dyDescent="0.2">
      <c r="A19" s="14">
        <v>1</v>
      </c>
      <c r="C19" s="9" t="str">
        <f>"        Cash Restricted or Pledged, Current"</f>
        <v xml:space="preserve">        Cash Restricted or Pledged, Current</v>
      </c>
      <c r="D19" s="17">
        <f t="shared" si="0"/>
        <v>3342</v>
      </c>
      <c r="E19" s="17">
        <f t="shared" si="1"/>
        <v>3695.1428571428573</v>
      </c>
      <c r="F19" s="17">
        <f t="shared" si="2"/>
        <v>3334</v>
      </c>
      <c r="G19" s="17">
        <f t="shared" si="3"/>
        <v>5821</v>
      </c>
      <c r="H19" s="17">
        <f t="shared" si="4"/>
        <v>3338</v>
      </c>
      <c r="I19" s="17">
        <f t="shared" si="5"/>
        <v>3346.5</v>
      </c>
      <c r="J19" s="17">
        <f t="shared" si="6"/>
        <v>937.4274067132568</v>
      </c>
      <c r="K19" s="18">
        <f t="shared" si="7"/>
        <v>0.25369179026493455</v>
      </c>
      <c r="L19" s="21"/>
      <c r="M19" s="21" t="s">
        <v>165</v>
      </c>
      <c r="N19" s="21"/>
      <c r="O19" s="21"/>
      <c r="P19" s="21"/>
      <c r="Q19" s="21"/>
      <c r="R19" s="21" t="s">
        <v>165</v>
      </c>
      <c r="S19" s="21" t="s">
        <v>165</v>
      </c>
      <c r="T19" s="21" t="s">
        <v>165</v>
      </c>
      <c r="U19" s="21" t="s">
        <v>165</v>
      </c>
      <c r="V19" s="21" t="s">
        <v>165</v>
      </c>
      <c r="W19" s="21" t="s">
        <v>165</v>
      </c>
      <c r="X19" s="21" t="s">
        <v>165</v>
      </c>
      <c r="Y19" s="21" t="s">
        <v>165</v>
      </c>
      <c r="Z19" s="21" t="s">
        <v>165</v>
      </c>
      <c r="AA19" s="21" t="s">
        <v>165</v>
      </c>
      <c r="AB19" s="21" t="s">
        <v>165</v>
      </c>
      <c r="AC19" s="21" t="s">
        <v>165</v>
      </c>
      <c r="AD19" s="21" t="s">
        <v>165</v>
      </c>
      <c r="AE19" s="21" t="s">
        <v>165</v>
      </c>
      <c r="AF19" s="21" t="s">
        <v>165</v>
      </c>
      <c r="AG19" s="21" t="s">
        <v>165</v>
      </c>
      <c r="AH19" s="21" t="s">
        <v>165</v>
      </c>
      <c r="AI19" s="21">
        <v>3348</v>
      </c>
      <c r="AJ19" s="21">
        <v>3345</v>
      </c>
      <c r="AK19" s="21">
        <v>3342</v>
      </c>
      <c r="AL19" s="21">
        <v>3340</v>
      </c>
      <c r="AM19" s="21">
        <v>3336</v>
      </c>
      <c r="AN19" s="21">
        <v>3334</v>
      </c>
      <c r="AO19" s="21" t="s">
        <v>165</v>
      </c>
      <c r="AP19" s="21" t="s">
        <v>165</v>
      </c>
      <c r="AQ19" s="21" t="s">
        <v>165</v>
      </c>
      <c r="AR19" s="21">
        <v>5821</v>
      </c>
      <c r="AS19" s="21" t="s">
        <v>165</v>
      </c>
      <c r="AT19" s="21" t="s">
        <v>165</v>
      </c>
      <c r="AU19" s="21" t="s">
        <v>165</v>
      </c>
      <c r="AV19" s="21" t="s">
        <v>165</v>
      </c>
      <c r="AW19" s="21" t="s">
        <v>165</v>
      </c>
      <c r="AX19" s="21" t="s">
        <v>165</v>
      </c>
      <c r="AY19" s="21" t="s">
        <v>165</v>
      </c>
      <c r="AZ19" s="21" t="s">
        <v>165</v>
      </c>
      <c r="BA19" s="21" t="s">
        <v>165</v>
      </c>
      <c r="BB19" s="21" t="s">
        <v>165</v>
      </c>
      <c r="BC19" s="21" t="s">
        <v>165</v>
      </c>
      <c r="BD19" s="21" t="s">
        <v>165</v>
      </c>
      <c r="BE19" s="21" t="s">
        <v>165</v>
      </c>
      <c r="BF19" s="21" t="s">
        <v>165</v>
      </c>
      <c r="BG19" s="21" t="s">
        <v>165</v>
      </c>
      <c r="BH19" s="21" t="s">
        <v>165</v>
      </c>
      <c r="BI19" s="21" t="s">
        <v>165</v>
      </c>
      <c r="BJ19" s="21" t="s">
        <v>165</v>
      </c>
      <c r="BK19" s="21" t="s">
        <v>165</v>
      </c>
      <c r="BL19" s="21" t="s">
        <v>165</v>
      </c>
      <c r="BM19" s="21" t="s">
        <v>165</v>
      </c>
      <c r="BN19" s="21" t="s">
        <v>165</v>
      </c>
      <c r="BO19" s="21" t="s">
        <v>165</v>
      </c>
      <c r="BP19" s="21" t="s">
        <v>165</v>
      </c>
      <c r="BQ19" s="21" t="s">
        <v>165</v>
      </c>
      <c r="BR19" s="21" t="s">
        <v>165</v>
      </c>
      <c r="BS19" s="21" t="s">
        <v>165</v>
      </c>
      <c r="BT19" s="21" t="s">
        <v>165</v>
      </c>
      <c r="BU19" s="21" t="s">
        <v>165</v>
      </c>
      <c r="BV19" s="21" t="s">
        <v>165</v>
      </c>
      <c r="BW19" s="21" t="s">
        <v>165</v>
      </c>
      <c r="BX19" s="21" t="s">
        <v>165</v>
      </c>
      <c r="BY19" s="21" t="s">
        <v>165</v>
      </c>
      <c r="BZ19" s="21" t="s">
        <v>165</v>
      </c>
      <c r="CA19" s="21" t="s">
        <v>165</v>
      </c>
      <c r="CB19" s="21" t="s">
        <v>165</v>
      </c>
      <c r="CC19" s="21" t="s">
        <v>165</v>
      </c>
      <c r="CD19" s="21" t="s">
        <v>165</v>
      </c>
      <c r="CE19" s="21" t="s">
        <v>165</v>
      </c>
      <c r="CG19" s="15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</row>
    <row r="20" spans="1:106" outlineLevel="2" x14ac:dyDescent="0.2">
      <c r="A20" s="14">
        <v>1</v>
      </c>
      <c r="C20" s="9" t="str">
        <f>IF(SUBTOTAL(109,A20)=A20,"        Inventories","        Inventories")</f>
        <v xml:space="preserve">        Inventories</v>
      </c>
      <c r="D20" s="17" t="str">
        <f t="shared" si="0"/>
        <v/>
      </c>
      <c r="E20" s="17" t="str">
        <f t="shared" si="1"/>
        <v/>
      </c>
      <c r="F20" s="17" t="str">
        <f t="shared" si="2"/>
        <v/>
      </c>
      <c r="G20" s="17" t="str">
        <f t="shared" si="3"/>
        <v/>
      </c>
      <c r="H20" s="17" t="str">
        <f t="shared" si="4"/>
        <v/>
      </c>
      <c r="I20" s="17" t="str">
        <f t="shared" si="5"/>
        <v/>
      </c>
      <c r="J20" s="17" t="str">
        <f t="shared" si="6"/>
        <v/>
      </c>
      <c r="K20" s="18" t="str">
        <f t="shared" si="7"/>
        <v/>
      </c>
      <c r="L20" s="21"/>
      <c r="M20" s="21" t="str">
        <f>IF(SUBTOTAL(109,A20)=A20,"",136660)</f>
        <v/>
      </c>
      <c r="N20" s="21"/>
      <c r="O20" s="21"/>
      <c r="P20" s="21"/>
      <c r="Q20" s="21"/>
      <c r="R20" s="21" t="str">
        <f>IF(SUBTOTAL(109,A20)=A20,"",178946)</f>
        <v/>
      </c>
      <c r="S20" s="21" t="str">
        <f>IF(SUBTOTAL(109,A20)=A20,"",161067)</f>
        <v/>
      </c>
      <c r="T20" s="21" t="str">
        <f>IF(SUBTOTAL(109,A20)=A20,"",131682)</f>
        <v/>
      </c>
      <c r="U20" s="21" t="str">
        <f>IF(SUBTOTAL(109,A20)=A20,"",128096)</f>
        <v/>
      </c>
      <c r="V20" s="21" t="str">
        <f>IF(SUBTOTAL(109,A20)=A20,"",116497)</f>
        <v/>
      </c>
      <c r="W20" s="21" t="str">
        <f>IF(SUBTOTAL(109,A20)=A20,"",87649)</f>
        <v/>
      </c>
      <c r="X20" s="21" t="str">
        <f>IF(SUBTOTAL(109,A20)=A20,"",77789)</f>
        <v/>
      </c>
      <c r="Y20" s="21" t="str">
        <f>IF(SUBTOTAL(109,A20)=A20,"",75542)</f>
        <v/>
      </c>
      <c r="Z20" s="21" t="str">
        <f>IF(SUBTOTAL(109,A20)=A20,"",100897)</f>
        <v/>
      </c>
      <c r="AA20" s="21" t="str">
        <f>IF(SUBTOTAL(109,A20)=A20,"",90086)</f>
        <v/>
      </c>
      <c r="AB20" s="21" t="str">
        <f>IF(SUBTOTAL(109,A20)=A20,"",76895)</f>
        <v/>
      </c>
      <c r="AC20" s="21" t="str">
        <f>IF(SUBTOTAL(109,A20)=A20,"",97021)</f>
        <v/>
      </c>
      <c r="AD20" s="21" t="str">
        <f>IF(SUBTOTAL(109,A20)=A20,"",99243)</f>
        <v/>
      </c>
      <c r="AE20" s="21" t="str">
        <f>IF(SUBTOTAL(109,A20)=A20,"",101317)</f>
        <v/>
      </c>
      <c r="AF20" s="21" t="str">
        <f>IF(SUBTOTAL(109,A20)=A20,"",86742)</f>
        <v/>
      </c>
      <c r="AG20" s="21" t="str">
        <f>IF(SUBTOTAL(109,A20)=A20,"",86807)</f>
        <v/>
      </c>
      <c r="AH20" s="21" t="str">
        <f>IF(SUBTOTAL(109,A20)=A20,"",76261)</f>
        <v/>
      </c>
      <c r="AI20" s="21" t="str">
        <f>IF(SUBTOTAL(109,A20)=A20,"",63232)</f>
        <v/>
      </c>
      <c r="AJ20" s="21" t="str">
        <f>IF(SUBTOTAL(109,A20)=A20,"",62998)</f>
        <v/>
      </c>
      <c r="AK20" s="21" t="str">
        <f>IF(SUBTOTAL(109,A20)=A20,"",69208)</f>
        <v/>
      </c>
      <c r="AL20" s="21" t="str">
        <f>IF(SUBTOTAL(109,A20)=A20,"",65335)</f>
        <v/>
      </c>
      <c r="AM20" s="21" t="str">
        <f>IF(SUBTOTAL(109,A20)=A20,"",62827)</f>
        <v/>
      </c>
      <c r="AN20" s="21" t="str">
        <f>IF(SUBTOTAL(109,A20)=A20,"",55296)</f>
        <v/>
      </c>
      <c r="AO20" s="21" t="str">
        <f>IF(SUBTOTAL(109,A20)=A20,"",60159)</f>
        <v/>
      </c>
      <c r="AP20" s="21" t="str">
        <f>IF(SUBTOTAL(109,A20)=A20,"",59278)</f>
        <v/>
      </c>
      <c r="AQ20" s="21" t="str">
        <f>IF(SUBTOTAL(109,A20)=A20,"",57567)</f>
        <v/>
      </c>
      <c r="AR20" s="21" t="str">
        <f>IF(SUBTOTAL(109,A20)=A20,"",51720)</f>
        <v/>
      </c>
      <c r="AS20" s="21" t="str">
        <f>IF(SUBTOTAL(109,A20)=A20,"",56191)</f>
        <v/>
      </c>
      <c r="AT20" s="21" t="str">
        <f>IF(SUBTOTAL(109,A20)=A20,"",58166)</f>
        <v/>
      </c>
      <c r="AU20" s="21" t="str">
        <f>IF(SUBTOTAL(109,A20)=A20,"",62635)</f>
        <v/>
      </c>
      <c r="AV20" s="21" t="str">
        <f>IF(SUBTOTAL(109,A20)=A20,"",50725)</f>
        <v/>
      </c>
      <c r="AW20" s="21" t="str">
        <f>IF(SUBTOTAL(109,A20)=A20,"",47662)</f>
        <v/>
      </c>
      <c r="AX20" s="21" t="str">
        <f>IF(SUBTOTAL(109,A20)=A20,"",45535)</f>
        <v/>
      </c>
      <c r="AY20" s="21" t="str">
        <f>IF(SUBTOTAL(109,A20)=A20,"",47401)</f>
        <v/>
      </c>
      <c r="AZ20" s="21" t="str">
        <f>IF(SUBTOTAL(109,A20)=A20,"",41729)</f>
        <v/>
      </c>
      <c r="BA20" s="21" t="str">
        <f>IF(SUBTOTAL(109,A20)=A20,"",46107.97)</f>
        <v/>
      </c>
      <c r="BB20" s="21" t="str">
        <f>IF(SUBTOTAL(109,A20)=A20,"",53944.028)</f>
        <v/>
      </c>
      <c r="BC20" s="21" t="str">
        <f>IF(SUBTOTAL(109,A20)=A20,"",52643.002)</f>
        <v/>
      </c>
      <c r="BD20" s="21" t="str">
        <f>IF(SUBTOTAL(109,A20)=A20,"",47159.978)</f>
        <v/>
      </c>
      <c r="BE20" s="21" t="str">
        <f>IF(SUBTOTAL(109,A20)=A20,"",51439.141)</f>
        <v/>
      </c>
      <c r="BF20" s="21" t="str">
        <f>IF(SUBTOTAL(109,A20)=A20,"",51850.324)</f>
        <v/>
      </c>
      <c r="BG20" s="21" t="str">
        <f>IF(SUBTOTAL(109,A20)=A20,"",41239.542)</f>
        <v/>
      </c>
      <c r="BH20" s="21" t="str">
        <f>IF(SUBTOTAL(109,A20)=A20,"",32022.293)</f>
        <v/>
      </c>
      <c r="BI20" s="21" t="str">
        <f>IF(SUBTOTAL(109,A20)=A20,"",34033.548)</f>
        <v/>
      </c>
      <c r="BJ20" s="21" t="str">
        <f>IF(SUBTOTAL(109,A20)=A20,"",21619.744)</f>
        <v/>
      </c>
      <c r="BK20" s="21" t="str">
        <f>IF(SUBTOTAL(109,A20)=A20,"",23156.202)</f>
        <v/>
      </c>
      <c r="BL20" s="21" t="str">
        <f>IF(SUBTOTAL(109,A20)=A20,"",19101.507)</f>
        <v/>
      </c>
      <c r="BM20" s="21" t="str">
        <f>IF(SUBTOTAL(109,A20)=A20,"",20776.154)</f>
        <v/>
      </c>
      <c r="BN20" s="21" t="str">
        <f>IF(SUBTOTAL(109,A20)=A20,"",23413.728)</f>
        <v/>
      </c>
      <c r="BO20" s="21" t="str">
        <f>IF(SUBTOTAL(109,A20)=A20,"",22741.948)</f>
        <v/>
      </c>
      <c r="BP20" s="21" t="str">
        <f>IF(SUBTOTAL(109,A20)=A20,"",19892.581)</f>
        <v/>
      </c>
      <c r="BQ20" s="21" t="str">
        <f>IF(SUBTOTAL(109,A20)=A20,"",16991.376)</f>
        <v/>
      </c>
      <c r="BR20" s="21" t="str">
        <f>IF(SUBTOTAL(109,A20)=A20,"",17480.834)</f>
        <v/>
      </c>
      <c r="BS20" s="21" t="str">
        <f>IF(SUBTOTAL(109,A20)=A20,"",17687.705)</f>
        <v/>
      </c>
      <c r="BT20" s="21" t="str">
        <f>IF(SUBTOTAL(109,A20)=A20,"",15986.705)</f>
        <v/>
      </c>
      <c r="BU20" s="21" t="str">
        <f>IF(SUBTOTAL(109,A20)=A20,"",15087.314)</f>
        <v/>
      </c>
      <c r="BV20" s="21" t="str">
        <f>IF(SUBTOTAL(109,A20)=A20,"",15800.227)</f>
        <v/>
      </c>
      <c r="BW20" s="21" t="str">
        <f>IF(SUBTOTAL(109,A20)=A20,"",16362.346)</f>
        <v/>
      </c>
      <c r="BX20" s="21" t="str">
        <f>IF(SUBTOTAL(109,A20)=A20,"",15599.305)</f>
        <v/>
      </c>
      <c r="BY20" s="21" t="str">
        <f>IF(SUBTOTAL(109,A20)=A20,"",14918.652)</f>
        <v/>
      </c>
      <c r="BZ20" s="21" t="str">
        <f>IF(SUBTOTAL(109,A20)=A20,"",18274.431)</f>
        <v/>
      </c>
      <c r="CA20" s="21" t="str">
        <f>IF(SUBTOTAL(109,A20)=A20,"",18688.304)</f>
        <v/>
      </c>
      <c r="CB20" s="21" t="str">
        <f>IF(SUBTOTAL(109,A20)=A20,"",19354.781)</f>
        <v/>
      </c>
      <c r="CC20" s="21" t="str">
        <f>IF(SUBTOTAL(109,A20)=A20,"",8.42)</f>
        <v/>
      </c>
      <c r="CD20" s="21" t="str">
        <f>IF(SUBTOTAL(109,A20)=A20,"","")</f>
        <v/>
      </c>
      <c r="CE20" s="21" t="str">
        <f>IF(SUBTOTAL(109,A20)=A20,"","")</f>
        <v/>
      </c>
      <c r="CG20" s="15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</row>
    <row r="21" spans="1:106" outlineLevel="3" x14ac:dyDescent="0.2">
      <c r="A21" s="14">
        <v>1</v>
      </c>
      <c r="C21" s="9" t="str">
        <f>"            Raw Materials, Consumables and Supplies"</f>
        <v xml:space="preserve">            Raw Materials, Consumables and Supplies</v>
      </c>
      <c r="D21" s="17">
        <f t="shared" si="0"/>
        <v>5362</v>
      </c>
      <c r="E21" s="17">
        <f t="shared" si="1"/>
        <v>5694.029029411764</v>
      </c>
      <c r="F21" s="17">
        <f t="shared" si="2"/>
        <v>565.60900000000004</v>
      </c>
      <c r="G21" s="17">
        <f t="shared" si="3"/>
        <v>13481</v>
      </c>
      <c r="H21" s="17">
        <f t="shared" si="4"/>
        <v>1747.787</v>
      </c>
      <c r="I21" s="17">
        <f t="shared" si="5"/>
        <v>8455.75</v>
      </c>
      <c r="J21" s="17">
        <f t="shared" si="6"/>
        <v>3684.1137445248987</v>
      </c>
      <c r="K21" s="18">
        <f t="shared" si="7"/>
        <v>0.64701351635109161</v>
      </c>
      <c r="L21" s="21"/>
      <c r="M21" s="21">
        <v>10709</v>
      </c>
      <c r="N21" s="21">
        <v>8593</v>
      </c>
      <c r="O21" s="21">
        <v>10105.5</v>
      </c>
      <c r="P21" s="21">
        <v>13302.25</v>
      </c>
      <c r="Q21" s="21">
        <v>13226.75</v>
      </c>
      <c r="R21" s="21">
        <v>13090</v>
      </c>
      <c r="S21" s="21">
        <v>11849</v>
      </c>
      <c r="T21" s="21">
        <v>10046</v>
      </c>
      <c r="U21" s="21">
        <v>10334</v>
      </c>
      <c r="V21" s="21">
        <v>13481</v>
      </c>
      <c r="W21" s="21">
        <v>9518</v>
      </c>
      <c r="X21" s="21">
        <v>9148</v>
      </c>
      <c r="Y21" s="21">
        <v>9366</v>
      </c>
      <c r="Z21" s="21">
        <v>8410</v>
      </c>
      <c r="AA21" s="21">
        <v>6061</v>
      </c>
      <c r="AB21" s="21">
        <v>6894</v>
      </c>
      <c r="AC21" s="21">
        <v>9058</v>
      </c>
      <c r="AD21" s="21">
        <v>7348</v>
      </c>
      <c r="AE21" s="21">
        <v>6707</v>
      </c>
      <c r="AF21" s="21">
        <v>5467</v>
      </c>
      <c r="AG21" s="21">
        <v>4987</v>
      </c>
      <c r="AH21" s="21">
        <v>5540</v>
      </c>
      <c r="AI21" s="21">
        <v>3907</v>
      </c>
      <c r="AJ21" s="21">
        <v>3972</v>
      </c>
      <c r="AK21" s="21">
        <v>4141</v>
      </c>
      <c r="AL21" s="21">
        <v>4707</v>
      </c>
      <c r="AM21" s="21">
        <v>5257</v>
      </c>
      <c r="AN21" s="21">
        <v>4454</v>
      </c>
      <c r="AO21" s="21">
        <v>7674</v>
      </c>
      <c r="AP21" s="21">
        <v>7496</v>
      </c>
      <c r="AQ21" s="21">
        <v>9784</v>
      </c>
      <c r="AR21" s="21">
        <v>9375</v>
      </c>
      <c r="AS21" s="21">
        <v>9633</v>
      </c>
      <c r="AT21" s="21">
        <v>8189</v>
      </c>
      <c r="AU21" s="21">
        <v>8176</v>
      </c>
      <c r="AV21" s="21">
        <v>7680</v>
      </c>
      <c r="AW21" s="21">
        <v>6040</v>
      </c>
      <c r="AX21" s="21">
        <v>5885</v>
      </c>
      <c r="AY21" s="21">
        <v>7019</v>
      </c>
      <c r="AZ21" s="21">
        <v>4496</v>
      </c>
      <c r="BA21" s="21">
        <v>5082.6530000000002</v>
      </c>
      <c r="BB21" s="21">
        <v>5700.3379999999997</v>
      </c>
      <c r="BC21" s="21">
        <v>6123.424</v>
      </c>
      <c r="BD21" s="21">
        <v>5152.47</v>
      </c>
      <c r="BE21" s="21">
        <v>4937.2740000000003</v>
      </c>
      <c r="BF21" s="21">
        <v>4756.0050000000001</v>
      </c>
      <c r="BG21" s="21">
        <v>4044.4780000000001</v>
      </c>
      <c r="BH21" s="21">
        <v>3858.07</v>
      </c>
      <c r="BI21" s="21">
        <v>3710.7930000000001</v>
      </c>
      <c r="BJ21" s="21">
        <v>1275.521</v>
      </c>
      <c r="BK21" s="21">
        <v>1462.472</v>
      </c>
      <c r="BL21" s="21">
        <v>1445.527</v>
      </c>
      <c r="BM21" s="21">
        <v>1613.8520000000001</v>
      </c>
      <c r="BN21" s="21">
        <v>1792.432</v>
      </c>
      <c r="BO21" s="21">
        <v>1915.9459999999999</v>
      </c>
      <c r="BP21" s="21">
        <v>1544.3779999999999</v>
      </c>
      <c r="BQ21" s="21">
        <v>1359.126</v>
      </c>
      <c r="BR21" s="21">
        <v>1096.874</v>
      </c>
      <c r="BS21" s="21">
        <v>831.94</v>
      </c>
      <c r="BT21" s="21">
        <v>709.62599999999998</v>
      </c>
      <c r="BU21" s="21">
        <v>565.60900000000004</v>
      </c>
      <c r="BV21" s="21">
        <v>687.52800000000002</v>
      </c>
      <c r="BW21" s="21">
        <v>945.14700000000005</v>
      </c>
      <c r="BX21" s="21">
        <v>913.26800000000003</v>
      </c>
      <c r="BY21" s="21">
        <v>1091.9349999999999</v>
      </c>
      <c r="BZ21" s="21">
        <v>1160.162</v>
      </c>
      <c r="CA21" s="21">
        <v>1259.452</v>
      </c>
      <c r="CB21" s="21">
        <v>1032.174</v>
      </c>
      <c r="CC21" s="21" t="s">
        <v>165</v>
      </c>
      <c r="CD21" s="21" t="s">
        <v>165</v>
      </c>
      <c r="CE21" s="21" t="s">
        <v>165</v>
      </c>
      <c r="CG21" s="15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</row>
    <row r="22" spans="1:106" outlineLevel="3" x14ac:dyDescent="0.2">
      <c r="A22" s="14">
        <v>1</v>
      </c>
      <c r="C22" s="9" t="str">
        <f>"            Work-in-Process"</f>
        <v xml:space="preserve">            Work-in-Process</v>
      </c>
      <c r="D22" s="17">
        <f t="shared" si="0"/>
        <v>7614.5</v>
      </c>
      <c r="E22" s="17">
        <f t="shared" si="1"/>
        <v>7635.6939264705879</v>
      </c>
      <c r="F22" s="17">
        <f t="shared" si="2"/>
        <v>1654.7190000000001</v>
      </c>
      <c r="G22" s="17">
        <f t="shared" si="3"/>
        <v>34464</v>
      </c>
      <c r="H22" s="17">
        <f t="shared" si="4"/>
        <v>2953.8445000000002</v>
      </c>
      <c r="I22" s="17">
        <f t="shared" si="5"/>
        <v>8361.5480000000007</v>
      </c>
      <c r="J22" s="17">
        <f t="shared" si="6"/>
        <v>6366.8854635941452</v>
      </c>
      <c r="K22" s="18">
        <f t="shared" si="7"/>
        <v>0.83383193785729459</v>
      </c>
      <c r="L22" s="21"/>
      <c r="M22" s="21">
        <v>5304</v>
      </c>
      <c r="N22" s="21">
        <v>7570.25</v>
      </c>
      <c r="O22" s="21">
        <v>6314.25</v>
      </c>
      <c r="P22" s="21">
        <v>6502.25</v>
      </c>
      <c r="Q22" s="21">
        <v>7027.5</v>
      </c>
      <c r="R22" s="21">
        <v>8057</v>
      </c>
      <c r="S22" s="21">
        <v>8566</v>
      </c>
      <c r="T22" s="21">
        <v>9379</v>
      </c>
      <c r="U22" s="21">
        <v>10091</v>
      </c>
      <c r="V22" s="21">
        <v>10512</v>
      </c>
      <c r="W22" s="21">
        <v>9659</v>
      </c>
      <c r="X22" s="21">
        <v>9263</v>
      </c>
      <c r="Y22" s="21">
        <v>8047</v>
      </c>
      <c r="Z22" s="21">
        <v>8244</v>
      </c>
      <c r="AA22" s="21">
        <v>7406</v>
      </c>
      <c r="AB22" s="21">
        <v>7492</v>
      </c>
      <c r="AC22" s="21">
        <v>9178</v>
      </c>
      <c r="AD22" s="21">
        <v>6512</v>
      </c>
      <c r="AE22" s="21">
        <v>6251</v>
      </c>
      <c r="AF22" s="21">
        <v>7643</v>
      </c>
      <c r="AG22" s="21">
        <v>8991</v>
      </c>
      <c r="AH22" s="21">
        <v>7762</v>
      </c>
      <c r="AI22" s="21">
        <v>7237</v>
      </c>
      <c r="AJ22" s="21">
        <v>7852</v>
      </c>
      <c r="AK22" s="21">
        <v>8561</v>
      </c>
      <c r="AL22" s="21">
        <v>9940</v>
      </c>
      <c r="AM22" s="21">
        <v>8597</v>
      </c>
      <c r="AN22" s="21">
        <v>7889</v>
      </c>
      <c r="AO22" s="21">
        <v>34464</v>
      </c>
      <c r="AP22" s="21">
        <v>34288</v>
      </c>
      <c r="AQ22" s="21">
        <v>28844</v>
      </c>
      <c r="AR22" s="21">
        <v>8091</v>
      </c>
      <c r="AS22" s="21">
        <v>7856</v>
      </c>
      <c r="AT22" s="21">
        <v>7976</v>
      </c>
      <c r="AU22" s="21">
        <v>8198</v>
      </c>
      <c r="AV22" s="21">
        <v>22422</v>
      </c>
      <c r="AW22" s="21">
        <v>7586</v>
      </c>
      <c r="AX22" s="21">
        <v>8774</v>
      </c>
      <c r="AY22" s="21">
        <v>8567</v>
      </c>
      <c r="AZ22" s="21">
        <v>6793</v>
      </c>
      <c r="BA22" s="21">
        <v>7874.8649999999998</v>
      </c>
      <c r="BB22" s="21">
        <v>7982.3410000000003</v>
      </c>
      <c r="BC22" s="21">
        <v>7679.0590000000002</v>
      </c>
      <c r="BD22" s="21">
        <v>6979.0720000000001</v>
      </c>
      <c r="BE22" s="21">
        <v>8295.0640000000003</v>
      </c>
      <c r="BF22" s="21">
        <v>8044.7529999999997</v>
      </c>
      <c r="BG22" s="21">
        <v>6929.5020000000004</v>
      </c>
      <c r="BH22" s="21">
        <v>5499.4780000000001</v>
      </c>
      <c r="BI22" s="21">
        <v>7713.8540000000003</v>
      </c>
      <c r="BJ22" s="21">
        <v>3338.4279999999999</v>
      </c>
      <c r="BK22" s="21">
        <v>2954.0590000000002</v>
      </c>
      <c r="BL22" s="21">
        <v>2611.067</v>
      </c>
      <c r="BM22" s="21">
        <v>2864.5140000000001</v>
      </c>
      <c r="BN22" s="21">
        <v>2953.201</v>
      </c>
      <c r="BO22" s="21">
        <v>2630.433</v>
      </c>
      <c r="BP22" s="21">
        <v>1917.912</v>
      </c>
      <c r="BQ22" s="21">
        <v>2363.415</v>
      </c>
      <c r="BR22" s="21">
        <v>2145.047</v>
      </c>
      <c r="BS22" s="21">
        <v>2018.855</v>
      </c>
      <c r="BT22" s="21">
        <v>1897.614</v>
      </c>
      <c r="BU22" s="21">
        <v>2168.7559999999999</v>
      </c>
      <c r="BV22" s="21">
        <v>2184.1439999999998</v>
      </c>
      <c r="BW22" s="21">
        <v>1764.4190000000001</v>
      </c>
      <c r="BX22" s="21">
        <v>1897.6679999999999</v>
      </c>
      <c r="BY22" s="21">
        <v>1767.4369999999999</v>
      </c>
      <c r="BZ22" s="21">
        <v>1665.3779999999999</v>
      </c>
      <c r="CA22" s="21">
        <v>1725.883</v>
      </c>
      <c r="CB22" s="21">
        <v>1654.7190000000001</v>
      </c>
      <c r="CC22" s="21" t="s">
        <v>165</v>
      </c>
      <c r="CD22" s="21" t="s">
        <v>165</v>
      </c>
      <c r="CE22" s="21" t="s">
        <v>165</v>
      </c>
      <c r="CG22" s="15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</row>
    <row r="23" spans="1:106" outlineLevel="3" x14ac:dyDescent="0.2">
      <c r="A23" s="14">
        <v>1</v>
      </c>
      <c r="C23" s="9" t="str">
        <f>"            Finished Goods and Merchandise"</f>
        <v xml:space="preserve">            Finished Goods and Merchandise</v>
      </c>
      <c r="D23" s="17">
        <f t="shared" si="0"/>
        <v>38454.4015</v>
      </c>
      <c r="E23" s="17">
        <f t="shared" si="1"/>
        <v>49415.551602941181</v>
      </c>
      <c r="F23" s="17">
        <f t="shared" si="2"/>
        <v>12059.28</v>
      </c>
      <c r="G23" s="17">
        <f t="shared" si="3"/>
        <v>163682</v>
      </c>
      <c r="H23" s="17">
        <f t="shared" si="4"/>
        <v>17889.25</v>
      </c>
      <c r="I23" s="17">
        <f t="shared" si="5"/>
        <v>69561.25</v>
      </c>
      <c r="J23" s="17">
        <f t="shared" si="6"/>
        <v>38653.270854538314</v>
      </c>
      <c r="K23" s="18">
        <f t="shared" si="7"/>
        <v>0.7822086286746559</v>
      </c>
      <c r="L23" s="21"/>
      <c r="M23" s="21">
        <v>120647</v>
      </c>
      <c r="N23" s="21">
        <v>78921.75</v>
      </c>
      <c r="O23" s="21">
        <v>117013.5</v>
      </c>
      <c r="P23" s="21">
        <v>163682</v>
      </c>
      <c r="Q23" s="21">
        <v>144185</v>
      </c>
      <c r="R23" s="21">
        <v>157799</v>
      </c>
      <c r="S23" s="21">
        <v>140652</v>
      </c>
      <c r="T23" s="21">
        <v>112257</v>
      </c>
      <c r="U23" s="21">
        <v>107671</v>
      </c>
      <c r="V23" s="21">
        <v>92504</v>
      </c>
      <c r="W23" s="21">
        <v>68472</v>
      </c>
      <c r="X23" s="21">
        <v>59378</v>
      </c>
      <c r="Y23" s="21">
        <v>58129</v>
      </c>
      <c r="Z23" s="21">
        <v>84243</v>
      </c>
      <c r="AA23" s="21">
        <v>76619</v>
      </c>
      <c r="AB23" s="21">
        <v>62509</v>
      </c>
      <c r="AC23" s="21">
        <v>78785</v>
      </c>
      <c r="AD23" s="21">
        <v>85383</v>
      </c>
      <c r="AE23" s="21">
        <v>88359</v>
      </c>
      <c r="AF23" s="21">
        <v>73632</v>
      </c>
      <c r="AG23" s="21">
        <v>72829</v>
      </c>
      <c r="AH23" s="21">
        <v>62959</v>
      </c>
      <c r="AI23" s="21">
        <v>52088</v>
      </c>
      <c r="AJ23" s="21">
        <v>51174</v>
      </c>
      <c r="AK23" s="21">
        <v>56506</v>
      </c>
      <c r="AL23" s="21">
        <v>50688</v>
      </c>
      <c r="AM23" s="21">
        <v>48973</v>
      </c>
      <c r="AN23" s="21">
        <v>42953</v>
      </c>
      <c r="AO23" s="21">
        <v>18021</v>
      </c>
      <c r="AP23" s="21">
        <v>17494</v>
      </c>
      <c r="AQ23" s="21">
        <v>18939</v>
      </c>
      <c r="AR23" s="21">
        <v>34254</v>
      </c>
      <c r="AS23" s="21">
        <v>38702</v>
      </c>
      <c r="AT23" s="21">
        <v>42001</v>
      </c>
      <c r="AU23" s="21">
        <v>46261</v>
      </c>
      <c r="AV23" s="21">
        <v>20623</v>
      </c>
      <c r="AW23" s="21">
        <v>34036</v>
      </c>
      <c r="AX23" s="21">
        <v>30876</v>
      </c>
      <c r="AY23" s="21">
        <v>31815</v>
      </c>
      <c r="AZ23" s="21">
        <v>30440</v>
      </c>
      <c r="BA23" s="21">
        <v>33150.451999999997</v>
      </c>
      <c r="BB23" s="21">
        <v>40261.349000000002</v>
      </c>
      <c r="BC23" s="21">
        <v>38840.519</v>
      </c>
      <c r="BD23" s="21">
        <v>35028.436000000002</v>
      </c>
      <c r="BE23" s="21">
        <v>38206.803</v>
      </c>
      <c r="BF23" s="21">
        <v>39049.565999999999</v>
      </c>
      <c r="BG23" s="21">
        <v>30265.562000000002</v>
      </c>
      <c r="BH23" s="21">
        <v>22664.744999999999</v>
      </c>
      <c r="BI23" s="21">
        <v>22608.901000000002</v>
      </c>
      <c r="BJ23" s="21">
        <v>17005.794999999998</v>
      </c>
      <c r="BK23" s="21">
        <v>18739.670999999998</v>
      </c>
      <c r="BL23" s="21">
        <v>15044.913</v>
      </c>
      <c r="BM23" s="21">
        <v>16297.788</v>
      </c>
      <c r="BN23" s="21">
        <v>18668.095000000001</v>
      </c>
      <c r="BO23" s="21">
        <v>18195.569</v>
      </c>
      <c r="BP23" s="21">
        <v>16430.291000000001</v>
      </c>
      <c r="BQ23" s="21">
        <v>13268.834999999999</v>
      </c>
      <c r="BR23" s="21">
        <v>14238.913</v>
      </c>
      <c r="BS23" s="21">
        <v>14836.91</v>
      </c>
      <c r="BT23" s="21">
        <v>13379.465</v>
      </c>
      <c r="BU23" s="21">
        <v>12352.949000000001</v>
      </c>
      <c r="BV23" s="21">
        <v>12928.555</v>
      </c>
      <c r="BW23" s="21">
        <v>13652.78</v>
      </c>
      <c r="BX23" s="21">
        <v>12788.369000000001</v>
      </c>
      <c r="BY23" s="21">
        <v>12059.28</v>
      </c>
      <c r="BZ23" s="21">
        <v>15448.891</v>
      </c>
      <c r="CA23" s="21">
        <v>15702.968999999999</v>
      </c>
      <c r="CB23" s="21">
        <v>16667.887999999999</v>
      </c>
      <c r="CC23" s="21" t="s">
        <v>165</v>
      </c>
      <c r="CD23" s="21" t="s">
        <v>165</v>
      </c>
      <c r="CE23" s="21" t="s">
        <v>165</v>
      </c>
      <c r="CG23" s="15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</row>
    <row r="24" spans="1:106" outlineLevel="3" x14ac:dyDescent="0.2">
      <c r="A24" s="14">
        <v>1</v>
      </c>
      <c r="C24" s="10" t="str">
        <f>"            Total Inventories"</f>
        <v xml:space="preserve">            Total Inventories</v>
      </c>
      <c r="D24" s="29">
        <f t="shared" si="0"/>
        <v>53944.027999999998</v>
      </c>
      <c r="E24" s="29">
        <f t="shared" si="1"/>
        <v>61836.044782608682</v>
      </c>
      <c r="F24" s="29">
        <f t="shared" si="2"/>
        <v>8.42</v>
      </c>
      <c r="G24" s="29">
        <f t="shared" si="3"/>
        <v>183486.5</v>
      </c>
      <c r="H24" s="29">
        <f t="shared" si="4"/>
        <v>22741.948</v>
      </c>
      <c r="I24" s="29">
        <f t="shared" si="5"/>
        <v>86742</v>
      </c>
      <c r="J24" s="29">
        <f t="shared" si="6"/>
        <v>43079.118372237448</v>
      </c>
      <c r="K24" s="30">
        <f t="shared" si="7"/>
        <v>0.69666678267807647</v>
      </c>
      <c r="L24" s="31"/>
      <c r="M24" s="31">
        <v>136660</v>
      </c>
      <c r="N24" s="21">
        <v>95085</v>
      </c>
      <c r="O24" s="21">
        <v>133433.25</v>
      </c>
      <c r="P24" s="21">
        <v>183486.5</v>
      </c>
      <c r="Q24" s="21">
        <v>164439.25</v>
      </c>
      <c r="R24" s="31">
        <v>178946</v>
      </c>
      <c r="S24" s="31">
        <v>161067</v>
      </c>
      <c r="T24" s="31">
        <v>131682</v>
      </c>
      <c r="U24" s="31">
        <v>128096</v>
      </c>
      <c r="V24" s="31">
        <v>116497</v>
      </c>
      <c r="W24" s="31">
        <v>87649</v>
      </c>
      <c r="X24" s="31">
        <v>77789</v>
      </c>
      <c r="Y24" s="31">
        <v>75542</v>
      </c>
      <c r="Z24" s="31">
        <v>100897</v>
      </c>
      <c r="AA24" s="31">
        <v>90086</v>
      </c>
      <c r="AB24" s="31">
        <v>76895</v>
      </c>
      <c r="AC24" s="31">
        <v>97021</v>
      </c>
      <c r="AD24" s="31">
        <v>99243</v>
      </c>
      <c r="AE24" s="31">
        <v>101317</v>
      </c>
      <c r="AF24" s="31">
        <v>86742</v>
      </c>
      <c r="AG24" s="31">
        <v>86807</v>
      </c>
      <c r="AH24" s="31">
        <v>76261</v>
      </c>
      <c r="AI24" s="31">
        <v>63232</v>
      </c>
      <c r="AJ24" s="31">
        <v>62998</v>
      </c>
      <c r="AK24" s="31">
        <v>69208</v>
      </c>
      <c r="AL24" s="31">
        <v>65335</v>
      </c>
      <c r="AM24" s="31">
        <v>62827</v>
      </c>
      <c r="AN24" s="31">
        <v>55296</v>
      </c>
      <c r="AO24" s="31">
        <v>60159</v>
      </c>
      <c r="AP24" s="31">
        <v>59278</v>
      </c>
      <c r="AQ24" s="31">
        <v>57567</v>
      </c>
      <c r="AR24" s="31">
        <v>51720</v>
      </c>
      <c r="AS24" s="31">
        <v>56191</v>
      </c>
      <c r="AT24" s="31">
        <v>58166</v>
      </c>
      <c r="AU24" s="31">
        <v>62635</v>
      </c>
      <c r="AV24" s="31">
        <v>50725</v>
      </c>
      <c r="AW24" s="31">
        <v>47662</v>
      </c>
      <c r="AX24" s="31">
        <v>45535</v>
      </c>
      <c r="AY24" s="31">
        <v>47401</v>
      </c>
      <c r="AZ24" s="31">
        <v>41729</v>
      </c>
      <c r="BA24" s="31">
        <v>46107.97</v>
      </c>
      <c r="BB24" s="31">
        <v>53944.027999999998</v>
      </c>
      <c r="BC24" s="31">
        <v>52643.002</v>
      </c>
      <c r="BD24" s="31">
        <v>47159.978000000003</v>
      </c>
      <c r="BE24" s="31">
        <v>51439.141000000003</v>
      </c>
      <c r="BF24" s="31">
        <v>51850.324000000001</v>
      </c>
      <c r="BG24" s="31">
        <v>41239.542000000001</v>
      </c>
      <c r="BH24" s="31">
        <v>32022.293000000001</v>
      </c>
      <c r="BI24" s="31">
        <v>34033.548000000003</v>
      </c>
      <c r="BJ24" s="31">
        <v>21619.743999999999</v>
      </c>
      <c r="BK24" s="31">
        <v>23156.202000000001</v>
      </c>
      <c r="BL24" s="31">
        <v>19101.507000000001</v>
      </c>
      <c r="BM24" s="31">
        <v>20776.153999999999</v>
      </c>
      <c r="BN24" s="31">
        <v>23413.727999999999</v>
      </c>
      <c r="BO24" s="31">
        <v>22741.948</v>
      </c>
      <c r="BP24" s="31">
        <v>19892.580999999998</v>
      </c>
      <c r="BQ24" s="31">
        <v>16991.376</v>
      </c>
      <c r="BR24" s="31">
        <v>17480.833999999999</v>
      </c>
      <c r="BS24" s="31">
        <v>17687.705000000002</v>
      </c>
      <c r="BT24" s="31">
        <v>15986.705</v>
      </c>
      <c r="BU24" s="31">
        <v>15087.314</v>
      </c>
      <c r="BV24" s="31">
        <v>15800.227000000001</v>
      </c>
      <c r="BW24" s="31">
        <v>16362.346</v>
      </c>
      <c r="BX24" s="31">
        <v>15599.305</v>
      </c>
      <c r="BY24" s="31">
        <v>14918.652</v>
      </c>
      <c r="BZ24" s="31">
        <v>18274.431</v>
      </c>
      <c r="CA24" s="31">
        <v>18688.304</v>
      </c>
      <c r="CB24" s="31">
        <v>19354.780999999999</v>
      </c>
      <c r="CC24" s="31">
        <v>8.42</v>
      </c>
      <c r="CD24" s="31" t="s">
        <v>165</v>
      </c>
      <c r="CE24" s="31" t="s">
        <v>165</v>
      </c>
      <c r="CG24" s="15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</row>
    <row r="25" spans="1:106" outlineLevel="2" x14ac:dyDescent="0.2">
      <c r="A25" s="14">
        <v>1</v>
      </c>
      <c r="C25" s="9" t="str">
        <f>IF(SUBTOTAL(109,A25)=A25,"        Trade and Other Receivables, Current","        Trade and Other Receivables, Current")</f>
        <v xml:space="preserve">        Trade and Other Receivables, Current</v>
      </c>
      <c r="D25" s="17" t="str">
        <f t="shared" si="0"/>
        <v/>
      </c>
      <c r="E25" s="17" t="str">
        <f t="shared" si="1"/>
        <v/>
      </c>
      <c r="F25" s="17" t="str">
        <f t="shared" si="2"/>
        <v/>
      </c>
      <c r="G25" s="17" t="str">
        <f t="shared" si="3"/>
        <v/>
      </c>
      <c r="H25" s="17" t="str">
        <f t="shared" si="4"/>
        <v/>
      </c>
      <c r="I25" s="17" t="str">
        <f t="shared" si="5"/>
        <v/>
      </c>
      <c r="J25" s="17" t="str">
        <f t="shared" si="6"/>
        <v/>
      </c>
      <c r="K25" s="18" t="str">
        <f t="shared" si="7"/>
        <v/>
      </c>
      <c r="L25" s="21"/>
      <c r="M25" s="21" t="str">
        <f>IF(SUBTOTAL(109,A25)=A25,"",64640)</f>
        <v/>
      </c>
      <c r="N25" s="21"/>
      <c r="O25" s="21"/>
      <c r="P25" s="21"/>
      <c r="Q25" s="21"/>
      <c r="R25" s="21" t="str">
        <f>IF(SUBTOTAL(109,A25)=A25,"",93051)</f>
        <v/>
      </c>
      <c r="S25" s="21" t="str">
        <f>IF(SUBTOTAL(109,A25)=A25,"",104953)</f>
        <v/>
      </c>
      <c r="T25" s="21" t="str">
        <f>IF(SUBTOTAL(109,A25)=A25,"",119087)</f>
        <v/>
      </c>
      <c r="U25" s="21" t="str">
        <f>IF(SUBTOTAL(109,A25)=A25,"",73494)</f>
        <v/>
      </c>
      <c r="V25" s="21" t="str">
        <f>IF(SUBTOTAL(109,A25)=A25,"",75959)</f>
        <v/>
      </c>
      <c r="W25" s="21" t="str">
        <f>IF(SUBTOTAL(109,A25)=A25,"",57009)</f>
        <v/>
      </c>
      <c r="X25" s="21" t="str">
        <f>IF(SUBTOTAL(109,A25)=A25,"",59856)</f>
        <v/>
      </c>
      <c r="Y25" s="21" t="str">
        <f>IF(SUBTOTAL(109,A25)=A25,"",89814)</f>
        <v/>
      </c>
      <c r="Z25" s="21" t="str">
        <f>IF(SUBTOTAL(109,A25)=A25,"",56629)</f>
        <v/>
      </c>
      <c r="AA25" s="21" t="str">
        <f>IF(SUBTOTAL(109,A25)=A25,"",51535)</f>
        <v/>
      </c>
      <c r="AB25" s="21" t="str">
        <f>IF(SUBTOTAL(109,A25)=A25,"",55280)</f>
        <v/>
      </c>
      <c r="AC25" s="21" t="str">
        <f>IF(SUBTOTAL(109,A25)=A25,"",62864)</f>
        <v/>
      </c>
      <c r="AD25" s="21" t="str">
        <f>IF(SUBTOTAL(109,A25)=A25,"",55641)</f>
        <v/>
      </c>
      <c r="AE25" s="21" t="str">
        <f>IF(SUBTOTAL(109,A25)=A25,"",53411)</f>
        <v/>
      </c>
      <c r="AF25" s="21" t="str">
        <f>IF(SUBTOTAL(109,A25)=A25,"",60517)</f>
        <v/>
      </c>
      <c r="AG25" s="21" t="str">
        <f>IF(SUBTOTAL(109,A25)=A25,"",61331)</f>
        <v/>
      </c>
      <c r="AH25" s="21" t="str">
        <f>IF(SUBTOTAL(109,A25)=A25,"",77713)</f>
        <v/>
      </c>
      <c r="AI25" s="21" t="str">
        <f>IF(SUBTOTAL(109,A25)=A25,"",58348)</f>
        <v/>
      </c>
      <c r="AJ25" s="21" t="str">
        <f>IF(SUBTOTAL(109,A25)=A25,"",49181)</f>
        <v/>
      </c>
      <c r="AK25" s="21" t="str">
        <f>IF(SUBTOTAL(109,A25)=A25,"",44671)</f>
        <v/>
      </c>
      <c r="AL25" s="21" t="str">
        <f>IF(SUBTOTAL(109,A25)=A25,"",63245)</f>
        <v/>
      </c>
      <c r="AM25" s="21" t="str">
        <f>IF(SUBTOTAL(109,A25)=A25,"",53289)</f>
        <v/>
      </c>
      <c r="AN25" s="21" t="str">
        <f>IF(SUBTOTAL(109,A25)=A25,"",48313)</f>
        <v/>
      </c>
      <c r="AO25" s="21" t="str">
        <f>IF(SUBTOTAL(109,A25)=A25,"",50521)</f>
        <v/>
      </c>
      <c r="AP25" s="21" t="str">
        <f>IF(SUBTOTAL(109,A25)=A25,"",58793)</f>
        <v/>
      </c>
      <c r="AQ25" s="21" t="str">
        <f>IF(SUBTOTAL(109,A25)=A25,"",74139)</f>
        <v/>
      </c>
      <c r="AR25" s="21" t="str">
        <f>IF(SUBTOTAL(109,A25)=A25,"",69266)</f>
        <v/>
      </c>
      <c r="AS25" s="21" t="str">
        <f>IF(SUBTOTAL(109,A25)=A25,"",68056)</f>
        <v/>
      </c>
      <c r="AT25" s="21" t="str">
        <f>IF(SUBTOTAL(109,A25)=A25,"",71763)</f>
        <v/>
      </c>
      <c r="AU25" s="21" t="str">
        <f>IF(SUBTOTAL(109,A25)=A25,"",73236)</f>
        <v/>
      </c>
      <c r="AV25" s="21" t="str">
        <f>IF(SUBTOTAL(109,A25)=A25,"",78629)</f>
        <v/>
      </c>
      <c r="AW25" s="21" t="str">
        <f>IF(SUBTOTAL(109,A25)=A25,"",63739)</f>
        <v/>
      </c>
      <c r="AX25" s="21" t="str">
        <f>IF(SUBTOTAL(109,A25)=A25,"",67374)</f>
        <v/>
      </c>
      <c r="AY25" s="21" t="str">
        <f>IF(SUBTOTAL(109,A25)=A25,"",66279)</f>
        <v/>
      </c>
      <c r="AZ25" s="21" t="str">
        <f>IF(SUBTOTAL(109,A25)=A25,"",48232)</f>
        <v/>
      </c>
      <c r="BA25" s="21" t="str">
        <f>IF(SUBTOTAL(109,A25)=A25,"",42247.648)</f>
        <v/>
      </c>
      <c r="BB25" s="21" t="str">
        <f>IF(SUBTOTAL(109,A25)=A25,"",52270.717)</f>
        <v/>
      </c>
      <c r="BC25" s="21" t="str">
        <f>IF(SUBTOTAL(109,A25)=A25,"",61573.087)</f>
        <v/>
      </c>
      <c r="BD25" s="21" t="str">
        <f>IF(SUBTOTAL(109,A25)=A25,"",55980.445)</f>
        <v/>
      </c>
      <c r="BE25" s="21" t="str">
        <f>IF(SUBTOTAL(109,A25)=A25,"",54656.31)</f>
        <v/>
      </c>
      <c r="BF25" s="21" t="str">
        <f>IF(SUBTOTAL(109,A25)=A25,"",55219.092)</f>
        <v/>
      </c>
      <c r="BG25" s="21" t="str">
        <f>IF(SUBTOTAL(109,A25)=A25,"",52490.018)</f>
        <v/>
      </c>
      <c r="BH25" s="21" t="str">
        <f>IF(SUBTOTAL(109,A25)=A25,"",54103.324)</f>
        <v/>
      </c>
      <c r="BI25" s="21" t="str">
        <f>IF(SUBTOTAL(109,A25)=A25,"",39733.602)</f>
        <v/>
      </c>
      <c r="BJ25" s="21" t="str">
        <f>IF(SUBTOTAL(109,A25)=A25,"",32820.299)</f>
        <v/>
      </c>
      <c r="BK25" s="21" t="str">
        <f>IF(SUBTOTAL(109,A25)=A25,"",27000.226)</f>
        <v/>
      </c>
      <c r="BL25" s="21" t="str">
        <f>IF(SUBTOTAL(109,A25)=A25,"",27416.227)</f>
        <v/>
      </c>
      <c r="BM25" s="21" t="str">
        <f>IF(SUBTOTAL(109,A25)=A25,"",19636.441)</f>
        <v/>
      </c>
      <c r="BN25" s="21" t="str">
        <f>IF(SUBTOTAL(109,A25)=A25,"",19741.276)</f>
        <v/>
      </c>
      <c r="BO25" s="21" t="str">
        <f>IF(SUBTOTAL(109,A25)=A25,"",17980.621)</f>
        <v/>
      </c>
      <c r="BP25" s="21" t="str">
        <f>IF(SUBTOTAL(109,A25)=A25,"",18377.414)</f>
        <v/>
      </c>
      <c r="BQ25" s="21" t="str">
        <f>IF(SUBTOTAL(109,A25)=A25,"",20007.351)</f>
        <v/>
      </c>
      <c r="BR25" s="21" t="str">
        <f>IF(SUBTOTAL(109,A25)=A25,"",15088.855)</f>
        <v/>
      </c>
      <c r="BS25" s="21" t="str">
        <f>IF(SUBTOTAL(109,A25)=A25,"",16775.699)</f>
        <v/>
      </c>
      <c r="BT25" s="21" t="str">
        <f>IF(SUBTOTAL(109,A25)=A25,"",20410.454)</f>
        <v/>
      </c>
      <c r="BU25" s="21" t="str">
        <f>IF(SUBTOTAL(109,A25)=A25,"",15950.673)</f>
        <v/>
      </c>
      <c r="BV25" s="21" t="str">
        <f>IF(SUBTOTAL(109,A25)=A25,"",15272.742)</f>
        <v/>
      </c>
      <c r="BW25" s="21" t="str">
        <f>IF(SUBTOTAL(109,A25)=A25,"",12904.35)</f>
        <v/>
      </c>
      <c r="BX25" s="21" t="str">
        <f>IF(SUBTOTAL(109,A25)=A25,"",15084.17)</f>
        <v/>
      </c>
      <c r="BY25" s="21" t="str">
        <f>IF(SUBTOTAL(109,A25)=A25,"",13668.089)</f>
        <v/>
      </c>
      <c r="BZ25" s="21" t="str">
        <f>IF(SUBTOTAL(109,A25)=A25,"",12289.596)</f>
        <v/>
      </c>
      <c r="CA25" s="21" t="str">
        <f>IF(SUBTOTAL(109,A25)=A25,"",9936.907)</f>
        <v/>
      </c>
      <c r="CB25" s="21" t="str">
        <f>IF(SUBTOTAL(109,A25)=A25,"",12311.239)</f>
        <v/>
      </c>
      <c r="CC25" s="21" t="str">
        <f>IF(SUBTOTAL(109,A25)=A25,"",18.015)</f>
        <v/>
      </c>
      <c r="CD25" s="21" t="str">
        <f>IF(SUBTOTAL(109,A25)=A25,"","")</f>
        <v/>
      </c>
      <c r="CE25" s="21" t="str">
        <f>IF(SUBTOTAL(109,A25)=A25,"","")</f>
        <v/>
      </c>
      <c r="CG25" s="15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</row>
    <row r="26" spans="1:106" outlineLevel="3" x14ac:dyDescent="0.2">
      <c r="A26" s="14">
        <v>1</v>
      </c>
      <c r="C26" s="9" t="str">
        <f>IF(SUBTOTAL(109,A26)=A26,"            Trade/Accounts Receivable, Current","            Trade/Accounts Receivable, Current")</f>
        <v xml:space="preserve">            Trade/Accounts Receivable, Current</v>
      </c>
      <c r="D26" s="17" t="str">
        <f t="shared" si="0"/>
        <v/>
      </c>
      <c r="E26" s="17" t="str">
        <f t="shared" si="1"/>
        <v/>
      </c>
      <c r="F26" s="17" t="str">
        <f t="shared" si="2"/>
        <v/>
      </c>
      <c r="G26" s="17" t="str">
        <f t="shared" si="3"/>
        <v/>
      </c>
      <c r="H26" s="17" t="str">
        <f t="shared" si="4"/>
        <v/>
      </c>
      <c r="I26" s="17" t="str">
        <f t="shared" si="5"/>
        <v/>
      </c>
      <c r="J26" s="17" t="str">
        <f t="shared" si="6"/>
        <v/>
      </c>
      <c r="K26" s="18" t="str">
        <f t="shared" si="7"/>
        <v/>
      </c>
      <c r="L26" s="21"/>
      <c r="M26" s="21" t="str">
        <f>IF(SUBTOTAL(109,A26)=A26,"",62695)</f>
        <v/>
      </c>
      <c r="N26" s="21"/>
      <c r="O26" s="21"/>
      <c r="P26" s="21"/>
      <c r="Q26" s="21"/>
      <c r="R26" s="21" t="str">
        <f>IF(SUBTOTAL(109,A26)=A26,"",81771)</f>
        <v/>
      </c>
      <c r="S26" s="21" t="str">
        <f>IF(SUBTOTAL(109,A26)=A26,"",92720)</f>
        <v/>
      </c>
      <c r="T26" s="21" t="str">
        <f>IF(SUBTOTAL(109,A26)=A26,"",108444)</f>
        <v/>
      </c>
      <c r="U26" s="21" t="str">
        <f>IF(SUBTOTAL(109,A26)=A26,"",72919)</f>
        <v/>
      </c>
      <c r="V26" s="21" t="str">
        <f>IF(SUBTOTAL(109,A26)=A26,"",69959)</f>
        <v/>
      </c>
      <c r="W26" s="21" t="str">
        <f>IF(SUBTOTAL(109,A26)=A26,"",55711)</f>
        <v/>
      </c>
      <c r="X26" s="21" t="str">
        <f>IF(SUBTOTAL(109,A26)=A26,"",57792)</f>
        <v/>
      </c>
      <c r="Y26" s="21" t="str">
        <f>IF(SUBTOTAL(109,A26)=A26,"",89814)</f>
        <v/>
      </c>
      <c r="Z26" s="21" t="str">
        <f>IF(SUBTOTAL(109,A26)=A26,"",50153)</f>
        <v/>
      </c>
      <c r="AA26" s="21" t="str">
        <f>IF(SUBTOTAL(109,A26)=A26,"",51535)</f>
        <v/>
      </c>
      <c r="AB26" s="21" t="str">
        <f>IF(SUBTOTAL(109,A26)=A26,"",55280)</f>
        <v/>
      </c>
      <c r="AC26" s="21" t="str">
        <f>IF(SUBTOTAL(109,A26)=A26,"",61030)</f>
        <v/>
      </c>
      <c r="AD26" s="21" t="str">
        <f>IF(SUBTOTAL(109,A26)=A26,"",51411)</f>
        <v/>
      </c>
      <c r="AE26" s="21" t="str">
        <f>IF(SUBTOTAL(109,A26)=A26,"",53411)</f>
        <v/>
      </c>
      <c r="AF26" s="21" t="str">
        <f>IF(SUBTOTAL(109,A26)=A26,"",55890)</f>
        <v/>
      </c>
      <c r="AG26" s="21" t="str">
        <f>IF(SUBTOTAL(109,A26)=A26,"",52662)</f>
        <v/>
      </c>
      <c r="AH26" s="21" t="str">
        <f>IF(SUBTOTAL(109,A26)=A26,"",68521)</f>
        <v/>
      </c>
      <c r="AI26" s="21" t="str">
        <f>IF(SUBTOTAL(109,A26)=A26,"",53756)</f>
        <v/>
      </c>
      <c r="AJ26" s="21" t="str">
        <f>IF(SUBTOTAL(109,A26)=A26,"",46088)</f>
        <v/>
      </c>
      <c r="AK26" s="21" t="str">
        <f>IF(SUBTOTAL(109,A26)=A26,"",38871)</f>
        <v/>
      </c>
      <c r="AL26" s="21" t="str">
        <f>IF(SUBTOTAL(109,A26)=A26,"",54474)</f>
        <v/>
      </c>
      <c r="AM26" s="21" t="str">
        <f>IF(SUBTOTAL(109,A26)=A26,"",53289)</f>
        <v/>
      </c>
      <c r="AN26" s="21" t="str">
        <f>IF(SUBTOTAL(109,A26)=A26,"",48313)</f>
        <v/>
      </c>
      <c r="AO26" s="21" t="str">
        <f>IF(SUBTOTAL(109,A26)=A26,"",47247)</f>
        <v/>
      </c>
      <c r="AP26" s="21" t="str">
        <f>IF(SUBTOTAL(109,A26)=A26,"",52863)</f>
        <v/>
      </c>
      <c r="AQ26" s="21" t="str">
        <f>IF(SUBTOTAL(109,A26)=A26,"",70013)</f>
        <v/>
      </c>
      <c r="AR26" s="21" t="str">
        <f>IF(SUBTOTAL(109,A26)=A26,"",64753)</f>
        <v/>
      </c>
      <c r="AS26" s="21" t="str">
        <f>IF(SUBTOTAL(109,A26)=A26,"",61882)</f>
        <v/>
      </c>
      <c r="AT26" s="21" t="str">
        <f>IF(SUBTOTAL(109,A26)=A26,"",67161)</f>
        <v/>
      </c>
      <c r="AU26" s="21" t="str">
        <f>IF(SUBTOTAL(109,A26)=A26,"",70492)</f>
        <v/>
      </c>
      <c r="AV26" s="21" t="str">
        <f>IF(SUBTOTAL(109,A26)=A26,"",73459)</f>
        <v/>
      </c>
      <c r="AW26" s="21" t="str">
        <f>IF(SUBTOTAL(109,A26)=A26,"",57233)</f>
        <v/>
      </c>
      <c r="AX26" s="21" t="str">
        <f>IF(SUBTOTAL(109,A26)=A26,"",63791)</f>
        <v/>
      </c>
      <c r="AY26" s="21" t="str">
        <f>IF(SUBTOTAL(109,A26)=A26,"",66279)</f>
        <v/>
      </c>
      <c r="AZ26" s="21" t="str">
        <f>IF(SUBTOTAL(109,A26)=A26,"",48232)</f>
        <v/>
      </c>
      <c r="BA26" s="21" t="str">
        <f>IF(SUBTOTAL(109,A26)=A26,"",42247.648)</f>
        <v/>
      </c>
      <c r="BB26" s="21" t="str">
        <f>IF(SUBTOTAL(109,A26)=A26,"",50996.561)</f>
        <v/>
      </c>
      <c r="BC26" s="21" t="str">
        <f>IF(SUBTOTAL(109,A26)=A26,"",60877.115)</f>
        <v/>
      </c>
      <c r="BD26" s="21" t="str">
        <f>IF(SUBTOTAL(109,A26)=A26,"",54162.936)</f>
        <v/>
      </c>
      <c r="BE26" s="21" t="str">
        <f>IF(SUBTOTAL(109,A26)=A26,"",49871.511)</f>
        <v/>
      </c>
      <c r="BF26" s="21" t="str">
        <f>IF(SUBTOTAL(109,A26)=A26,"",49514.344)</f>
        <v/>
      </c>
      <c r="BG26" s="21" t="str">
        <f>IF(SUBTOTAL(109,A26)=A26,"",52124.823)</f>
        <v/>
      </c>
      <c r="BH26" s="21" t="str">
        <f>IF(SUBTOTAL(109,A26)=A26,"",52005.237)</f>
        <v/>
      </c>
      <c r="BI26" s="21" t="str">
        <f>IF(SUBTOTAL(109,A26)=A26,"",37152.316)</f>
        <v/>
      </c>
      <c r="BJ26" s="21" t="str">
        <f>IF(SUBTOTAL(109,A26)=A26,"",31586.55)</f>
        <v/>
      </c>
      <c r="BK26" s="21" t="str">
        <f>IF(SUBTOTAL(109,A26)=A26,"",27000.226)</f>
        <v/>
      </c>
      <c r="BL26" s="21" t="str">
        <f>IF(SUBTOTAL(109,A26)=A26,"",27350.15)</f>
        <v/>
      </c>
      <c r="BM26" s="21" t="str">
        <f>IF(SUBTOTAL(109,A26)=A26,"",19225.9)</f>
        <v/>
      </c>
      <c r="BN26" s="21" t="str">
        <f>IF(SUBTOTAL(109,A26)=A26,"",19477.616)</f>
        <v/>
      </c>
      <c r="BO26" s="21" t="str">
        <f>IF(SUBTOTAL(109,A26)=A26,"",17980.621)</f>
        <v/>
      </c>
      <c r="BP26" s="21" t="str">
        <f>IF(SUBTOTAL(109,A26)=A26,"",18373.713)</f>
        <v/>
      </c>
      <c r="BQ26" s="21" t="str">
        <f>IF(SUBTOTAL(109,A26)=A26,"",19872.564)</f>
        <v/>
      </c>
      <c r="BR26" s="21" t="str">
        <f>IF(SUBTOTAL(109,A26)=A26,"",14927.941)</f>
        <v/>
      </c>
      <c r="BS26" s="21" t="str">
        <f>IF(SUBTOTAL(109,A26)=A26,"",16704.504)</f>
        <v/>
      </c>
      <c r="BT26" s="21" t="str">
        <f>IF(SUBTOTAL(109,A26)=A26,"",20249.858)</f>
        <v/>
      </c>
      <c r="BU26" s="21" t="str">
        <f>IF(SUBTOTAL(109,A26)=A26,"",15732.626)</f>
        <v/>
      </c>
      <c r="BV26" s="21" t="str">
        <f>IF(SUBTOTAL(109,A26)=A26,"",15138.081)</f>
        <v/>
      </c>
      <c r="BW26" s="21" t="str">
        <f>IF(SUBTOTAL(109,A26)=A26,"",12904.35)</f>
        <v/>
      </c>
      <c r="BX26" s="21" t="str">
        <f>IF(SUBTOTAL(109,A26)=A26,"",14908.839)</f>
        <v/>
      </c>
      <c r="BY26" s="21" t="str">
        <f>IF(SUBTOTAL(109,A26)=A26,"",13469.754)</f>
        <v/>
      </c>
      <c r="BZ26" s="21" t="str">
        <f>IF(SUBTOTAL(109,A26)=A26,"",12289.596)</f>
        <v/>
      </c>
      <c r="CA26" s="21" t="str">
        <f>IF(SUBTOTAL(109,A26)=A26,"",9936.907)</f>
        <v/>
      </c>
      <c r="CB26" s="21" t="str">
        <f>IF(SUBTOTAL(109,A26)=A26,"",12099.436)</f>
        <v/>
      </c>
      <c r="CC26" s="21" t="str">
        <f>IF(SUBTOTAL(109,A26)=A26,"",18.015)</f>
        <v/>
      </c>
      <c r="CD26" s="21" t="str">
        <f>IF(SUBTOTAL(109,A26)=A26,"","")</f>
        <v/>
      </c>
      <c r="CE26" s="21" t="str">
        <f>IF(SUBTOTAL(109,A26)=A26,"","")</f>
        <v/>
      </c>
      <c r="CG26" s="15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</row>
    <row r="27" spans="1:106" outlineLevel="4" x14ac:dyDescent="0.2">
      <c r="A27" s="14">
        <v>1</v>
      </c>
      <c r="C27" s="9" t="str">
        <f>"                Gross Trade/Accounts Receivable, Current"</f>
        <v xml:space="preserve">                Gross Trade/Accounts Receivable, Current</v>
      </c>
      <c r="D27" s="17">
        <f t="shared" si="0"/>
        <v>56734</v>
      </c>
      <c r="E27" s="17">
        <f t="shared" si="1"/>
        <v>64003.646551724138</v>
      </c>
      <c r="F27" s="17">
        <f t="shared" si="2"/>
        <v>39656</v>
      </c>
      <c r="G27" s="17">
        <f t="shared" si="3"/>
        <v>109042</v>
      </c>
      <c r="H27" s="17">
        <f t="shared" si="4"/>
        <v>53931</v>
      </c>
      <c r="I27" s="17">
        <f t="shared" si="5"/>
        <v>70764</v>
      </c>
      <c r="J27" s="17">
        <f t="shared" si="6"/>
        <v>16087.715101725082</v>
      </c>
      <c r="K27" s="18">
        <f t="shared" si="7"/>
        <v>0.25135622684754216</v>
      </c>
      <c r="L27" s="21"/>
      <c r="M27" s="21">
        <v>62731</v>
      </c>
      <c r="N27" s="21">
        <v>53694.5</v>
      </c>
      <c r="O27" s="21">
        <v>84555.5</v>
      </c>
      <c r="P27" s="21">
        <v>83110.75</v>
      </c>
      <c r="Q27" s="21">
        <v>60712</v>
      </c>
      <c r="R27" s="21">
        <v>83072</v>
      </c>
      <c r="S27" s="21">
        <v>93634</v>
      </c>
      <c r="T27" s="21">
        <v>109042</v>
      </c>
      <c r="U27" s="21">
        <v>73483</v>
      </c>
      <c r="V27" s="21">
        <v>70764</v>
      </c>
      <c r="W27" s="21">
        <v>56317</v>
      </c>
      <c r="X27" s="21">
        <v>58472</v>
      </c>
      <c r="Y27" s="21">
        <v>90523</v>
      </c>
      <c r="Z27" s="21">
        <v>50822</v>
      </c>
      <c r="AA27" s="21">
        <v>52272</v>
      </c>
      <c r="AB27" s="21">
        <v>56002</v>
      </c>
      <c r="AC27" s="21">
        <v>62043</v>
      </c>
      <c r="AD27" s="21">
        <v>52358</v>
      </c>
      <c r="AE27" s="21">
        <v>54261</v>
      </c>
      <c r="AF27" s="21">
        <v>56734</v>
      </c>
      <c r="AG27" s="21">
        <v>53931</v>
      </c>
      <c r="AH27" s="21">
        <v>69687</v>
      </c>
      <c r="AI27" s="21">
        <v>54709</v>
      </c>
      <c r="AJ27" s="21">
        <v>47216</v>
      </c>
      <c r="AK27" s="21">
        <v>39656</v>
      </c>
      <c r="AL27" s="21">
        <v>55570</v>
      </c>
      <c r="AM27" s="21">
        <v>54463</v>
      </c>
      <c r="AN27" s="21">
        <v>49371</v>
      </c>
      <c r="AO27" s="21" t="s">
        <v>165</v>
      </c>
      <c r="AP27" s="21" t="s">
        <v>165</v>
      </c>
      <c r="AQ27" s="21" t="s">
        <v>165</v>
      </c>
      <c r="AR27" s="21">
        <v>66900</v>
      </c>
      <c r="AS27" s="21" t="s">
        <v>165</v>
      </c>
      <c r="AT27" s="21" t="s">
        <v>165</v>
      </c>
      <c r="AU27" s="21" t="s">
        <v>165</v>
      </c>
      <c r="AV27" s="21" t="s">
        <v>165</v>
      </c>
      <c r="AW27" s="21" t="s">
        <v>165</v>
      </c>
      <c r="AX27" s="21" t="s">
        <v>165</v>
      </c>
      <c r="AY27" s="21" t="s">
        <v>165</v>
      </c>
      <c r="AZ27" s="21" t="s">
        <v>165</v>
      </c>
      <c r="BA27" s="21" t="s">
        <v>165</v>
      </c>
      <c r="BB27" s="21" t="s">
        <v>165</v>
      </c>
      <c r="BC27" s="21" t="s">
        <v>165</v>
      </c>
      <c r="BD27" s="21" t="s">
        <v>165</v>
      </c>
      <c r="BE27" s="21" t="s">
        <v>165</v>
      </c>
      <c r="BF27" s="21" t="s">
        <v>165</v>
      </c>
      <c r="BG27" s="21" t="s">
        <v>165</v>
      </c>
      <c r="BH27" s="21" t="s">
        <v>165</v>
      </c>
      <c r="BI27" s="21" t="s">
        <v>165</v>
      </c>
      <c r="BJ27" s="21" t="s">
        <v>165</v>
      </c>
      <c r="BK27" s="21" t="s">
        <v>165</v>
      </c>
      <c r="BL27" s="21" t="s">
        <v>165</v>
      </c>
      <c r="BM27" s="21" t="s">
        <v>165</v>
      </c>
      <c r="BN27" s="21" t="s">
        <v>165</v>
      </c>
      <c r="BO27" s="21" t="s">
        <v>165</v>
      </c>
      <c r="BP27" s="21" t="s">
        <v>165</v>
      </c>
      <c r="BQ27" s="21" t="s">
        <v>165</v>
      </c>
      <c r="BR27" s="21" t="s">
        <v>165</v>
      </c>
      <c r="BS27" s="21" t="s">
        <v>165</v>
      </c>
      <c r="BT27" s="21" t="s">
        <v>165</v>
      </c>
      <c r="BU27" s="21" t="s">
        <v>165</v>
      </c>
      <c r="BV27" s="21" t="s">
        <v>165</v>
      </c>
      <c r="BW27" s="21" t="s">
        <v>165</v>
      </c>
      <c r="BX27" s="21" t="s">
        <v>165</v>
      </c>
      <c r="BY27" s="21" t="s">
        <v>165</v>
      </c>
      <c r="BZ27" s="21" t="s">
        <v>165</v>
      </c>
      <c r="CA27" s="21" t="s">
        <v>165</v>
      </c>
      <c r="CB27" s="21" t="s">
        <v>165</v>
      </c>
      <c r="CC27" s="21" t="s">
        <v>165</v>
      </c>
      <c r="CD27" s="21" t="s">
        <v>165</v>
      </c>
      <c r="CE27" s="21" t="s">
        <v>165</v>
      </c>
      <c r="CG27" s="15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</row>
    <row r="28" spans="1:106" outlineLevel="4" x14ac:dyDescent="0.2">
      <c r="A28" s="14">
        <v>1</v>
      </c>
      <c r="C28" s="9" t="str">
        <f>"                Allowance/Adjustments for Trade/Accounts Receivable, Current"</f>
        <v xml:space="preserve">                Allowance/Adjustments for Trade/Accounts Receivable, Current</v>
      </c>
      <c r="D28" s="17">
        <f t="shared" si="0"/>
        <v>-914</v>
      </c>
      <c r="E28" s="17">
        <f t="shared" si="1"/>
        <v>-958.06034482758616</v>
      </c>
      <c r="F28" s="17">
        <f t="shared" si="2"/>
        <v>-2147</v>
      </c>
      <c r="G28" s="17">
        <f t="shared" si="3"/>
        <v>-36</v>
      </c>
      <c r="H28" s="17">
        <f t="shared" si="4"/>
        <v>-1166</v>
      </c>
      <c r="I28" s="17">
        <f t="shared" si="5"/>
        <v>-709</v>
      </c>
      <c r="J28" s="17">
        <f t="shared" si="6"/>
        <v>457.30443544194583</v>
      </c>
      <c r="K28" s="18">
        <f t="shared" si="7"/>
        <v>-0.47732320611207735</v>
      </c>
      <c r="L28" s="21"/>
      <c r="M28" s="21">
        <v>-36</v>
      </c>
      <c r="N28" s="21">
        <v>-87</v>
      </c>
      <c r="O28" s="21">
        <v>-1381.5</v>
      </c>
      <c r="P28" s="21">
        <v>-2043</v>
      </c>
      <c r="Q28" s="21">
        <v>-1501.25</v>
      </c>
      <c r="R28" s="21">
        <v>-1301</v>
      </c>
      <c r="S28" s="21">
        <v>-914</v>
      </c>
      <c r="T28" s="21">
        <v>-598</v>
      </c>
      <c r="U28" s="21">
        <v>-564</v>
      </c>
      <c r="V28" s="21">
        <v>-805</v>
      </c>
      <c r="W28" s="21">
        <v>-606</v>
      </c>
      <c r="X28" s="21">
        <v>-680</v>
      </c>
      <c r="Y28" s="21">
        <v>-709</v>
      </c>
      <c r="Z28" s="21">
        <v>-669</v>
      </c>
      <c r="AA28" s="21">
        <v>-737</v>
      </c>
      <c r="AB28" s="21">
        <v>-722</v>
      </c>
      <c r="AC28" s="21">
        <v>-1013</v>
      </c>
      <c r="AD28" s="21">
        <v>-947</v>
      </c>
      <c r="AE28" s="21">
        <v>-850</v>
      </c>
      <c r="AF28" s="21">
        <v>-844</v>
      </c>
      <c r="AG28" s="21">
        <v>-1269</v>
      </c>
      <c r="AH28" s="21">
        <v>-1166</v>
      </c>
      <c r="AI28" s="21">
        <v>-953</v>
      </c>
      <c r="AJ28" s="21">
        <v>-1128</v>
      </c>
      <c r="AK28" s="21">
        <v>-785</v>
      </c>
      <c r="AL28" s="21">
        <v>-1096</v>
      </c>
      <c r="AM28" s="21">
        <v>-1174</v>
      </c>
      <c r="AN28" s="21">
        <v>-1058</v>
      </c>
      <c r="AO28" s="21" t="s">
        <v>165</v>
      </c>
      <c r="AP28" s="21" t="s">
        <v>165</v>
      </c>
      <c r="AQ28" s="21" t="s">
        <v>165</v>
      </c>
      <c r="AR28" s="21">
        <v>-2147</v>
      </c>
      <c r="AS28" s="21" t="s">
        <v>165</v>
      </c>
      <c r="AT28" s="21" t="s">
        <v>165</v>
      </c>
      <c r="AU28" s="21" t="s">
        <v>165</v>
      </c>
      <c r="AV28" s="21" t="s">
        <v>165</v>
      </c>
      <c r="AW28" s="21" t="s">
        <v>165</v>
      </c>
      <c r="AX28" s="21" t="s">
        <v>165</v>
      </c>
      <c r="AY28" s="21" t="s">
        <v>165</v>
      </c>
      <c r="AZ28" s="21" t="s">
        <v>165</v>
      </c>
      <c r="BA28" s="21" t="s">
        <v>165</v>
      </c>
      <c r="BB28" s="21" t="s">
        <v>165</v>
      </c>
      <c r="BC28" s="21" t="s">
        <v>165</v>
      </c>
      <c r="BD28" s="21" t="s">
        <v>165</v>
      </c>
      <c r="BE28" s="21" t="s">
        <v>165</v>
      </c>
      <c r="BF28" s="21" t="s">
        <v>165</v>
      </c>
      <c r="BG28" s="21" t="s">
        <v>165</v>
      </c>
      <c r="BH28" s="21" t="s">
        <v>165</v>
      </c>
      <c r="BI28" s="21" t="s">
        <v>165</v>
      </c>
      <c r="BJ28" s="21" t="s">
        <v>165</v>
      </c>
      <c r="BK28" s="21" t="s">
        <v>165</v>
      </c>
      <c r="BL28" s="21" t="s">
        <v>165</v>
      </c>
      <c r="BM28" s="21" t="s">
        <v>165</v>
      </c>
      <c r="BN28" s="21" t="s">
        <v>165</v>
      </c>
      <c r="BO28" s="21" t="s">
        <v>165</v>
      </c>
      <c r="BP28" s="21" t="s">
        <v>165</v>
      </c>
      <c r="BQ28" s="21" t="s">
        <v>165</v>
      </c>
      <c r="BR28" s="21" t="s">
        <v>165</v>
      </c>
      <c r="BS28" s="21" t="s">
        <v>165</v>
      </c>
      <c r="BT28" s="21" t="s">
        <v>165</v>
      </c>
      <c r="BU28" s="21" t="s">
        <v>165</v>
      </c>
      <c r="BV28" s="21" t="s">
        <v>165</v>
      </c>
      <c r="BW28" s="21" t="s">
        <v>165</v>
      </c>
      <c r="BX28" s="21" t="s">
        <v>165</v>
      </c>
      <c r="BY28" s="21" t="s">
        <v>165</v>
      </c>
      <c r="BZ28" s="21" t="s">
        <v>165</v>
      </c>
      <c r="CA28" s="21" t="s">
        <v>165</v>
      </c>
      <c r="CB28" s="21" t="s">
        <v>165</v>
      </c>
      <c r="CC28" s="21" t="s">
        <v>165</v>
      </c>
      <c r="CD28" s="21" t="s">
        <v>165</v>
      </c>
      <c r="CE28" s="21" t="s">
        <v>165</v>
      </c>
      <c r="CG28" s="15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</row>
    <row r="29" spans="1:106" outlineLevel="4" x14ac:dyDescent="0.2">
      <c r="A29" s="14">
        <v>1</v>
      </c>
      <c r="C29" s="10" t="str">
        <f>"                Total Trade/Accounts Receivable, Current"</f>
        <v xml:space="preserve">                Total Trade/Accounts Receivable, Current</v>
      </c>
      <c r="D29" s="29">
        <f t="shared" si="0"/>
        <v>52124.822999999997</v>
      </c>
      <c r="E29" s="29">
        <f t="shared" si="1"/>
        <v>47756.141130434793</v>
      </c>
      <c r="F29" s="29">
        <f t="shared" si="2"/>
        <v>18.015000000000001</v>
      </c>
      <c r="G29" s="29">
        <f t="shared" si="3"/>
        <v>108444</v>
      </c>
      <c r="H29" s="29">
        <f t="shared" si="4"/>
        <v>27000.225999999999</v>
      </c>
      <c r="I29" s="29">
        <f t="shared" si="5"/>
        <v>61882</v>
      </c>
      <c r="J29" s="29">
        <f t="shared" si="6"/>
        <v>23388.604268409606</v>
      </c>
      <c r="K29" s="30">
        <f t="shared" si="7"/>
        <v>0.48975071508665396</v>
      </c>
      <c r="L29" s="31"/>
      <c r="M29" s="31">
        <v>62695</v>
      </c>
      <c r="N29" s="21">
        <v>53607.5</v>
      </c>
      <c r="O29" s="21">
        <v>83174</v>
      </c>
      <c r="P29" s="21">
        <v>81067.75</v>
      </c>
      <c r="Q29" s="21">
        <v>59210.75</v>
      </c>
      <c r="R29" s="31">
        <v>81771</v>
      </c>
      <c r="S29" s="31">
        <v>92720</v>
      </c>
      <c r="T29" s="31">
        <v>108444</v>
      </c>
      <c r="U29" s="31">
        <v>72919</v>
      </c>
      <c r="V29" s="31">
        <v>69959</v>
      </c>
      <c r="W29" s="31">
        <v>55711</v>
      </c>
      <c r="X29" s="31">
        <v>57792</v>
      </c>
      <c r="Y29" s="31">
        <v>89814</v>
      </c>
      <c r="Z29" s="31">
        <v>50153</v>
      </c>
      <c r="AA29" s="31">
        <v>51535</v>
      </c>
      <c r="AB29" s="31">
        <v>55280</v>
      </c>
      <c r="AC29" s="31">
        <v>61030</v>
      </c>
      <c r="AD29" s="31">
        <v>51411</v>
      </c>
      <c r="AE29" s="31">
        <v>53411</v>
      </c>
      <c r="AF29" s="31">
        <v>55890</v>
      </c>
      <c r="AG29" s="31">
        <v>52662</v>
      </c>
      <c r="AH29" s="31">
        <v>68521</v>
      </c>
      <c r="AI29" s="31">
        <v>53756</v>
      </c>
      <c r="AJ29" s="31">
        <v>46088</v>
      </c>
      <c r="AK29" s="31">
        <v>38871</v>
      </c>
      <c r="AL29" s="31">
        <v>54474</v>
      </c>
      <c r="AM29" s="31">
        <v>53289</v>
      </c>
      <c r="AN29" s="31">
        <v>48313</v>
      </c>
      <c r="AO29" s="31">
        <v>47247</v>
      </c>
      <c r="AP29" s="31">
        <v>52863</v>
      </c>
      <c r="AQ29" s="31">
        <v>70013</v>
      </c>
      <c r="AR29" s="31">
        <v>64753</v>
      </c>
      <c r="AS29" s="31">
        <v>61882</v>
      </c>
      <c r="AT29" s="31">
        <v>67161</v>
      </c>
      <c r="AU29" s="31">
        <v>70492</v>
      </c>
      <c r="AV29" s="31">
        <v>73459</v>
      </c>
      <c r="AW29" s="31">
        <v>57233</v>
      </c>
      <c r="AX29" s="31">
        <v>63791</v>
      </c>
      <c r="AY29" s="31">
        <v>66279</v>
      </c>
      <c r="AZ29" s="31">
        <v>48232</v>
      </c>
      <c r="BA29" s="31">
        <v>42247.648000000001</v>
      </c>
      <c r="BB29" s="31">
        <v>50996.561000000002</v>
      </c>
      <c r="BC29" s="31">
        <v>60877.114999999998</v>
      </c>
      <c r="BD29" s="31">
        <v>54162.936000000002</v>
      </c>
      <c r="BE29" s="31">
        <v>49871.510999999999</v>
      </c>
      <c r="BF29" s="31">
        <v>49514.343999999997</v>
      </c>
      <c r="BG29" s="31">
        <v>52124.822999999997</v>
      </c>
      <c r="BH29" s="31">
        <v>52005.237000000001</v>
      </c>
      <c r="BI29" s="31">
        <v>37152.315999999999</v>
      </c>
      <c r="BJ29" s="31">
        <v>31586.55</v>
      </c>
      <c r="BK29" s="31">
        <v>27000.225999999999</v>
      </c>
      <c r="BL29" s="31">
        <v>27350.15</v>
      </c>
      <c r="BM29" s="31">
        <v>19225.900000000001</v>
      </c>
      <c r="BN29" s="31">
        <v>19477.616000000002</v>
      </c>
      <c r="BO29" s="31">
        <v>17980.620999999999</v>
      </c>
      <c r="BP29" s="31">
        <v>18373.713</v>
      </c>
      <c r="BQ29" s="31">
        <v>19872.563999999998</v>
      </c>
      <c r="BR29" s="31">
        <v>14927.941000000001</v>
      </c>
      <c r="BS29" s="31">
        <v>16704.504000000001</v>
      </c>
      <c r="BT29" s="31">
        <v>20249.858</v>
      </c>
      <c r="BU29" s="31">
        <v>15732.626</v>
      </c>
      <c r="BV29" s="31">
        <v>15138.081</v>
      </c>
      <c r="BW29" s="31">
        <v>12904.35</v>
      </c>
      <c r="BX29" s="31">
        <v>14908.839</v>
      </c>
      <c r="BY29" s="31">
        <v>13469.754000000001</v>
      </c>
      <c r="BZ29" s="31">
        <v>12289.596</v>
      </c>
      <c r="CA29" s="31">
        <v>9936.9069999999992</v>
      </c>
      <c r="CB29" s="31">
        <v>12099.436</v>
      </c>
      <c r="CC29" s="31">
        <v>18.015000000000001</v>
      </c>
      <c r="CD29" s="31" t="s">
        <v>165</v>
      </c>
      <c r="CE29" s="31" t="s">
        <v>165</v>
      </c>
      <c r="CG29" s="15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</row>
    <row r="30" spans="1:106" outlineLevel="3" x14ac:dyDescent="0.2">
      <c r="A30" s="14">
        <v>1</v>
      </c>
      <c r="C30" s="9" t="str">
        <f>"            Taxes Receivable, Current"</f>
        <v xml:space="preserve">            Taxes Receivable, Current</v>
      </c>
      <c r="D30" s="17">
        <f t="shared" si="0"/>
        <v>4126</v>
      </c>
      <c r="E30" s="17">
        <f t="shared" si="1"/>
        <v>4409.97972972973</v>
      </c>
      <c r="F30" s="17">
        <f t="shared" si="2"/>
        <v>0</v>
      </c>
      <c r="G30" s="17">
        <f t="shared" si="3"/>
        <v>12233</v>
      </c>
      <c r="H30" s="17">
        <f t="shared" si="4"/>
        <v>2064</v>
      </c>
      <c r="I30" s="17">
        <f t="shared" si="5"/>
        <v>6000</v>
      </c>
      <c r="J30" s="17">
        <f t="shared" si="6"/>
        <v>3242.6634218318181</v>
      </c>
      <c r="K30" s="18">
        <f t="shared" si="7"/>
        <v>0.73530120784263742</v>
      </c>
      <c r="L30" s="21"/>
      <c r="M30" s="21">
        <v>1945</v>
      </c>
      <c r="N30" s="21">
        <v>2975.75</v>
      </c>
      <c r="O30" s="21">
        <v>2928.25</v>
      </c>
      <c r="P30" s="21">
        <v>3349.75</v>
      </c>
      <c r="Q30" s="21">
        <v>3971.5</v>
      </c>
      <c r="R30" s="21">
        <v>11280</v>
      </c>
      <c r="S30" s="21">
        <v>12233</v>
      </c>
      <c r="T30" s="21">
        <v>10643</v>
      </c>
      <c r="U30" s="21">
        <v>575</v>
      </c>
      <c r="V30" s="21">
        <v>6000</v>
      </c>
      <c r="W30" s="21">
        <v>1298</v>
      </c>
      <c r="X30" s="21">
        <v>2064</v>
      </c>
      <c r="Y30" s="21" t="s">
        <v>165</v>
      </c>
      <c r="Z30" s="21">
        <v>6476</v>
      </c>
      <c r="AA30" s="21" t="s">
        <v>165</v>
      </c>
      <c r="AB30" s="21">
        <v>0</v>
      </c>
      <c r="AC30" s="21">
        <v>1834</v>
      </c>
      <c r="AD30" s="21">
        <v>4230</v>
      </c>
      <c r="AE30" s="21">
        <v>0</v>
      </c>
      <c r="AF30" s="21">
        <v>4627</v>
      </c>
      <c r="AG30" s="21">
        <v>8669</v>
      </c>
      <c r="AH30" s="21">
        <v>9192</v>
      </c>
      <c r="AI30" s="21">
        <v>4592</v>
      </c>
      <c r="AJ30" s="21">
        <v>3093</v>
      </c>
      <c r="AK30" s="21">
        <v>5800</v>
      </c>
      <c r="AL30" s="21">
        <v>8771</v>
      </c>
      <c r="AM30" s="21" t="s">
        <v>165</v>
      </c>
      <c r="AN30" s="21">
        <v>0</v>
      </c>
      <c r="AO30" s="21">
        <v>3274</v>
      </c>
      <c r="AP30" s="21">
        <v>5930</v>
      </c>
      <c r="AQ30" s="21">
        <v>4126</v>
      </c>
      <c r="AR30" s="21">
        <v>4513</v>
      </c>
      <c r="AS30" s="21">
        <v>6174</v>
      </c>
      <c r="AT30" s="21">
        <v>4602</v>
      </c>
      <c r="AU30" s="21">
        <v>2744</v>
      </c>
      <c r="AV30" s="21">
        <v>5170</v>
      </c>
      <c r="AW30" s="21">
        <v>6506</v>
      </c>
      <c r="AX30" s="21">
        <v>3583</v>
      </c>
      <c r="AY30" s="21" t="s">
        <v>165</v>
      </c>
      <c r="AZ30" s="21">
        <v>0</v>
      </c>
      <c r="BA30" s="21">
        <v>0</v>
      </c>
      <c r="BB30" s="21" t="s">
        <v>165</v>
      </c>
      <c r="BC30" s="21" t="s">
        <v>165</v>
      </c>
      <c r="BD30" s="21" t="s">
        <v>165</v>
      </c>
      <c r="BE30" s="21" t="s">
        <v>165</v>
      </c>
      <c r="BF30" s="21" t="s">
        <v>165</v>
      </c>
      <c r="BG30" s="21" t="s">
        <v>165</v>
      </c>
      <c r="BH30" s="21" t="s">
        <v>165</v>
      </c>
      <c r="BI30" s="21" t="s">
        <v>165</v>
      </c>
      <c r="BJ30" s="21" t="s">
        <v>165</v>
      </c>
      <c r="BK30" s="21" t="s">
        <v>165</v>
      </c>
      <c r="BL30" s="21" t="s">
        <v>165</v>
      </c>
      <c r="BM30" s="21" t="s">
        <v>165</v>
      </c>
      <c r="BN30" s="21" t="s">
        <v>165</v>
      </c>
      <c r="BO30" s="21" t="s">
        <v>165</v>
      </c>
      <c r="BP30" s="21" t="s">
        <v>165</v>
      </c>
      <c r="BQ30" s="21" t="s">
        <v>165</v>
      </c>
      <c r="BR30" s="21" t="s">
        <v>165</v>
      </c>
      <c r="BS30" s="21" t="s">
        <v>165</v>
      </c>
      <c r="BT30" s="21" t="s">
        <v>165</v>
      </c>
      <c r="BU30" s="21" t="s">
        <v>165</v>
      </c>
      <c r="BV30" s="21" t="s">
        <v>165</v>
      </c>
      <c r="BW30" s="21" t="s">
        <v>165</v>
      </c>
      <c r="BX30" s="21" t="s">
        <v>165</v>
      </c>
      <c r="BY30" s="21" t="s">
        <v>165</v>
      </c>
      <c r="BZ30" s="21" t="s">
        <v>165</v>
      </c>
      <c r="CA30" s="21" t="s">
        <v>165</v>
      </c>
      <c r="CB30" s="21" t="s">
        <v>165</v>
      </c>
      <c r="CC30" s="21" t="s">
        <v>165</v>
      </c>
      <c r="CD30" s="21" t="s">
        <v>165</v>
      </c>
      <c r="CE30" s="21" t="s">
        <v>165</v>
      </c>
      <c r="CG30" s="15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</row>
    <row r="31" spans="1:106" outlineLevel="3" x14ac:dyDescent="0.2">
      <c r="A31" s="14">
        <v>1</v>
      </c>
      <c r="C31" s="9" t="str">
        <f>"            Other Receivables, Current"</f>
        <v xml:space="preserve">            Other Receivables, Current</v>
      </c>
      <c r="D31" s="17">
        <f t="shared" si="0"/>
        <v>240.8535</v>
      </c>
      <c r="E31" s="17">
        <f t="shared" si="1"/>
        <v>1034.7795000000001</v>
      </c>
      <c r="F31" s="17">
        <f t="shared" si="2"/>
        <v>3.7010000000000001</v>
      </c>
      <c r="G31" s="17">
        <f t="shared" si="3"/>
        <v>5704.7479999999996</v>
      </c>
      <c r="H31" s="17">
        <f t="shared" si="4"/>
        <v>160.6755</v>
      </c>
      <c r="I31" s="17">
        <f t="shared" si="5"/>
        <v>1264.0542499999999</v>
      </c>
      <c r="J31" s="17">
        <f t="shared" si="6"/>
        <v>1550.9017196486739</v>
      </c>
      <c r="K31" s="18">
        <f t="shared" si="7"/>
        <v>1.4987750720309725</v>
      </c>
      <c r="L31" s="21"/>
      <c r="M31" s="21" t="s">
        <v>165</v>
      </c>
      <c r="N31" s="21"/>
      <c r="O31" s="21"/>
      <c r="P31" s="21"/>
      <c r="Q31" s="21"/>
      <c r="R31" s="21" t="s">
        <v>165</v>
      </c>
      <c r="S31" s="21" t="s">
        <v>165</v>
      </c>
      <c r="T31" s="21" t="s">
        <v>165</v>
      </c>
      <c r="U31" s="21" t="s">
        <v>165</v>
      </c>
      <c r="V31" s="21" t="s">
        <v>165</v>
      </c>
      <c r="W31" s="21" t="s">
        <v>165</v>
      </c>
      <c r="X31" s="21" t="s">
        <v>165</v>
      </c>
      <c r="Y31" s="21" t="s">
        <v>165</v>
      </c>
      <c r="Z31" s="21" t="s">
        <v>165</v>
      </c>
      <c r="AA31" s="21" t="s">
        <v>165</v>
      </c>
      <c r="AB31" s="21" t="s">
        <v>165</v>
      </c>
      <c r="AC31" s="21" t="s">
        <v>165</v>
      </c>
      <c r="AD31" s="21" t="s">
        <v>165</v>
      </c>
      <c r="AE31" s="21" t="s">
        <v>165</v>
      </c>
      <c r="AF31" s="21" t="s">
        <v>165</v>
      </c>
      <c r="AG31" s="21" t="s">
        <v>165</v>
      </c>
      <c r="AH31" s="21" t="s">
        <v>165</v>
      </c>
      <c r="AI31" s="21" t="s">
        <v>165</v>
      </c>
      <c r="AJ31" s="21" t="s">
        <v>165</v>
      </c>
      <c r="AK31" s="21" t="s">
        <v>165</v>
      </c>
      <c r="AL31" s="21" t="s">
        <v>165</v>
      </c>
      <c r="AM31" s="21" t="s">
        <v>165</v>
      </c>
      <c r="AN31" s="21" t="s">
        <v>165</v>
      </c>
      <c r="AO31" s="21" t="s">
        <v>165</v>
      </c>
      <c r="AP31" s="21" t="s">
        <v>165</v>
      </c>
      <c r="AQ31" s="21" t="s">
        <v>165</v>
      </c>
      <c r="AR31" s="21" t="s">
        <v>165</v>
      </c>
      <c r="AS31" s="21" t="s">
        <v>165</v>
      </c>
      <c r="AT31" s="21" t="s">
        <v>165</v>
      </c>
      <c r="AU31" s="21" t="s">
        <v>165</v>
      </c>
      <c r="AV31" s="21" t="s">
        <v>165</v>
      </c>
      <c r="AW31" s="21" t="s">
        <v>165</v>
      </c>
      <c r="AX31" s="21" t="s">
        <v>165</v>
      </c>
      <c r="AY31" s="21" t="s">
        <v>165</v>
      </c>
      <c r="AZ31" s="21" t="s">
        <v>165</v>
      </c>
      <c r="BA31" s="21" t="s">
        <v>165</v>
      </c>
      <c r="BB31" s="21">
        <v>1274.1559999999999</v>
      </c>
      <c r="BC31" s="21">
        <v>695.97199999999998</v>
      </c>
      <c r="BD31" s="21">
        <v>1817.509</v>
      </c>
      <c r="BE31" s="21">
        <v>4784.799</v>
      </c>
      <c r="BF31" s="21">
        <v>5704.7479999999996</v>
      </c>
      <c r="BG31" s="21">
        <v>365.19499999999999</v>
      </c>
      <c r="BH31" s="21">
        <v>2098.087</v>
      </c>
      <c r="BI31" s="21">
        <v>2581.2860000000001</v>
      </c>
      <c r="BJ31" s="21">
        <v>1233.749</v>
      </c>
      <c r="BK31" s="21" t="s">
        <v>165</v>
      </c>
      <c r="BL31" s="21">
        <v>66.076999999999998</v>
      </c>
      <c r="BM31" s="21">
        <v>410.541</v>
      </c>
      <c r="BN31" s="21">
        <v>263.66000000000003</v>
      </c>
      <c r="BO31" s="21" t="s">
        <v>165</v>
      </c>
      <c r="BP31" s="21">
        <v>3.7010000000000001</v>
      </c>
      <c r="BQ31" s="21">
        <v>134.78700000000001</v>
      </c>
      <c r="BR31" s="21">
        <v>160.91399999999999</v>
      </c>
      <c r="BS31" s="21">
        <v>71.194999999999993</v>
      </c>
      <c r="BT31" s="21">
        <v>160.596</v>
      </c>
      <c r="BU31" s="21">
        <v>218.047</v>
      </c>
      <c r="BV31" s="21">
        <v>134.661</v>
      </c>
      <c r="BW31" s="21" t="s">
        <v>165</v>
      </c>
      <c r="BX31" s="21">
        <v>175.33099999999999</v>
      </c>
      <c r="BY31" s="21">
        <v>198.33500000000001</v>
      </c>
      <c r="BZ31" s="21" t="s">
        <v>165</v>
      </c>
      <c r="CA31" s="21" t="s">
        <v>165</v>
      </c>
      <c r="CB31" s="21">
        <v>211.803</v>
      </c>
      <c r="CC31" s="21" t="s">
        <v>165</v>
      </c>
      <c r="CD31" s="21" t="s">
        <v>165</v>
      </c>
      <c r="CE31" s="21" t="s">
        <v>165</v>
      </c>
      <c r="CG31" s="15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</row>
    <row r="32" spans="1:106" outlineLevel="3" x14ac:dyDescent="0.2">
      <c r="A32" s="14">
        <v>1</v>
      </c>
      <c r="C32" s="10" t="str">
        <f>"            Total Trade and Other Receivables, Current"</f>
        <v xml:space="preserve">            Total Trade and Other Receivables, Current</v>
      </c>
      <c r="D32" s="29">
        <f t="shared" si="0"/>
        <v>55219.091999999997</v>
      </c>
      <c r="E32" s="29">
        <f t="shared" si="1"/>
        <v>50450.84256521739</v>
      </c>
      <c r="F32" s="29">
        <f t="shared" si="2"/>
        <v>18.015000000000001</v>
      </c>
      <c r="G32" s="29">
        <f t="shared" si="3"/>
        <v>119087</v>
      </c>
      <c r="H32" s="29">
        <f t="shared" si="4"/>
        <v>27000.225999999999</v>
      </c>
      <c r="I32" s="29">
        <f t="shared" si="5"/>
        <v>64640</v>
      </c>
      <c r="J32" s="29">
        <f t="shared" si="6"/>
        <v>25428.534273790741</v>
      </c>
      <c r="K32" s="30">
        <f t="shared" si="7"/>
        <v>0.50402595835578923</v>
      </c>
      <c r="L32" s="31"/>
      <c r="M32" s="31">
        <v>64640</v>
      </c>
      <c r="N32" s="21">
        <v>56583.25</v>
      </c>
      <c r="O32" s="21">
        <v>86102.25</v>
      </c>
      <c r="P32" s="21">
        <v>84417.5</v>
      </c>
      <c r="Q32" s="21">
        <v>63182.25</v>
      </c>
      <c r="R32" s="31">
        <v>93051</v>
      </c>
      <c r="S32" s="31">
        <v>104953</v>
      </c>
      <c r="T32" s="31">
        <v>119087</v>
      </c>
      <c r="U32" s="31">
        <v>73494</v>
      </c>
      <c r="V32" s="31">
        <v>75959</v>
      </c>
      <c r="W32" s="31">
        <v>57009</v>
      </c>
      <c r="X32" s="31">
        <v>59856</v>
      </c>
      <c r="Y32" s="31">
        <v>89814</v>
      </c>
      <c r="Z32" s="31">
        <v>56629</v>
      </c>
      <c r="AA32" s="31">
        <v>51535</v>
      </c>
      <c r="AB32" s="31">
        <v>55280</v>
      </c>
      <c r="AC32" s="31">
        <v>62864</v>
      </c>
      <c r="AD32" s="31">
        <v>55641</v>
      </c>
      <c r="AE32" s="31">
        <v>53411</v>
      </c>
      <c r="AF32" s="31">
        <v>60517</v>
      </c>
      <c r="AG32" s="31">
        <v>61331</v>
      </c>
      <c r="AH32" s="31">
        <v>77713</v>
      </c>
      <c r="AI32" s="31">
        <v>58348</v>
      </c>
      <c r="AJ32" s="31">
        <v>49181</v>
      </c>
      <c r="AK32" s="31">
        <v>44671</v>
      </c>
      <c r="AL32" s="31">
        <v>63245</v>
      </c>
      <c r="AM32" s="31">
        <v>53289</v>
      </c>
      <c r="AN32" s="31">
        <v>48313</v>
      </c>
      <c r="AO32" s="31">
        <v>50521</v>
      </c>
      <c r="AP32" s="31">
        <v>58793</v>
      </c>
      <c r="AQ32" s="31">
        <v>74139</v>
      </c>
      <c r="AR32" s="31">
        <v>69266</v>
      </c>
      <c r="AS32" s="31">
        <v>68056</v>
      </c>
      <c r="AT32" s="31">
        <v>71763</v>
      </c>
      <c r="AU32" s="31">
        <v>73236</v>
      </c>
      <c r="AV32" s="31">
        <v>78629</v>
      </c>
      <c r="AW32" s="31">
        <v>63739</v>
      </c>
      <c r="AX32" s="31">
        <v>67374</v>
      </c>
      <c r="AY32" s="31">
        <v>66279</v>
      </c>
      <c r="AZ32" s="31">
        <v>48232</v>
      </c>
      <c r="BA32" s="31">
        <v>42247.648000000001</v>
      </c>
      <c r="BB32" s="31">
        <v>52270.716999999997</v>
      </c>
      <c r="BC32" s="31">
        <v>61573.087</v>
      </c>
      <c r="BD32" s="31">
        <v>55980.445</v>
      </c>
      <c r="BE32" s="31">
        <v>54656.31</v>
      </c>
      <c r="BF32" s="31">
        <v>55219.091999999997</v>
      </c>
      <c r="BG32" s="31">
        <v>52490.017999999996</v>
      </c>
      <c r="BH32" s="31">
        <v>54103.324000000001</v>
      </c>
      <c r="BI32" s="31">
        <v>39733.601999999999</v>
      </c>
      <c r="BJ32" s="31">
        <v>32820.298999999999</v>
      </c>
      <c r="BK32" s="31">
        <v>27000.225999999999</v>
      </c>
      <c r="BL32" s="31">
        <v>27416.226999999999</v>
      </c>
      <c r="BM32" s="31">
        <v>19636.440999999999</v>
      </c>
      <c r="BN32" s="31">
        <v>19741.276000000002</v>
      </c>
      <c r="BO32" s="31">
        <v>17980.620999999999</v>
      </c>
      <c r="BP32" s="31">
        <v>18377.414000000001</v>
      </c>
      <c r="BQ32" s="31">
        <v>20007.350999999999</v>
      </c>
      <c r="BR32" s="31">
        <v>15088.855</v>
      </c>
      <c r="BS32" s="31">
        <v>16775.699000000001</v>
      </c>
      <c r="BT32" s="31">
        <v>20410.454000000002</v>
      </c>
      <c r="BU32" s="31">
        <v>15950.673000000001</v>
      </c>
      <c r="BV32" s="31">
        <v>15272.742</v>
      </c>
      <c r="BW32" s="31">
        <v>12904.35</v>
      </c>
      <c r="BX32" s="31">
        <v>15084.17</v>
      </c>
      <c r="BY32" s="31">
        <v>13668.089</v>
      </c>
      <c r="BZ32" s="31">
        <v>12289.596</v>
      </c>
      <c r="CA32" s="31">
        <v>9936.9069999999992</v>
      </c>
      <c r="CB32" s="31">
        <v>12311.239</v>
      </c>
      <c r="CC32" s="31">
        <v>18.015000000000001</v>
      </c>
      <c r="CD32" s="31" t="s">
        <v>165</v>
      </c>
      <c r="CE32" s="31" t="s">
        <v>165</v>
      </c>
      <c r="CG32" s="15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</row>
    <row r="33" spans="1:106" outlineLevel="2" x14ac:dyDescent="0.2">
      <c r="A33" s="14">
        <v>1</v>
      </c>
      <c r="C33" s="9" t="str">
        <f>"        Prepayments and Deposits, Current"</f>
        <v xml:space="preserve">        Prepayments and Deposits, Current</v>
      </c>
      <c r="D33" s="17">
        <f t="shared" si="0"/>
        <v>6735</v>
      </c>
      <c r="E33" s="17">
        <f t="shared" si="1"/>
        <v>6920.0925925925922</v>
      </c>
      <c r="F33" s="17">
        <f t="shared" si="2"/>
        <v>4139</v>
      </c>
      <c r="G33" s="17">
        <f t="shared" si="3"/>
        <v>9815</v>
      </c>
      <c r="H33" s="17">
        <f t="shared" si="4"/>
        <v>6050</v>
      </c>
      <c r="I33" s="17">
        <f t="shared" si="5"/>
        <v>8130</v>
      </c>
      <c r="J33" s="17">
        <f t="shared" si="6"/>
        <v>1424.9559796644521</v>
      </c>
      <c r="K33" s="18">
        <f t="shared" si="7"/>
        <v>0.20591573892952733</v>
      </c>
      <c r="L33" s="21"/>
      <c r="M33" s="21">
        <v>5569</v>
      </c>
      <c r="N33" s="21">
        <v>8451.75</v>
      </c>
      <c r="O33" s="21">
        <v>8936.25</v>
      </c>
      <c r="P33" s="21">
        <v>8096</v>
      </c>
      <c r="Q33" s="21">
        <v>7850.5</v>
      </c>
      <c r="R33" s="21">
        <v>7630</v>
      </c>
      <c r="S33" s="21">
        <v>8356</v>
      </c>
      <c r="T33" s="21">
        <v>6123</v>
      </c>
      <c r="U33" s="21">
        <v>6735</v>
      </c>
      <c r="V33" s="21">
        <v>7360</v>
      </c>
      <c r="W33" s="21">
        <v>6119</v>
      </c>
      <c r="X33" s="21">
        <v>4307</v>
      </c>
      <c r="Y33" s="21">
        <v>5981</v>
      </c>
      <c r="Z33" s="21">
        <v>6893</v>
      </c>
      <c r="AA33" s="21">
        <v>9815</v>
      </c>
      <c r="AB33" s="21">
        <v>6306</v>
      </c>
      <c r="AC33" s="21">
        <v>8164</v>
      </c>
      <c r="AD33" s="21">
        <v>8744</v>
      </c>
      <c r="AE33" s="21">
        <v>8197</v>
      </c>
      <c r="AF33" s="21">
        <v>5958</v>
      </c>
      <c r="AG33" s="21">
        <v>6693</v>
      </c>
      <c r="AH33" s="21">
        <v>6660</v>
      </c>
      <c r="AI33" s="21">
        <v>7070</v>
      </c>
      <c r="AJ33" s="21">
        <v>4824</v>
      </c>
      <c r="AK33" s="21">
        <v>5689</v>
      </c>
      <c r="AL33" s="21">
        <v>6176</v>
      </c>
      <c r="AM33" s="21" t="s">
        <v>165</v>
      </c>
      <c r="AN33" s="21">
        <v>4139</v>
      </c>
      <c r="AO33" s="21" t="s">
        <v>165</v>
      </c>
      <c r="AP33" s="21" t="s">
        <v>165</v>
      </c>
      <c r="AQ33" s="21" t="s">
        <v>165</v>
      </c>
      <c r="AR33" s="21" t="s">
        <v>165</v>
      </c>
      <c r="AS33" s="21" t="s">
        <v>165</v>
      </c>
      <c r="AT33" s="21" t="s">
        <v>165</v>
      </c>
      <c r="AU33" s="21" t="s">
        <v>165</v>
      </c>
      <c r="AV33" s="21" t="s">
        <v>165</v>
      </c>
      <c r="AW33" s="21" t="s">
        <v>165</v>
      </c>
      <c r="AX33" s="21" t="s">
        <v>165</v>
      </c>
      <c r="AY33" s="21" t="s">
        <v>165</v>
      </c>
      <c r="AZ33" s="21" t="s">
        <v>165</v>
      </c>
      <c r="BA33" s="21" t="s">
        <v>165</v>
      </c>
      <c r="BB33" s="21" t="s">
        <v>165</v>
      </c>
      <c r="BC33" s="21" t="s">
        <v>165</v>
      </c>
      <c r="BD33" s="21" t="s">
        <v>165</v>
      </c>
      <c r="BE33" s="21" t="s">
        <v>165</v>
      </c>
      <c r="BF33" s="21" t="s">
        <v>165</v>
      </c>
      <c r="BG33" s="21" t="s">
        <v>165</v>
      </c>
      <c r="BH33" s="21" t="s">
        <v>165</v>
      </c>
      <c r="BI33" s="21" t="s">
        <v>165</v>
      </c>
      <c r="BJ33" s="21" t="s">
        <v>165</v>
      </c>
      <c r="BK33" s="21" t="s">
        <v>165</v>
      </c>
      <c r="BL33" s="21" t="s">
        <v>165</v>
      </c>
      <c r="BM33" s="21" t="s">
        <v>165</v>
      </c>
      <c r="BN33" s="21" t="s">
        <v>165</v>
      </c>
      <c r="BO33" s="21" t="s">
        <v>165</v>
      </c>
      <c r="BP33" s="21" t="s">
        <v>165</v>
      </c>
      <c r="BQ33" s="21" t="s">
        <v>165</v>
      </c>
      <c r="BR33" s="21" t="s">
        <v>165</v>
      </c>
      <c r="BS33" s="21" t="s">
        <v>165</v>
      </c>
      <c r="BT33" s="21" t="s">
        <v>165</v>
      </c>
      <c r="BU33" s="21" t="s">
        <v>165</v>
      </c>
      <c r="BV33" s="21" t="s">
        <v>165</v>
      </c>
      <c r="BW33" s="21" t="s">
        <v>165</v>
      </c>
      <c r="BX33" s="21" t="s">
        <v>165</v>
      </c>
      <c r="BY33" s="21" t="s">
        <v>165</v>
      </c>
      <c r="BZ33" s="21" t="s">
        <v>165</v>
      </c>
      <c r="CA33" s="21" t="s">
        <v>165</v>
      </c>
      <c r="CB33" s="21" t="s">
        <v>165</v>
      </c>
      <c r="CC33" s="21" t="s">
        <v>165</v>
      </c>
      <c r="CD33" s="21" t="s">
        <v>165</v>
      </c>
      <c r="CE33" s="21" t="s">
        <v>165</v>
      </c>
      <c r="CG33" s="15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</row>
    <row r="34" spans="1:106" outlineLevel="2" x14ac:dyDescent="0.2">
      <c r="A34" s="14">
        <v>1</v>
      </c>
      <c r="C34" s="9" t="str">
        <f>"        Deferred Tax Assets, Current"</f>
        <v xml:space="preserve">        Deferred Tax Assets, Current</v>
      </c>
      <c r="D34" s="17">
        <f t="shared" si="0"/>
        <v>11232.29</v>
      </c>
      <c r="E34" s="17">
        <f t="shared" si="1"/>
        <v>10046.11982352941</v>
      </c>
      <c r="F34" s="17">
        <f t="shared" si="2"/>
        <v>3346.6840000000002</v>
      </c>
      <c r="G34" s="17">
        <f t="shared" si="3"/>
        <v>17094</v>
      </c>
      <c r="H34" s="17">
        <f t="shared" si="4"/>
        <v>5141.6035000000002</v>
      </c>
      <c r="I34" s="17">
        <f t="shared" si="5"/>
        <v>13275.5</v>
      </c>
      <c r="J34" s="17">
        <f t="shared" si="6"/>
        <v>4613.2829069589379</v>
      </c>
      <c r="K34" s="18">
        <f t="shared" si="7"/>
        <v>0.45921042034099446</v>
      </c>
      <c r="L34" s="21"/>
      <c r="M34" s="21" t="s">
        <v>165</v>
      </c>
      <c r="N34" s="21"/>
      <c r="O34" s="21"/>
      <c r="P34" s="21"/>
      <c r="Q34" s="21"/>
      <c r="R34" s="21" t="s">
        <v>165</v>
      </c>
      <c r="S34" s="21" t="s">
        <v>165</v>
      </c>
      <c r="T34" s="21" t="s">
        <v>165</v>
      </c>
      <c r="U34" s="21" t="s">
        <v>165</v>
      </c>
      <c r="V34" s="21" t="s">
        <v>165</v>
      </c>
      <c r="W34" s="21" t="s">
        <v>165</v>
      </c>
      <c r="X34" s="21" t="s">
        <v>165</v>
      </c>
      <c r="Y34" s="21">
        <v>16441</v>
      </c>
      <c r="Z34" s="21">
        <v>16373</v>
      </c>
      <c r="AA34" s="21">
        <v>16373</v>
      </c>
      <c r="AB34" s="21">
        <v>16373</v>
      </c>
      <c r="AC34" s="21">
        <v>15882</v>
      </c>
      <c r="AD34" s="21">
        <v>16917</v>
      </c>
      <c r="AE34" s="21">
        <v>16880</v>
      </c>
      <c r="AF34" s="21">
        <v>17094</v>
      </c>
      <c r="AG34" s="21">
        <v>12076</v>
      </c>
      <c r="AH34" s="21">
        <v>12076</v>
      </c>
      <c r="AI34" s="21">
        <v>12076</v>
      </c>
      <c r="AJ34" s="21">
        <v>12076</v>
      </c>
      <c r="AK34" s="21">
        <v>12759</v>
      </c>
      <c r="AL34" s="21">
        <v>12759</v>
      </c>
      <c r="AM34" s="21">
        <v>12759</v>
      </c>
      <c r="AN34" s="21">
        <v>12759</v>
      </c>
      <c r="AO34" s="21">
        <v>14334</v>
      </c>
      <c r="AP34" s="21">
        <v>14073</v>
      </c>
      <c r="AQ34" s="21">
        <v>14073</v>
      </c>
      <c r="AR34" s="21">
        <v>14121</v>
      </c>
      <c r="AS34" s="21">
        <v>13792</v>
      </c>
      <c r="AT34" s="21">
        <v>10851</v>
      </c>
      <c r="AU34" s="21">
        <v>10992</v>
      </c>
      <c r="AV34" s="21">
        <v>11249</v>
      </c>
      <c r="AW34" s="21">
        <v>12198</v>
      </c>
      <c r="AX34" s="21" t="s">
        <v>165</v>
      </c>
      <c r="AY34" s="21">
        <v>11377</v>
      </c>
      <c r="AZ34" s="21">
        <v>12505</v>
      </c>
      <c r="BA34" s="21">
        <v>11232.29</v>
      </c>
      <c r="BB34" s="21">
        <v>10548.142</v>
      </c>
      <c r="BC34" s="21">
        <v>9947.2340000000004</v>
      </c>
      <c r="BD34" s="21">
        <v>9947.2340000000004</v>
      </c>
      <c r="BE34" s="21">
        <v>9247.1890000000003</v>
      </c>
      <c r="BF34" s="21">
        <v>7809.9390000000003</v>
      </c>
      <c r="BG34" s="21">
        <v>7809.9390000000003</v>
      </c>
      <c r="BH34" s="21">
        <v>7917.393</v>
      </c>
      <c r="BI34" s="21">
        <v>3346.6840000000002</v>
      </c>
      <c r="BJ34" s="21">
        <v>3346.6840000000002</v>
      </c>
      <c r="BK34" s="21">
        <v>3346.6840000000002</v>
      </c>
      <c r="BL34" s="21">
        <v>3346.6840000000002</v>
      </c>
      <c r="BM34" s="21">
        <v>4722.8530000000001</v>
      </c>
      <c r="BN34" s="21">
        <v>5560.3540000000003</v>
      </c>
      <c r="BO34" s="21">
        <v>5790.0379999999996</v>
      </c>
      <c r="BP34" s="21">
        <v>6119.5609999999997</v>
      </c>
      <c r="BQ34" s="21">
        <v>4495.6629999999996</v>
      </c>
      <c r="BR34" s="21">
        <v>3935.0990000000002</v>
      </c>
      <c r="BS34" s="21">
        <v>3639.7820000000002</v>
      </c>
      <c r="BT34" s="21">
        <v>3900.48</v>
      </c>
      <c r="BU34" s="21">
        <v>3522.3110000000001</v>
      </c>
      <c r="BV34" s="21">
        <v>3792.3090000000002</v>
      </c>
      <c r="BW34" s="21">
        <v>3857.4839999999999</v>
      </c>
      <c r="BX34" s="21">
        <v>3932.0810000000001</v>
      </c>
      <c r="BY34" s="21" t="s">
        <v>165</v>
      </c>
      <c r="BZ34" s="21" t="s">
        <v>165</v>
      </c>
      <c r="CA34" s="21" t="s">
        <v>165</v>
      </c>
      <c r="CB34" s="21" t="s">
        <v>165</v>
      </c>
      <c r="CC34" s="21" t="s">
        <v>165</v>
      </c>
      <c r="CD34" s="21" t="s">
        <v>165</v>
      </c>
      <c r="CE34" s="21" t="s">
        <v>165</v>
      </c>
      <c r="CG34" s="15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</row>
    <row r="35" spans="1:106" outlineLevel="2" x14ac:dyDescent="0.2">
      <c r="A35" s="14">
        <v>1</v>
      </c>
      <c r="C35" s="9" t="str">
        <f>"        Deferred Costs/Assets, Current"</f>
        <v xml:space="preserve">        Deferred Costs/Assets, Current</v>
      </c>
      <c r="D35" s="17">
        <f t="shared" si="0"/>
        <v>0</v>
      </c>
      <c r="E35" s="17">
        <f t="shared" si="1"/>
        <v>0</v>
      </c>
      <c r="F35" s="17">
        <f t="shared" si="2"/>
        <v>0</v>
      </c>
      <c r="G35" s="17">
        <f t="shared" si="3"/>
        <v>0</v>
      </c>
      <c r="H35" s="17">
        <f t="shared" si="4"/>
        <v>0</v>
      </c>
      <c r="I35" s="17">
        <f t="shared" si="5"/>
        <v>0</v>
      </c>
      <c r="J35" s="17">
        <f t="shared" si="6"/>
        <v>0</v>
      </c>
      <c r="K35" s="18" t="e">
        <f t="shared" si="7"/>
        <v>#DIV/0!</v>
      </c>
      <c r="L35" s="21"/>
      <c r="M35" s="21" t="s">
        <v>165</v>
      </c>
      <c r="N35" s="21"/>
      <c r="O35" s="21"/>
      <c r="P35" s="21"/>
      <c r="Q35" s="21"/>
      <c r="R35" s="21" t="s">
        <v>165</v>
      </c>
      <c r="S35" s="21" t="s">
        <v>165</v>
      </c>
      <c r="T35" s="21" t="s">
        <v>165</v>
      </c>
      <c r="U35" s="21" t="s">
        <v>165</v>
      </c>
      <c r="V35" s="21" t="s">
        <v>165</v>
      </c>
      <c r="W35" s="21" t="s">
        <v>165</v>
      </c>
      <c r="X35" s="21" t="s">
        <v>165</v>
      </c>
      <c r="Y35" s="21" t="s">
        <v>165</v>
      </c>
      <c r="Z35" s="21" t="s">
        <v>165</v>
      </c>
      <c r="AA35" s="21" t="s">
        <v>165</v>
      </c>
      <c r="AB35" s="21" t="s">
        <v>165</v>
      </c>
      <c r="AC35" s="21" t="s">
        <v>165</v>
      </c>
      <c r="AD35" s="21" t="s">
        <v>165</v>
      </c>
      <c r="AE35" s="21" t="s">
        <v>165</v>
      </c>
      <c r="AF35" s="21" t="s">
        <v>165</v>
      </c>
      <c r="AG35" s="21" t="s">
        <v>165</v>
      </c>
      <c r="AH35" s="21" t="s">
        <v>165</v>
      </c>
      <c r="AI35" s="21" t="s">
        <v>165</v>
      </c>
      <c r="AJ35" s="21" t="s">
        <v>165</v>
      </c>
      <c r="AK35" s="21" t="s">
        <v>165</v>
      </c>
      <c r="AL35" s="21" t="s">
        <v>165</v>
      </c>
      <c r="AM35" s="21" t="s">
        <v>165</v>
      </c>
      <c r="AN35" s="21" t="s">
        <v>165</v>
      </c>
      <c r="AO35" s="21">
        <v>0</v>
      </c>
      <c r="AP35" s="21">
        <v>0</v>
      </c>
      <c r="AQ35" s="21">
        <v>0</v>
      </c>
      <c r="AR35" s="21" t="s">
        <v>165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 t="s">
        <v>165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 t="s">
        <v>165</v>
      </c>
      <c r="BZ35" s="21" t="s">
        <v>165</v>
      </c>
      <c r="CA35" s="21" t="s">
        <v>165</v>
      </c>
      <c r="CB35" s="21" t="s">
        <v>165</v>
      </c>
      <c r="CC35" s="21" t="s">
        <v>165</v>
      </c>
      <c r="CD35" s="21" t="s">
        <v>165</v>
      </c>
      <c r="CE35" s="21" t="s">
        <v>165</v>
      </c>
      <c r="CG35" s="15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</row>
    <row r="36" spans="1:106" outlineLevel="2" x14ac:dyDescent="0.2">
      <c r="A36" s="14">
        <v>1</v>
      </c>
      <c r="C36" s="9" t="str">
        <f>"        Assets Held for Sale/Discontinued Operations, Current"</f>
        <v xml:space="preserve">        Assets Held for Sale/Discontinued Operations, Current</v>
      </c>
      <c r="D36" s="17">
        <f t="shared" si="0"/>
        <v>1098.5</v>
      </c>
      <c r="E36" s="17">
        <f t="shared" si="1"/>
        <v>8192.5625</v>
      </c>
      <c r="F36" s="17">
        <f t="shared" si="2"/>
        <v>0</v>
      </c>
      <c r="G36" s="17">
        <f t="shared" si="3"/>
        <v>47336.5</v>
      </c>
      <c r="H36" s="17">
        <f t="shared" si="4"/>
        <v>0</v>
      </c>
      <c r="I36" s="17">
        <f t="shared" si="5"/>
        <v>5260.25</v>
      </c>
      <c r="J36" s="17">
        <f t="shared" si="6"/>
        <v>16451.372881133877</v>
      </c>
      <c r="K36" s="18">
        <f t="shared" si="7"/>
        <v>2.0080863443072761</v>
      </c>
      <c r="L36" s="21"/>
      <c r="M36" s="21" t="s">
        <v>165</v>
      </c>
      <c r="N36" s="21">
        <v>0</v>
      </c>
      <c r="O36" s="21">
        <v>47336.5</v>
      </c>
      <c r="P36" s="21"/>
      <c r="Q36" s="21"/>
      <c r="R36" s="21" t="s">
        <v>165</v>
      </c>
      <c r="S36" s="21" t="s">
        <v>165</v>
      </c>
      <c r="T36" s="21" t="s">
        <v>165</v>
      </c>
      <c r="U36" s="21" t="s">
        <v>165</v>
      </c>
      <c r="V36" s="21" t="s">
        <v>165</v>
      </c>
      <c r="W36" s="21" t="s">
        <v>165</v>
      </c>
      <c r="X36" s="21" t="s">
        <v>165</v>
      </c>
      <c r="Y36" s="21" t="s">
        <v>165</v>
      </c>
      <c r="Z36" s="21" t="s">
        <v>165</v>
      </c>
      <c r="AA36" s="21" t="s">
        <v>165</v>
      </c>
      <c r="AB36" s="21" t="s">
        <v>165</v>
      </c>
      <c r="AC36" s="21" t="s">
        <v>165</v>
      </c>
      <c r="AD36" s="21" t="s">
        <v>165</v>
      </c>
      <c r="AE36" s="21" t="s">
        <v>165</v>
      </c>
      <c r="AF36" s="21" t="s">
        <v>165</v>
      </c>
      <c r="AG36" s="21" t="s">
        <v>165</v>
      </c>
      <c r="AH36" s="21" t="s">
        <v>165</v>
      </c>
      <c r="AI36" s="21" t="s">
        <v>165</v>
      </c>
      <c r="AJ36" s="21" t="s">
        <v>165</v>
      </c>
      <c r="AK36" s="21">
        <v>0</v>
      </c>
      <c r="AL36" s="21">
        <v>1150</v>
      </c>
      <c r="AM36" s="21">
        <v>1047</v>
      </c>
      <c r="AN36" s="21">
        <v>13490</v>
      </c>
      <c r="AO36" s="21">
        <v>2517</v>
      </c>
      <c r="AP36" s="21" t="s">
        <v>165</v>
      </c>
      <c r="AQ36" s="21" t="s">
        <v>165</v>
      </c>
      <c r="AR36" s="21">
        <v>0</v>
      </c>
      <c r="AS36" s="21" t="s">
        <v>165</v>
      </c>
      <c r="AT36" s="21" t="s">
        <v>165</v>
      </c>
      <c r="AU36" s="21" t="s">
        <v>165</v>
      </c>
      <c r="AV36" s="21" t="s">
        <v>165</v>
      </c>
      <c r="AW36" s="21" t="s">
        <v>165</v>
      </c>
      <c r="AX36" s="21" t="s">
        <v>165</v>
      </c>
      <c r="AY36" s="21" t="s">
        <v>165</v>
      </c>
      <c r="AZ36" s="21" t="s">
        <v>165</v>
      </c>
      <c r="BA36" s="21" t="s">
        <v>165</v>
      </c>
      <c r="BB36" s="21" t="s">
        <v>165</v>
      </c>
      <c r="BC36" s="21" t="s">
        <v>165</v>
      </c>
      <c r="BD36" s="21" t="s">
        <v>165</v>
      </c>
      <c r="BE36" s="21" t="s">
        <v>165</v>
      </c>
      <c r="BF36" s="21" t="s">
        <v>165</v>
      </c>
      <c r="BG36" s="21" t="s">
        <v>165</v>
      </c>
      <c r="BH36" s="21" t="s">
        <v>165</v>
      </c>
      <c r="BI36" s="21" t="s">
        <v>165</v>
      </c>
      <c r="BJ36" s="21" t="s">
        <v>165</v>
      </c>
      <c r="BK36" s="21" t="s">
        <v>165</v>
      </c>
      <c r="BL36" s="21" t="s">
        <v>165</v>
      </c>
      <c r="BM36" s="21" t="s">
        <v>165</v>
      </c>
      <c r="BN36" s="21" t="s">
        <v>165</v>
      </c>
      <c r="BO36" s="21" t="s">
        <v>165</v>
      </c>
      <c r="BP36" s="21" t="s">
        <v>165</v>
      </c>
      <c r="BQ36" s="21" t="s">
        <v>165</v>
      </c>
      <c r="BR36" s="21" t="s">
        <v>165</v>
      </c>
      <c r="BS36" s="21" t="s">
        <v>165</v>
      </c>
      <c r="BT36" s="21" t="s">
        <v>165</v>
      </c>
      <c r="BU36" s="21" t="s">
        <v>165</v>
      </c>
      <c r="BV36" s="21" t="s">
        <v>165</v>
      </c>
      <c r="BW36" s="21" t="s">
        <v>165</v>
      </c>
      <c r="BX36" s="21" t="s">
        <v>165</v>
      </c>
      <c r="BY36" s="21" t="s">
        <v>165</v>
      </c>
      <c r="BZ36" s="21" t="s">
        <v>165</v>
      </c>
      <c r="CA36" s="21" t="s">
        <v>165</v>
      </c>
      <c r="CB36" s="21" t="s">
        <v>165</v>
      </c>
      <c r="CC36" s="21" t="s">
        <v>165</v>
      </c>
      <c r="CD36" s="21" t="s">
        <v>165</v>
      </c>
      <c r="CE36" s="21" t="s">
        <v>165</v>
      </c>
      <c r="CG36" s="15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</row>
    <row r="37" spans="1:106" outlineLevel="2" x14ac:dyDescent="0.2">
      <c r="A37" s="14">
        <v>1</v>
      </c>
      <c r="C37" s="9" t="str">
        <f>"        Other Current Assets"</f>
        <v xml:space="preserve">        Other Current Assets</v>
      </c>
      <c r="D37" s="17">
        <f t="shared" si="0"/>
        <v>4718.0005000000001</v>
      </c>
      <c r="E37" s="17">
        <f t="shared" si="1"/>
        <v>5402.7796904761908</v>
      </c>
      <c r="F37" s="17">
        <f t="shared" si="2"/>
        <v>15.183999999999999</v>
      </c>
      <c r="G37" s="17">
        <f t="shared" si="3"/>
        <v>15858</v>
      </c>
      <c r="H37" s="17">
        <f t="shared" si="4"/>
        <v>3035.07375</v>
      </c>
      <c r="I37" s="17">
        <f t="shared" si="5"/>
        <v>7547.1942500000005</v>
      </c>
      <c r="J37" s="17">
        <f t="shared" si="6"/>
        <v>3165.5491589107023</v>
      </c>
      <c r="K37" s="18">
        <f t="shared" si="7"/>
        <v>0.58591120502115024</v>
      </c>
      <c r="L37" s="21"/>
      <c r="M37" s="21" t="s">
        <v>165</v>
      </c>
      <c r="N37" s="21"/>
      <c r="O37" s="21"/>
      <c r="P37" s="21"/>
      <c r="Q37" s="21"/>
      <c r="R37" s="21" t="s">
        <v>165</v>
      </c>
      <c r="S37" s="21" t="s">
        <v>165</v>
      </c>
      <c r="T37" s="21" t="s">
        <v>165</v>
      </c>
      <c r="U37" s="21" t="s">
        <v>165</v>
      </c>
      <c r="V37" s="21" t="s">
        <v>165</v>
      </c>
      <c r="W37" s="21" t="s">
        <v>165</v>
      </c>
      <c r="X37" s="21" t="s">
        <v>165</v>
      </c>
      <c r="Y37" s="21" t="s">
        <v>165</v>
      </c>
      <c r="Z37" s="21" t="s">
        <v>165</v>
      </c>
      <c r="AA37" s="21" t="s">
        <v>165</v>
      </c>
      <c r="AB37" s="21" t="s">
        <v>165</v>
      </c>
      <c r="AC37" s="21" t="s">
        <v>165</v>
      </c>
      <c r="AD37" s="21" t="s">
        <v>165</v>
      </c>
      <c r="AE37" s="21" t="s">
        <v>165</v>
      </c>
      <c r="AF37" s="21" t="s">
        <v>165</v>
      </c>
      <c r="AG37" s="21" t="s">
        <v>165</v>
      </c>
      <c r="AH37" s="21" t="s">
        <v>165</v>
      </c>
      <c r="AI37" s="21" t="s">
        <v>165</v>
      </c>
      <c r="AJ37" s="21" t="s">
        <v>165</v>
      </c>
      <c r="AK37" s="21" t="s">
        <v>165</v>
      </c>
      <c r="AL37" s="21" t="s">
        <v>165</v>
      </c>
      <c r="AM37" s="21">
        <v>9410</v>
      </c>
      <c r="AN37" s="21" t="s">
        <v>165</v>
      </c>
      <c r="AO37" s="21">
        <v>8269</v>
      </c>
      <c r="AP37" s="21">
        <v>11318</v>
      </c>
      <c r="AQ37" s="21">
        <v>11046</v>
      </c>
      <c r="AR37" s="21">
        <v>10212</v>
      </c>
      <c r="AS37" s="21">
        <v>6862</v>
      </c>
      <c r="AT37" s="21">
        <v>7618</v>
      </c>
      <c r="AU37" s="21">
        <v>6364</v>
      </c>
      <c r="AV37" s="21">
        <v>4095</v>
      </c>
      <c r="AW37" s="21">
        <v>4300</v>
      </c>
      <c r="AX37" s="21">
        <v>15858</v>
      </c>
      <c r="AY37" s="21">
        <v>5608</v>
      </c>
      <c r="AZ37" s="21">
        <v>3093</v>
      </c>
      <c r="BA37" s="21">
        <v>3594.38</v>
      </c>
      <c r="BB37" s="21">
        <v>5473.5680000000002</v>
      </c>
      <c r="BC37" s="21">
        <v>7962.1279999999997</v>
      </c>
      <c r="BD37" s="21">
        <v>4724.973</v>
      </c>
      <c r="BE37" s="21">
        <v>5936.6379999999999</v>
      </c>
      <c r="BF37" s="21">
        <v>5369.5529999999999</v>
      </c>
      <c r="BG37" s="21">
        <v>7934.7430000000004</v>
      </c>
      <c r="BH37" s="21">
        <v>4154.5950000000003</v>
      </c>
      <c r="BI37" s="21">
        <v>4319.442</v>
      </c>
      <c r="BJ37" s="21">
        <v>2316.4520000000002</v>
      </c>
      <c r="BK37" s="21">
        <v>2253.6619999999998</v>
      </c>
      <c r="BL37" s="21">
        <v>2567.5639999999999</v>
      </c>
      <c r="BM37" s="21">
        <v>2856.223</v>
      </c>
      <c r="BN37" s="21">
        <v>3607.7640000000001</v>
      </c>
      <c r="BO37" s="21">
        <v>3302.877</v>
      </c>
      <c r="BP37" s="21">
        <v>2388.2860000000001</v>
      </c>
      <c r="BQ37" s="21">
        <v>2374.5120000000002</v>
      </c>
      <c r="BR37" s="21">
        <v>4711.0280000000002</v>
      </c>
      <c r="BS37" s="21">
        <v>2419.768</v>
      </c>
      <c r="BT37" s="21">
        <v>1984.3430000000001</v>
      </c>
      <c r="BU37" s="21">
        <v>4834.2380000000003</v>
      </c>
      <c r="BV37" s="21">
        <v>7334.777</v>
      </c>
      <c r="BW37" s="21">
        <v>8107.55</v>
      </c>
      <c r="BX37" s="21">
        <v>8097.8620000000001</v>
      </c>
      <c r="BY37" s="21">
        <v>3015.7649999999999</v>
      </c>
      <c r="BZ37" s="21">
        <v>4227.2929999999997</v>
      </c>
      <c r="CA37" s="21">
        <v>5531.4359999999997</v>
      </c>
      <c r="CB37" s="21">
        <v>1447.143</v>
      </c>
      <c r="CC37" s="21" t="s">
        <v>165</v>
      </c>
      <c r="CD37" s="21">
        <v>15.183999999999999</v>
      </c>
      <c r="CE37" s="21" t="s">
        <v>165</v>
      </c>
      <c r="CG37" s="15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</row>
    <row r="38" spans="1:106" outlineLevel="2" x14ac:dyDescent="0.2">
      <c r="A38" s="14">
        <v>1</v>
      </c>
      <c r="C38" s="10" t="str">
        <f>"        Total Current Assets"</f>
        <v xml:space="preserve">        Total Current Assets</v>
      </c>
      <c r="D38" s="29">
        <f t="shared" si="0"/>
        <v>175163</v>
      </c>
      <c r="E38" s="29">
        <f t="shared" si="1"/>
        <v>163153.65657746478</v>
      </c>
      <c r="F38" s="29">
        <f t="shared" si="2"/>
        <v>1</v>
      </c>
      <c r="G38" s="29">
        <f t="shared" si="3"/>
        <v>365789</v>
      </c>
      <c r="H38" s="29">
        <f t="shared" si="4"/>
        <v>54192.573499999999</v>
      </c>
      <c r="I38" s="29">
        <f t="shared" si="5"/>
        <v>237013.5</v>
      </c>
      <c r="J38" s="29">
        <f t="shared" si="6"/>
        <v>100817.81262162</v>
      </c>
      <c r="K38" s="30">
        <f t="shared" si="7"/>
        <v>0.61793167702467067</v>
      </c>
      <c r="L38" s="31"/>
      <c r="M38" s="31">
        <v>327597</v>
      </c>
      <c r="N38" s="31">
        <v>285994.25</v>
      </c>
      <c r="O38" s="31">
        <v>325123</v>
      </c>
      <c r="P38" s="31">
        <v>314265.75</v>
      </c>
      <c r="Q38" s="31">
        <v>272646.25</v>
      </c>
      <c r="R38" s="31">
        <v>347798</v>
      </c>
      <c r="S38" s="31">
        <v>317748</v>
      </c>
      <c r="T38" s="31">
        <v>318441</v>
      </c>
      <c r="U38" s="31">
        <v>262578</v>
      </c>
      <c r="V38" s="31">
        <v>273712</v>
      </c>
      <c r="W38" s="31">
        <v>365789</v>
      </c>
      <c r="X38" s="31">
        <v>333231</v>
      </c>
      <c r="Y38" s="31">
        <v>292998</v>
      </c>
      <c r="Z38" s="31">
        <v>234856</v>
      </c>
      <c r="AA38" s="31">
        <v>223226</v>
      </c>
      <c r="AB38" s="31">
        <v>197076</v>
      </c>
      <c r="AC38" s="31">
        <v>242941</v>
      </c>
      <c r="AD38" s="31">
        <v>244918</v>
      </c>
      <c r="AE38" s="31">
        <v>263263</v>
      </c>
      <c r="AF38" s="31">
        <v>239171</v>
      </c>
      <c r="AG38" s="31">
        <v>212195</v>
      </c>
      <c r="AH38" s="31">
        <v>225632</v>
      </c>
      <c r="AI38" s="31">
        <v>287181</v>
      </c>
      <c r="AJ38" s="31">
        <v>229566</v>
      </c>
      <c r="AK38" s="31">
        <v>194326</v>
      </c>
      <c r="AL38" s="31">
        <v>209960</v>
      </c>
      <c r="AM38" s="31">
        <v>199875</v>
      </c>
      <c r="AN38" s="31">
        <v>190714</v>
      </c>
      <c r="AO38" s="31">
        <v>161545</v>
      </c>
      <c r="AP38" s="31">
        <v>192652</v>
      </c>
      <c r="AQ38" s="31">
        <v>194507</v>
      </c>
      <c r="AR38" s="31">
        <v>203611</v>
      </c>
      <c r="AS38" s="31">
        <v>177495</v>
      </c>
      <c r="AT38" s="31">
        <v>191997</v>
      </c>
      <c r="AU38" s="31">
        <v>179907</v>
      </c>
      <c r="AV38" s="31">
        <v>184553</v>
      </c>
      <c r="AW38" s="31">
        <v>164944</v>
      </c>
      <c r="AX38" s="31">
        <v>175163</v>
      </c>
      <c r="AY38" s="31">
        <v>165838</v>
      </c>
      <c r="AZ38" s="31">
        <v>145381</v>
      </c>
      <c r="BA38" s="31">
        <v>124522.005</v>
      </c>
      <c r="BB38" s="31">
        <v>125086.45600000001</v>
      </c>
      <c r="BC38" s="31">
        <v>133490.693</v>
      </c>
      <c r="BD38" s="31">
        <v>122171.486</v>
      </c>
      <c r="BE38" s="31">
        <v>124935.2</v>
      </c>
      <c r="BF38" s="31">
        <v>120839.57799999999</v>
      </c>
      <c r="BG38" s="31">
        <v>110482.621</v>
      </c>
      <c r="BH38" s="31">
        <v>102262.933</v>
      </c>
      <c r="BI38" s="31">
        <v>83284.913</v>
      </c>
      <c r="BJ38" s="31">
        <v>60757.612999999998</v>
      </c>
      <c r="BK38" s="31">
        <v>57016.25</v>
      </c>
      <c r="BL38" s="31">
        <v>53163.288</v>
      </c>
      <c r="BM38" s="31">
        <v>48947.076000000001</v>
      </c>
      <c r="BN38" s="31">
        <v>52820.815999999999</v>
      </c>
      <c r="BO38" s="31">
        <v>51047.47</v>
      </c>
      <c r="BP38" s="31">
        <v>50859.317000000003</v>
      </c>
      <c r="BQ38" s="31">
        <v>44801.171000000002</v>
      </c>
      <c r="BR38" s="31">
        <v>45607.233999999997</v>
      </c>
      <c r="BS38" s="31">
        <v>44045.135000000002</v>
      </c>
      <c r="BT38" s="31">
        <v>49331.383000000002</v>
      </c>
      <c r="BU38" s="31">
        <v>45807.557999999997</v>
      </c>
      <c r="BV38" s="31">
        <v>54256.334000000003</v>
      </c>
      <c r="BW38" s="31">
        <v>51939.898000000001</v>
      </c>
      <c r="BX38" s="31">
        <v>56475.868000000002</v>
      </c>
      <c r="BY38" s="31">
        <v>45713.37</v>
      </c>
      <c r="BZ38" s="31">
        <v>49380.383000000002</v>
      </c>
      <c r="CA38" s="31">
        <v>50013.334999999999</v>
      </c>
      <c r="CB38" s="31">
        <v>54128.813000000002</v>
      </c>
      <c r="CC38" s="31">
        <v>207.86500000000001</v>
      </c>
      <c r="CD38" s="31">
        <v>98.305000000000007</v>
      </c>
      <c r="CE38" s="31">
        <v>1</v>
      </c>
      <c r="CG38" s="15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</row>
    <row r="39" spans="1:106" outlineLevel="1" x14ac:dyDescent="0.2">
      <c r="A39" s="14">
        <v>1</v>
      </c>
      <c r="C39" s="9" t="str">
        <f>IF(SUBTOTAL(109,A39)=A39,"    Non-Current Assets","    Total Non-Current Assets")</f>
        <v xml:space="preserve">    Non-Current Assets</v>
      </c>
      <c r="D39" s="17" t="str">
        <f t="shared" si="0"/>
        <v/>
      </c>
      <c r="E39" s="17" t="str">
        <f t="shared" si="1"/>
        <v/>
      </c>
      <c r="F39" s="17" t="str">
        <f t="shared" si="2"/>
        <v/>
      </c>
      <c r="G39" s="17" t="str">
        <f t="shared" si="3"/>
        <v/>
      </c>
      <c r="H39" s="17" t="str">
        <f t="shared" si="4"/>
        <v/>
      </c>
      <c r="I39" s="17" t="str">
        <f t="shared" si="5"/>
        <v/>
      </c>
      <c r="J39" s="17" t="str">
        <f t="shared" si="6"/>
        <v/>
      </c>
      <c r="K39" s="18" t="str">
        <f t="shared" si="7"/>
        <v/>
      </c>
      <c r="L39" s="21"/>
      <c r="M39" s="21" t="str">
        <f>IF(SUBTOTAL(109,A39)=A39,"",169879)</f>
        <v/>
      </c>
      <c r="N39" s="21"/>
      <c r="O39" s="21"/>
      <c r="P39" s="21"/>
      <c r="Q39" s="21"/>
      <c r="R39" s="21" t="str">
        <f>IF(SUBTOTAL(109,A39)=A39,"",468465)</f>
        <v/>
      </c>
      <c r="S39" s="21" t="str">
        <f>IF(SUBTOTAL(109,A39)=A39,"",460374)</f>
        <v/>
      </c>
      <c r="T39" s="21" t="str">
        <f>IF(SUBTOTAL(109,A39)=A39,"",469595)</f>
        <v/>
      </c>
      <c r="U39" s="21" t="str">
        <f>IF(SUBTOTAL(109,A39)=A39,"",477142)</f>
        <v/>
      </c>
      <c r="V39" s="21" t="str">
        <f>IF(SUBTOTAL(109,A39)=A39,"",454544)</f>
        <v/>
      </c>
      <c r="W39" s="21" t="str">
        <f>IF(SUBTOTAL(109,A39)=A39,"",288894)</f>
        <v/>
      </c>
      <c r="X39" s="21" t="str">
        <f>IF(SUBTOTAL(109,A39)=A39,"",286272)</f>
        <v/>
      </c>
      <c r="Y39" s="21" t="str">
        <f>IF(SUBTOTAL(109,A39)=A39,"",284032)</f>
        <v/>
      </c>
      <c r="Z39" s="21" t="str">
        <f>IF(SUBTOTAL(109,A39)=A39,"",288960)</f>
        <v/>
      </c>
      <c r="AA39" s="21" t="str">
        <f>IF(SUBTOTAL(109,A39)=A39,"",290869)</f>
        <v/>
      </c>
      <c r="AB39" s="21" t="str">
        <f>IF(SUBTOTAL(109,A39)=A39,"",293849)</f>
        <v/>
      </c>
      <c r="AC39" s="21" t="str">
        <f>IF(SUBTOTAL(109,A39)=A39,"",304276)</f>
        <v/>
      </c>
      <c r="AD39" s="21" t="str">
        <f>IF(SUBTOTAL(109,A39)=A39,"",171071)</f>
        <v/>
      </c>
      <c r="AE39" s="21" t="str">
        <f>IF(SUBTOTAL(109,A39)=A39,"",172492)</f>
        <v/>
      </c>
      <c r="AF39" s="21" t="str">
        <f>IF(SUBTOTAL(109,A39)=A39,"",142332)</f>
        <v/>
      </c>
      <c r="AG39" s="21" t="str">
        <f>IF(SUBTOTAL(109,A39)=A39,"",133907)</f>
        <v/>
      </c>
      <c r="AH39" s="21" t="str">
        <f>IF(SUBTOTAL(109,A39)=A39,"",116848)</f>
        <v/>
      </c>
      <c r="AI39" s="21" t="str">
        <f>IF(SUBTOTAL(109,A39)=A39,"",111690)</f>
        <v/>
      </c>
      <c r="AJ39" s="21" t="str">
        <f>IF(SUBTOTAL(109,A39)=A39,"",97423)</f>
        <v/>
      </c>
      <c r="AK39" s="21" t="str">
        <f>IF(SUBTOTAL(109,A39)=A39,"",87215)</f>
        <v/>
      </c>
      <c r="AL39" s="21" t="str">
        <f>IF(SUBTOTAL(109,A39)=A39,"",78649)</f>
        <v/>
      </c>
      <c r="AM39" s="21" t="str">
        <f>IF(SUBTOTAL(109,A39)=A39,"",73060)</f>
        <v/>
      </c>
      <c r="AN39" s="21" t="str">
        <f>IF(SUBTOTAL(109,A39)=A39,"",70960)</f>
        <v/>
      </c>
      <c r="AO39" s="21" t="str">
        <f>IF(SUBTOTAL(109,A39)=A39,"",76248)</f>
        <v/>
      </c>
      <c r="AP39" s="21" t="str">
        <f>IF(SUBTOTAL(109,A39)=A39,"",79011)</f>
        <v/>
      </c>
      <c r="AQ39" s="21" t="str">
        <f>IF(SUBTOTAL(109,A39)=A39,"",78465)</f>
        <v/>
      </c>
      <c r="AR39" s="21" t="str">
        <f>IF(SUBTOTAL(109,A39)=A39,"",77886)</f>
        <v/>
      </c>
      <c r="AS39" s="21" t="str">
        <f>IF(SUBTOTAL(109,A39)=A39,"",71850)</f>
        <v/>
      </c>
      <c r="AT39" s="21" t="str">
        <f>IF(SUBTOTAL(109,A39)=A39,"",122701)</f>
        <v/>
      </c>
      <c r="AU39" s="21" t="str">
        <f>IF(SUBTOTAL(109,A39)=A39,"",163194)</f>
        <v/>
      </c>
      <c r="AV39" s="21" t="str">
        <f>IF(SUBTOTAL(109,A39)=A39,"",164498)</f>
        <v/>
      </c>
      <c r="AW39" s="21" t="str">
        <f>IF(SUBTOTAL(109,A39)=A39,"",158409)</f>
        <v/>
      </c>
      <c r="AX39" s="21" t="str">
        <f>IF(SUBTOTAL(109,A39)=A39,"",158471)</f>
        <v/>
      </c>
      <c r="AY39" s="21" t="str">
        <f>IF(SUBTOTAL(109,A39)=A39,"",159097)</f>
        <v/>
      </c>
      <c r="AZ39" s="21" t="str">
        <f>IF(SUBTOTAL(109,A39)=A39,"",64850)</f>
        <v/>
      </c>
      <c r="BA39" s="21" t="str">
        <f>IF(SUBTOTAL(109,A39)=A39,"",64596.371)</f>
        <v/>
      </c>
      <c r="BB39" s="21" t="str">
        <f>IF(SUBTOTAL(109,A39)=A39,"",65310.013)</f>
        <v/>
      </c>
      <c r="BC39" s="21" t="str">
        <f>IF(SUBTOTAL(109,A39)=A39,"",164735.304)</f>
        <v/>
      </c>
      <c r="BD39" s="21" t="str">
        <f>IF(SUBTOTAL(109,A39)=A39,"",167579.086)</f>
        <v/>
      </c>
      <c r="BE39" s="21" t="str">
        <f>IF(SUBTOTAL(109,A39)=A39,"",167434.114)</f>
        <v/>
      </c>
      <c r="BF39" s="21" t="str">
        <f>IF(SUBTOTAL(109,A39)=A39,"",167614.436)</f>
        <v/>
      </c>
      <c r="BG39" s="21" t="str">
        <f>IF(SUBTOTAL(109,A39)=A39,"",168497.689)</f>
        <v/>
      </c>
      <c r="BH39" s="21" t="str">
        <f>IF(SUBTOTAL(109,A39)=A39,"",165994.495)</f>
        <v/>
      </c>
      <c r="BI39" s="21" t="str">
        <f>IF(SUBTOTAL(109,A39)=A39,"",168200.084)</f>
        <v/>
      </c>
      <c r="BJ39" s="21" t="str">
        <f>IF(SUBTOTAL(109,A39)=A39,"",44056.193)</f>
        <v/>
      </c>
      <c r="BK39" s="21" t="str">
        <f>IF(SUBTOTAL(109,A39)=A39,"",43696.931)</f>
        <v/>
      </c>
      <c r="BL39" s="21" t="str">
        <f>IF(SUBTOTAL(109,A39)=A39,"",41534.347)</f>
        <v/>
      </c>
      <c r="BM39" s="21" t="str">
        <f>IF(SUBTOTAL(109,A39)=A39,"",35144.842)</f>
        <v/>
      </c>
      <c r="BN39" s="21" t="str">
        <f>IF(SUBTOTAL(109,A39)=A39,"",33296.682)</f>
        <v/>
      </c>
      <c r="BO39" s="21" t="str">
        <f>IF(SUBTOTAL(109,A39)=A39,"",30846.506)</f>
        <v/>
      </c>
      <c r="BP39" s="21" t="str">
        <f>IF(SUBTOTAL(109,A39)=A39,"",31133.029)</f>
        <v/>
      </c>
      <c r="BQ39" s="21" t="str">
        <f>IF(SUBTOTAL(109,A39)=A39,"",31782.376)</f>
        <v/>
      </c>
      <c r="BR39" s="21" t="str">
        <f>IF(SUBTOTAL(109,A39)=A39,"",51153.511)</f>
        <v/>
      </c>
      <c r="BS39" s="21" t="str">
        <f>IF(SUBTOTAL(109,A39)=A39,"",51356.478)</f>
        <v/>
      </c>
      <c r="BT39" s="21" t="str">
        <f>IF(SUBTOTAL(109,A39)=A39,"",55958.588)</f>
        <v/>
      </c>
      <c r="BU39" s="21" t="str">
        <f>IF(SUBTOTAL(109,A39)=A39,"",52692.307)</f>
        <v/>
      </c>
      <c r="BV39" s="21" t="str">
        <f>IF(SUBTOTAL(109,A39)=A39,"",47178.158)</f>
        <v/>
      </c>
      <c r="BW39" s="21" t="str">
        <f>IF(SUBTOTAL(109,A39)=A39,"",48031.701)</f>
        <v/>
      </c>
      <c r="BX39" s="21" t="str">
        <f>IF(SUBTOTAL(109,A39)=A39,"",50056.821)</f>
        <v/>
      </c>
      <c r="BY39" s="21" t="str">
        <f>IF(SUBTOTAL(109,A39)=A39,"",34385.645)</f>
        <v/>
      </c>
      <c r="BZ39" s="21" t="str">
        <f>IF(SUBTOTAL(109,A39)=A39,"",33474.524)</f>
        <v/>
      </c>
      <c r="CA39" s="21" t="str">
        <f>IF(SUBTOTAL(109,A39)=A39,"",32465.22)</f>
        <v/>
      </c>
      <c r="CB39" s="21" t="str">
        <f>IF(SUBTOTAL(109,A39)=A39,"",42316.04)</f>
        <v/>
      </c>
      <c r="CC39" s="21" t="str">
        <f>IF(SUBTOTAL(109,A39)=A39,"","")</f>
        <v/>
      </c>
      <c r="CD39" s="21" t="str">
        <f>IF(SUBTOTAL(109,A39)=A39,"",444.29)</f>
        <v/>
      </c>
      <c r="CE39" s="21" t="str">
        <f>IF(SUBTOTAL(109,A39)=A39,"",21.212)</f>
        <v/>
      </c>
      <c r="CG39" s="15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1:106" outlineLevel="2" x14ac:dyDescent="0.2">
      <c r="A40" s="14">
        <v>1</v>
      </c>
      <c r="C40" s="9" t="str">
        <f>IF(SUBTOTAL(109,A40)=A40,"        Net Property, Plant and Equipment","        Net Property, Plant and Equipment")</f>
        <v xml:space="preserve">        Net Property, Plant and Equipment</v>
      </c>
      <c r="D40" s="17" t="str">
        <f t="shared" si="0"/>
        <v/>
      </c>
      <c r="E40" s="17" t="str">
        <f t="shared" si="1"/>
        <v/>
      </c>
      <c r="F40" s="17" t="str">
        <f t="shared" si="2"/>
        <v/>
      </c>
      <c r="G40" s="17" t="str">
        <f t="shared" si="3"/>
        <v/>
      </c>
      <c r="H40" s="17" t="str">
        <f t="shared" si="4"/>
        <v/>
      </c>
      <c r="I40" s="17" t="str">
        <f t="shared" si="5"/>
        <v/>
      </c>
      <c r="J40" s="17" t="str">
        <f t="shared" si="6"/>
        <v/>
      </c>
      <c r="K40" s="18" t="str">
        <f t="shared" si="7"/>
        <v/>
      </c>
      <c r="L40" s="21"/>
      <c r="M40" s="21" t="str">
        <f>IF(SUBTOTAL(109,A40)=A40,"",135591)</f>
        <v/>
      </c>
      <c r="N40" s="21"/>
      <c r="O40" s="21"/>
      <c r="P40" s="21"/>
      <c r="Q40" s="21"/>
      <c r="R40" s="21" t="str">
        <f>IF(SUBTOTAL(109,A40)=A40,"",143774)</f>
        <v/>
      </c>
      <c r="S40" s="21" t="str">
        <f>IF(SUBTOTAL(109,A40)=A40,"",145922)</f>
        <v/>
      </c>
      <c r="T40" s="21" t="str">
        <f>IF(SUBTOTAL(109,A40)=A40,"",149685)</f>
        <v/>
      </c>
      <c r="U40" s="21" t="str">
        <f>IF(SUBTOTAL(109,A40)=A40,"",151645)</f>
        <v/>
      </c>
      <c r="V40" s="21" t="str">
        <f>IF(SUBTOTAL(109,A40)=A40,"",151499)</f>
        <v/>
      </c>
      <c r="W40" s="21" t="str">
        <f>IF(SUBTOTAL(109,A40)=A40,"",145254)</f>
        <v/>
      </c>
      <c r="X40" s="21" t="str">
        <f>IF(SUBTOTAL(109,A40)=A40,"",135405)</f>
        <v/>
      </c>
      <c r="Y40" s="21" t="str">
        <f>IF(SUBTOTAL(109,A40)=A40,"",136202)</f>
        <v/>
      </c>
      <c r="Z40" s="21" t="str">
        <f>IF(SUBTOTAL(109,A40)=A40,"",138396)</f>
        <v/>
      </c>
      <c r="AA40" s="21" t="str">
        <f>IF(SUBTOTAL(109,A40)=A40,"",134184)</f>
        <v/>
      </c>
      <c r="AB40" s="21" t="str">
        <f>IF(SUBTOTAL(109,A40)=A40,"",133844)</f>
        <v/>
      </c>
      <c r="AC40" s="21" t="str">
        <f>IF(SUBTOTAL(109,A40)=A40,"",135478)</f>
        <v/>
      </c>
      <c r="AD40" s="21" t="str">
        <f>IF(SUBTOTAL(109,A40)=A40,"",134027)</f>
        <v/>
      </c>
      <c r="AE40" s="21" t="str">
        <f>IF(SUBTOTAL(109,A40)=A40,"",133585)</f>
        <v/>
      </c>
      <c r="AF40" s="21" t="str">
        <f>IF(SUBTOTAL(109,A40)=A40,"",120440)</f>
        <v/>
      </c>
      <c r="AG40" s="21" t="str">
        <f>IF(SUBTOTAL(109,A40)=A40,"",108740)</f>
        <v/>
      </c>
      <c r="AH40" s="21" t="str">
        <f>IF(SUBTOTAL(109,A40)=A40,"",103093)</f>
        <v/>
      </c>
      <c r="AI40" s="21" t="str">
        <f>IF(SUBTOTAL(109,A40)=A40,"",93876)</f>
        <v/>
      </c>
      <c r="AJ40" s="21" t="str">
        <f>IF(SUBTOTAL(109,A40)=A40,"",86382)</f>
        <v/>
      </c>
      <c r="AK40" s="21" t="str">
        <f>IF(SUBTOTAL(109,A40)=A40,"",77807)</f>
        <v/>
      </c>
      <c r="AL40" s="21" t="str">
        <f>IF(SUBTOTAL(109,A40)=A40,"",68954)</f>
        <v/>
      </c>
      <c r="AM40" s="21" t="str">
        <f>IF(SUBTOTAL(109,A40)=A40,"",63190)</f>
        <v/>
      </c>
      <c r="AN40" s="21" t="str">
        <f>IF(SUBTOTAL(109,A40)=A40,"",60528)</f>
        <v/>
      </c>
      <c r="AO40" s="21" t="str">
        <f>IF(SUBTOTAL(109,A40)=A40,"",62251)</f>
        <v/>
      </c>
      <c r="AP40" s="21" t="str">
        <f>IF(SUBTOTAL(109,A40)=A40,"",64934)</f>
        <v/>
      </c>
      <c r="AQ40" s="21" t="str">
        <f>IF(SUBTOTAL(109,A40)=A40,"",63470)</f>
        <v/>
      </c>
      <c r="AR40" s="21" t="str">
        <f>IF(SUBTOTAL(109,A40)=A40,"",62390)</f>
        <v/>
      </c>
      <c r="AS40" s="21" t="str">
        <f>IF(SUBTOTAL(109,A40)=A40,"",56250)</f>
        <v/>
      </c>
      <c r="AT40" s="21" t="str">
        <f>IF(SUBTOTAL(109,A40)=A40,"",57456)</f>
        <v/>
      </c>
      <c r="AU40" s="21" t="str">
        <f>IF(SUBTOTAL(109,A40)=A40,"",58034)</f>
        <v/>
      </c>
      <c r="AV40" s="21" t="str">
        <f>IF(SUBTOTAL(109,A40)=A40,"",58718)</f>
        <v/>
      </c>
      <c r="AW40" s="21" t="str">
        <f>IF(SUBTOTAL(109,A40)=A40,"",55713)</f>
        <v/>
      </c>
      <c r="AX40" s="21" t="str">
        <f>IF(SUBTOTAL(109,A40)=A40,"",54356)</f>
        <v/>
      </c>
      <c r="AY40" s="21" t="str">
        <f>IF(SUBTOTAL(109,A40)=A40,"",53826)</f>
        <v/>
      </c>
      <c r="AZ40" s="21" t="str">
        <f>IF(SUBTOTAL(109,A40)=A40,"",51135)</f>
        <v/>
      </c>
      <c r="BA40" s="21" t="str">
        <f>IF(SUBTOTAL(109,A40)=A40,"",48416.315)</f>
        <v/>
      </c>
      <c r="BB40" s="21" t="str">
        <f>IF(SUBTOTAL(109,A40)=A40,"",49248.946)</f>
        <v/>
      </c>
      <c r="BC40" s="21" t="str">
        <f>IF(SUBTOTAL(109,A40)=A40,"",49532.978)</f>
        <v/>
      </c>
      <c r="BD40" s="21" t="str">
        <f>IF(SUBTOTAL(109,A40)=A40,"",50642.953)</f>
        <v/>
      </c>
      <c r="BE40" s="21" t="str">
        <f>IF(SUBTOTAL(109,A40)=A40,"",49476.653)</f>
        <v/>
      </c>
      <c r="BF40" s="21" t="str">
        <f>IF(SUBTOTAL(109,A40)=A40,"",49175.126)</f>
        <v/>
      </c>
      <c r="BG40" s="21" t="str">
        <f>IF(SUBTOTAL(109,A40)=A40,"",48899.824)</f>
        <v/>
      </c>
      <c r="BH40" s="21" t="str">
        <f>IF(SUBTOTAL(109,A40)=A40,"",44424.299)</f>
        <v/>
      </c>
      <c r="BI40" s="21" t="str">
        <f>IF(SUBTOTAL(109,A40)=A40,"",39612.624)</f>
        <v/>
      </c>
      <c r="BJ40" s="21" t="str">
        <f>IF(SUBTOTAL(109,A40)=A40,"",31611.333)</f>
        <v/>
      </c>
      <c r="BK40" s="21" t="str">
        <f>IF(SUBTOTAL(109,A40)=A40,"",30389.451)</f>
        <v/>
      </c>
      <c r="BL40" s="21" t="str">
        <f>IF(SUBTOTAL(109,A40)=A40,"",28181.864)</f>
        <v/>
      </c>
      <c r="BM40" s="21" t="str">
        <f>IF(SUBTOTAL(109,A40)=A40,"",22775.166)</f>
        <v/>
      </c>
      <c r="BN40" s="21" t="str">
        <f>IF(SUBTOTAL(109,A40)=A40,"",20926.999)</f>
        <v/>
      </c>
      <c r="BO40" s="21" t="str">
        <f>IF(SUBTOTAL(109,A40)=A40,"",18133.945)</f>
        <v/>
      </c>
      <c r="BP40" s="21" t="str">
        <f>IF(SUBTOTAL(109,A40)=A40,"",16726.361)</f>
        <v/>
      </c>
      <c r="BQ40" s="21" t="str">
        <f>IF(SUBTOTAL(109,A40)=A40,"",16691.342)</f>
        <v/>
      </c>
      <c r="BR40" s="21" t="str">
        <f>IF(SUBTOTAL(109,A40)=A40,"",13835.601)</f>
        <v/>
      </c>
      <c r="BS40" s="21" t="str">
        <f>IF(SUBTOTAL(109,A40)=A40,"",11177.028)</f>
        <v/>
      </c>
      <c r="BT40" s="21" t="str">
        <f>IF(SUBTOTAL(109,A40)=A40,"",11021.174)</f>
        <v/>
      </c>
      <c r="BU40" s="21" t="str">
        <f>IF(SUBTOTAL(109,A40)=A40,"",8924.874)</f>
        <v/>
      </c>
      <c r="BV40" s="21" t="str">
        <f>IF(SUBTOTAL(109,A40)=A40,"",8485.392)</f>
        <v/>
      </c>
      <c r="BW40" s="21" t="str">
        <f>IF(SUBTOTAL(109,A40)=A40,"",7475.182)</f>
        <v/>
      </c>
      <c r="BX40" s="21" t="str">
        <f>IF(SUBTOTAL(109,A40)=A40,"",7135.073)</f>
        <v/>
      </c>
      <c r="BY40" s="21" t="str">
        <f>IF(SUBTOTAL(109,A40)=A40,"",10080.683)</f>
        <v/>
      </c>
      <c r="BZ40" s="21" t="str">
        <f>IF(SUBTOTAL(109,A40)=A40,"",9123.848)</f>
        <v/>
      </c>
      <c r="CA40" s="21" t="str">
        <f>IF(SUBTOTAL(109,A40)=A40,"",8092.653)</f>
        <v/>
      </c>
      <c r="CB40" s="21" t="str">
        <f>IF(SUBTOTAL(109,A40)=A40,"",4199.207)</f>
        <v/>
      </c>
      <c r="CC40" s="21" t="str">
        <f>IF(SUBTOTAL(109,A40)=A40,"",31.232)</f>
        <v/>
      </c>
      <c r="CD40" s="21" t="str">
        <f>IF(SUBTOTAL(109,A40)=A40,"",34.232)</f>
        <v/>
      </c>
      <c r="CE40" s="21" t="str">
        <f>IF(SUBTOTAL(109,A40)=A40,"",21.212)</f>
        <v/>
      </c>
      <c r="CG40" s="15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1:106" outlineLevel="3" x14ac:dyDescent="0.2">
      <c r="A41" s="14">
        <v>1</v>
      </c>
      <c r="C41" s="9" t="str">
        <f>IF(SUBTOTAL(109,A41)=A41,"            Gross Property, Plant and Equipment","            Gross Property, Plant and Equipment")</f>
        <v xml:space="preserve">            Gross Property, Plant and Equipment</v>
      </c>
      <c r="D41" s="17" t="str">
        <f t="shared" si="0"/>
        <v/>
      </c>
      <c r="E41" s="17" t="str">
        <f t="shared" si="1"/>
        <v/>
      </c>
      <c r="F41" s="17" t="str">
        <f t="shared" si="2"/>
        <v/>
      </c>
      <c r="G41" s="17" t="str">
        <f t="shared" si="3"/>
        <v/>
      </c>
      <c r="H41" s="17" t="str">
        <f t="shared" si="4"/>
        <v/>
      </c>
      <c r="I41" s="17" t="str">
        <f t="shared" si="5"/>
        <v/>
      </c>
      <c r="J41" s="17" t="str">
        <f t="shared" si="6"/>
        <v/>
      </c>
      <c r="K41" s="18" t="str">
        <f t="shared" si="7"/>
        <v/>
      </c>
      <c r="L41" s="21"/>
      <c r="M41" s="21" t="str">
        <f>IF(SUBTOTAL(109,A41)=A41,"",441941)</f>
        <v/>
      </c>
      <c r="N41" s="21"/>
      <c r="O41" s="21"/>
      <c r="P41" s="21"/>
      <c r="Q41" s="21"/>
      <c r="R41" s="21" t="str">
        <f>IF(SUBTOTAL(109,A41)=A41,"","")</f>
        <v/>
      </c>
      <c r="S41" s="21" t="str">
        <f>IF(SUBTOTAL(109,A41)=A41,"","")</f>
        <v/>
      </c>
      <c r="T41" s="21" t="str">
        <f>IF(SUBTOTAL(109,A41)=A41,"",320223)</f>
        <v/>
      </c>
      <c r="U41" s="21" t="str">
        <f>IF(SUBTOTAL(109,A41)=A41,"","")</f>
        <v/>
      </c>
      <c r="V41" s="21" t="str">
        <f>IF(SUBTOTAL(109,A41)=A41,"","")</f>
        <v/>
      </c>
      <c r="W41" s="21" t="str">
        <f>IF(SUBTOTAL(109,A41)=A41,"","")</f>
        <v/>
      </c>
      <c r="X41" s="21" t="str">
        <f>IF(SUBTOTAL(109,A41)=A41,"",277542)</f>
        <v/>
      </c>
      <c r="Y41" s="21" t="str">
        <f>IF(SUBTOTAL(109,A41)=A41,"","")</f>
        <v/>
      </c>
      <c r="Z41" s="21" t="str">
        <f>IF(SUBTOTAL(109,A41)=A41,"","")</f>
        <v/>
      </c>
      <c r="AA41" s="21" t="str">
        <f>IF(SUBTOTAL(109,A41)=A41,"","")</f>
        <v/>
      </c>
      <c r="AB41" s="21" t="str">
        <f>IF(SUBTOTAL(109,A41)=A41,"",250507)</f>
        <v/>
      </c>
      <c r="AC41" s="21" t="str">
        <f>IF(SUBTOTAL(109,A41)=A41,"","")</f>
        <v/>
      </c>
      <c r="AD41" s="21" t="str">
        <f>IF(SUBTOTAL(109,A41)=A41,"","")</f>
        <v/>
      </c>
      <c r="AE41" s="21" t="str">
        <f>IF(SUBTOTAL(109,A41)=A41,"","")</f>
        <v/>
      </c>
      <c r="AF41" s="21" t="str">
        <f>IF(SUBTOTAL(109,A41)=A41,"",213578)</f>
        <v/>
      </c>
      <c r="AG41" s="21" t="str">
        <f>IF(SUBTOTAL(109,A41)=A41,"","")</f>
        <v/>
      </c>
      <c r="AH41" s="21" t="str">
        <f>IF(SUBTOTAL(109,A41)=A41,"","")</f>
        <v/>
      </c>
      <c r="AI41" s="21" t="str">
        <f>IF(SUBTOTAL(109,A41)=A41,"","")</f>
        <v/>
      </c>
      <c r="AJ41" s="21" t="str">
        <f>IF(SUBTOTAL(109,A41)=A41,"",162367)</f>
        <v/>
      </c>
      <c r="AK41" s="21" t="str">
        <f>IF(SUBTOTAL(109,A41)=A41,"","")</f>
        <v/>
      </c>
      <c r="AL41" s="21" t="str">
        <f>IF(SUBTOTAL(109,A41)=A41,"","")</f>
        <v/>
      </c>
      <c r="AM41" s="21" t="str">
        <f>IF(SUBTOTAL(109,A41)=A41,"","")</f>
        <v/>
      </c>
      <c r="AN41" s="21" t="str">
        <f>IF(SUBTOTAL(109,A41)=A41,"",121380)</f>
        <v/>
      </c>
      <c r="AO41" s="21" t="str">
        <f>IF(SUBTOTAL(109,A41)=A41,"","")</f>
        <v/>
      </c>
      <c r="AP41" s="21" t="str">
        <f>IF(SUBTOTAL(109,A41)=A41,"","")</f>
        <v/>
      </c>
      <c r="AQ41" s="21" t="str">
        <f>IF(SUBTOTAL(109,A41)=A41,"","")</f>
        <v/>
      </c>
      <c r="AR41" s="21" t="str">
        <f>IF(SUBTOTAL(109,A41)=A41,"",113852)</f>
        <v/>
      </c>
      <c r="AS41" s="21" t="str">
        <f>IF(SUBTOTAL(109,A41)=A41,"","")</f>
        <v/>
      </c>
      <c r="AT41" s="21" t="str">
        <f>IF(SUBTOTAL(109,A41)=A41,"","")</f>
        <v/>
      </c>
      <c r="AU41" s="21" t="str">
        <f>IF(SUBTOTAL(109,A41)=A41,"","")</f>
        <v/>
      </c>
      <c r="AV41" s="21" t="str">
        <f>IF(SUBTOTAL(109,A41)=A41,"",98591)</f>
        <v/>
      </c>
      <c r="AW41" s="21" t="str">
        <f>IF(SUBTOTAL(109,A41)=A41,"","")</f>
        <v/>
      </c>
      <c r="AX41" s="21" t="str">
        <f>IF(SUBTOTAL(109,A41)=A41,"","")</f>
        <v/>
      </c>
      <c r="AY41" s="21" t="str">
        <f>IF(SUBTOTAL(109,A41)=A41,"","")</f>
        <v/>
      </c>
      <c r="AZ41" s="21" t="str">
        <f>IF(SUBTOTAL(109,A41)=A41,"",81491)</f>
        <v/>
      </c>
      <c r="BA41" s="21" t="str">
        <f>IF(SUBTOTAL(109,A41)=A41,"","")</f>
        <v/>
      </c>
      <c r="BB41" s="21" t="str">
        <f>IF(SUBTOTAL(109,A41)=A41,"",71035.471)</f>
        <v/>
      </c>
      <c r="BC41" s="21" t="str">
        <f>IF(SUBTOTAL(109,A41)=A41,"",71319.503)</f>
        <v/>
      </c>
      <c r="BD41" s="21" t="str">
        <f>IF(SUBTOTAL(109,A41)=A41,"",72429.478)</f>
        <v/>
      </c>
      <c r="BE41" s="21" t="str">
        <f>IF(SUBTOTAL(109,A41)=A41,"",64122.389)</f>
        <v/>
      </c>
      <c r="BF41" s="21" t="str">
        <f>IF(SUBTOTAL(109,A41)=A41,"",63820.862)</f>
        <v/>
      </c>
      <c r="BG41" s="21" t="str">
        <f>IF(SUBTOTAL(109,A41)=A41,"",63545.56)</f>
        <v/>
      </c>
      <c r="BH41" s="21" t="str">
        <f>IF(SUBTOTAL(109,A41)=A41,"",59070.035)</f>
        <v/>
      </c>
      <c r="BI41" s="21" t="str">
        <f>IF(SUBTOTAL(109,A41)=A41,"",48929.824)</f>
        <v/>
      </c>
      <c r="BJ41" s="21" t="str">
        <f>IF(SUBTOTAL(109,A41)=A41,"",40928.533)</f>
        <v/>
      </c>
      <c r="BK41" s="21" t="str">
        <f>IF(SUBTOTAL(109,A41)=A41,"",39706.651)</f>
        <v/>
      </c>
      <c r="BL41" s="21" t="str">
        <f>IF(SUBTOTAL(109,A41)=A41,"",37499.064)</f>
        <v/>
      </c>
      <c r="BM41" s="21" t="str">
        <f>IF(SUBTOTAL(109,A41)=A41,"",28266.032)</f>
        <v/>
      </c>
      <c r="BN41" s="21" t="str">
        <f>IF(SUBTOTAL(109,A41)=A41,"",26417.865)</f>
        <v/>
      </c>
      <c r="BO41" s="21" t="str">
        <f>IF(SUBTOTAL(109,A41)=A41,"",23624.811)</f>
        <v/>
      </c>
      <c r="BP41" s="21" t="str">
        <f>IF(SUBTOTAL(109,A41)=A41,"",22217.227)</f>
        <v/>
      </c>
      <c r="BQ41" s="21" t="str">
        <f>IF(SUBTOTAL(109,A41)=A41,"",19605.292)</f>
        <v/>
      </c>
      <c r="BR41" s="21" t="str">
        <f>IF(SUBTOTAL(109,A41)=A41,"",16749.551)</f>
        <v/>
      </c>
      <c r="BS41" s="21" t="str">
        <f>IF(SUBTOTAL(109,A41)=A41,"",14090.978)</f>
        <v/>
      </c>
      <c r="BT41" s="21" t="str">
        <f>IF(SUBTOTAL(109,A41)=A41,"",13935.124)</f>
        <v/>
      </c>
      <c r="BU41" s="21" t="str">
        <f>IF(SUBTOTAL(109,A41)=A41,"",10192.313)</f>
        <v/>
      </c>
      <c r="BV41" s="21" t="str">
        <f>IF(SUBTOTAL(109,A41)=A41,"",9752.831)</f>
        <v/>
      </c>
      <c r="BW41" s="21" t="str">
        <f>IF(SUBTOTAL(109,A41)=A41,"",8742.621)</f>
        <v/>
      </c>
      <c r="BX41" s="21" t="str">
        <f>IF(SUBTOTAL(109,A41)=A41,"",8402.512)</f>
        <v/>
      </c>
      <c r="BY41" s="21" t="str">
        <f>IF(SUBTOTAL(109,A41)=A41,"",10828.306)</f>
        <v/>
      </c>
      <c r="BZ41" s="21" t="str">
        <f>IF(SUBTOTAL(109,A41)=A41,"",9871.471)</f>
        <v/>
      </c>
      <c r="CA41" s="21" t="str">
        <f>IF(SUBTOTAL(109,A41)=A41,"",8840.276)</f>
        <v/>
      </c>
      <c r="CB41" s="21" t="str">
        <f>IF(SUBTOTAL(109,A41)=A41,"",4565.68)</f>
        <v/>
      </c>
      <c r="CC41" s="21" t="str">
        <f>IF(SUBTOTAL(109,A41)=A41,"",52.244)</f>
        <v/>
      </c>
      <c r="CD41" s="21" t="str">
        <f>IF(SUBTOTAL(109,A41)=A41,"",34.232)</f>
        <v/>
      </c>
      <c r="CE41" s="21" t="str">
        <f>IF(SUBTOTAL(109,A41)=A41,"",21.212)</f>
        <v/>
      </c>
      <c r="CG41" s="15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1:106" outlineLevel="4" x14ac:dyDescent="0.2">
      <c r="A42" s="14">
        <v>1</v>
      </c>
      <c r="C42" s="9" t="str">
        <f>IF(SUBTOTAL(109,A42)=A42,"                Properties","                Properties")</f>
        <v xml:space="preserve">                Properties</v>
      </c>
      <c r="D42" s="17" t="str">
        <f t="shared" si="0"/>
        <v/>
      </c>
      <c r="E42" s="17" t="str">
        <f t="shared" si="1"/>
        <v/>
      </c>
      <c r="F42" s="17" t="str">
        <f t="shared" si="2"/>
        <v/>
      </c>
      <c r="G42" s="17" t="str">
        <f t="shared" si="3"/>
        <v/>
      </c>
      <c r="H42" s="17" t="str">
        <f t="shared" si="4"/>
        <v/>
      </c>
      <c r="I42" s="17" t="str">
        <f t="shared" si="5"/>
        <v/>
      </c>
      <c r="J42" s="17" t="str">
        <f t="shared" si="6"/>
        <v/>
      </c>
      <c r="K42" s="18" t="str">
        <f t="shared" si="7"/>
        <v/>
      </c>
      <c r="L42" s="21"/>
      <c r="M42" s="21" t="str">
        <f>IF(SUBTOTAL(109,A42)=A42,"",41369)</f>
        <v/>
      </c>
      <c r="N42" s="21"/>
      <c r="O42" s="21"/>
      <c r="P42" s="21"/>
      <c r="Q42" s="21"/>
      <c r="R42" s="21" t="str">
        <f>IF(SUBTOTAL(109,A42)=A42,"","")</f>
        <v/>
      </c>
      <c r="S42" s="21" t="str">
        <f>IF(SUBTOTAL(109,A42)=A42,"","")</f>
        <v/>
      </c>
      <c r="T42" s="21" t="str">
        <f>IF(SUBTOTAL(109,A42)=A42,"",31683)</f>
        <v/>
      </c>
      <c r="U42" s="21" t="str">
        <f>IF(SUBTOTAL(109,A42)=A42,"","")</f>
        <v/>
      </c>
      <c r="V42" s="21" t="str">
        <f>IF(SUBTOTAL(109,A42)=A42,"","")</f>
        <v/>
      </c>
      <c r="W42" s="21" t="str">
        <f>IF(SUBTOTAL(109,A42)=A42,"","")</f>
        <v/>
      </c>
      <c r="X42" s="21" t="str">
        <f>IF(SUBTOTAL(109,A42)=A42,"",26623)</f>
        <v/>
      </c>
      <c r="Y42" s="21" t="str">
        <f>IF(SUBTOTAL(109,A42)=A42,"","")</f>
        <v/>
      </c>
      <c r="Z42" s="21" t="str">
        <f>IF(SUBTOTAL(109,A42)=A42,"","")</f>
        <v/>
      </c>
      <c r="AA42" s="21" t="str">
        <f>IF(SUBTOTAL(109,A42)=A42,"","")</f>
        <v/>
      </c>
      <c r="AB42" s="21" t="str">
        <f>IF(SUBTOTAL(109,A42)=A42,"",23160)</f>
        <v/>
      </c>
      <c r="AC42" s="21" t="str">
        <f>IF(SUBTOTAL(109,A42)=A42,"","")</f>
        <v/>
      </c>
      <c r="AD42" s="21" t="str">
        <f>IF(SUBTOTAL(109,A42)=A42,"","")</f>
        <v/>
      </c>
      <c r="AE42" s="21" t="str">
        <f>IF(SUBTOTAL(109,A42)=A42,"","")</f>
        <v/>
      </c>
      <c r="AF42" s="21" t="str">
        <f>IF(SUBTOTAL(109,A42)=A42,"",14337)</f>
        <v/>
      </c>
      <c r="AG42" s="21" t="str">
        <f>IF(SUBTOTAL(109,A42)=A42,"","")</f>
        <v/>
      </c>
      <c r="AH42" s="21" t="str">
        <f>IF(SUBTOTAL(109,A42)=A42,"","")</f>
        <v/>
      </c>
      <c r="AI42" s="21" t="str">
        <f>IF(SUBTOTAL(109,A42)=A42,"","")</f>
        <v/>
      </c>
      <c r="AJ42" s="21" t="str">
        <f>IF(SUBTOTAL(109,A42)=A42,"",12235)</f>
        <v/>
      </c>
      <c r="AK42" s="21" t="str">
        <f>IF(SUBTOTAL(109,A42)=A42,"","")</f>
        <v/>
      </c>
      <c r="AL42" s="21" t="str">
        <f>IF(SUBTOTAL(109,A42)=A42,"","")</f>
        <v/>
      </c>
      <c r="AM42" s="21" t="str">
        <f>IF(SUBTOTAL(109,A42)=A42,"","")</f>
        <v/>
      </c>
      <c r="AN42" s="21" t="str">
        <f>IF(SUBTOTAL(109,A42)=A42,"",8815)</f>
        <v/>
      </c>
      <c r="AO42" s="21" t="str">
        <f>IF(SUBTOTAL(109,A42)=A42,"","")</f>
        <v/>
      </c>
      <c r="AP42" s="21" t="str">
        <f>IF(SUBTOTAL(109,A42)=A42,"","")</f>
        <v/>
      </c>
      <c r="AQ42" s="21" t="str">
        <f>IF(SUBTOTAL(109,A42)=A42,"","")</f>
        <v/>
      </c>
      <c r="AR42" s="21" t="str">
        <f>IF(SUBTOTAL(109,A42)=A42,"",12085)</f>
        <v/>
      </c>
      <c r="AS42" s="21" t="str">
        <f>IF(SUBTOTAL(109,A42)=A42,"","")</f>
        <v/>
      </c>
      <c r="AT42" s="21" t="str">
        <f>IF(SUBTOTAL(109,A42)=A42,"","")</f>
        <v/>
      </c>
      <c r="AU42" s="21" t="str">
        <f>IF(SUBTOTAL(109,A42)=A42,"","")</f>
        <v/>
      </c>
      <c r="AV42" s="21" t="str">
        <f>IF(SUBTOTAL(109,A42)=A42,"",8357)</f>
        <v/>
      </c>
      <c r="AW42" s="21" t="str">
        <f>IF(SUBTOTAL(109,A42)=A42,"","")</f>
        <v/>
      </c>
      <c r="AX42" s="21" t="str">
        <f>IF(SUBTOTAL(109,A42)=A42,"","")</f>
        <v/>
      </c>
      <c r="AY42" s="21" t="str">
        <f>IF(SUBTOTAL(109,A42)=A42,"","")</f>
        <v/>
      </c>
      <c r="AZ42" s="21" t="str">
        <f>IF(SUBTOTAL(109,A42)=A42,"",7178)</f>
        <v/>
      </c>
      <c r="BA42" s="21" t="str">
        <f>IF(SUBTOTAL(109,A42)=A42,"","")</f>
        <v/>
      </c>
      <c r="BB42" s="21" t="str">
        <f>IF(SUBTOTAL(109,A42)=A42,"","")</f>
        <v/>
      </c>
      <c r="BC42" s="21" t="str">
        <f>IF(SUBTOTAL(109,A42)=A42,"","")</f>
        <v/>
      </c>
      <c r="BD42" s="21" t="str">
        <f>IF(SUBTOTAL(109,A42)=A42,"",6662.583)</f>
        <v/>
      </c>
      <c r="BE42" s="21" t="str">
        <f>IF(SUBTOTAL(109,A42)=A42,"","")</f>
        <v/>
      </c>
      <c r="BF42" s="21" t="str">
        <f>IF(SUBTOTAL(109,A42)=A42,"","")</f>
        <v/>
      </c>
      <c r="BG42" s="21" t="str">
        <f>IF(SUBTOTAL(109,A42)=A42,"","")</f>
        <v/>
      </c>
      <c r="BH42" s="21" t="str">
        <f>IF(SUBTOTAL(109,A42)=A42,"",5327.472)</f>
        <v/>
      </c>
      <c r="BI42" s="21" t="str">
        <f>IF(SUBTOTAL(109,A42)=A42,"","")</f>
        <v/>
      </c>
      <c r="BJ42" s="21" t="str">
        <f>IF(SUBTOTAL(109,A42)=A42,"","")</f>
        <v/>
      </c>
      <c r="BK42" s="21" t="str">
        <f>IF(SUBTOTAL(109,A42)=A42,"","")</f>
        <v/>
      </c>
      <c r="BL42" s="21" t="str">
        <f>IF(SUBTOTAL(109,A42)=A42,"",2225.221)</f>
        <v/>
      </c>
      <c r="BM42" s="21" t="str">
        <f>IF(SUBTOTAL(109,A42)=A42,"","")</f>
        <v/>
      </c>
      <c r="BN42" s="21" t="str">
        <f>IF(SUBTOTAL(109,A42)=A42,"","")</f>
        <v/>
      </c>
      <c r="BO42" s="21" t="str">
        <f>IF(SUBTOTAL(109,A42)=A42,"","")</f>
        <v/>
      </c>
      <c r="BP42" s="21" t="str">
        <f>IF(SUBTOTAL(109,A42)=A42,"",1700.555)</f>
        <v/>
      </c>
      <c r="BQ42" s="21" t="str">
        <f>IF(SUBTOTAL(109,A42)=A42,"","")</f>
        <v/>
      </c>
      <c r="BR42" s="21" t="str">
        <f>IF(SUBTOTAL(109,A42)=A42,"","")</f>
        <v/>
      </c>
      <c r="BS42" s="21" t="str">
        <f>IF(SUBTOTAL(109,A42)=A42,"","")</f>
        <v/>
      </c>
      <c r="BT42" s="21" t="str">
        <f>IF(SUBTOTAL(109,A42)=A42,"",1101.082)</f>
        <v/>
      </c>
      <c r="BU42" s="21" t="str">
        <f>IF(SUBTOTAL(109,A42)=A42,"","")</f>
        <v/>
      </c>
      <c r="BV42" s="21" t="str">
        <f>IF(SUBTOTAL(109,A42)=A42,"","")</f>
        <v/>
      </c>
      <c r="BW42" s="21" t="str">
        <f>IF(SUBTOTAL(109,A42)=A42,"","")</f>
        <v/>
      </c>
      <c r="BX42" s="21" t="str">
        <f>IF(SUBTOTAL(109,A42)=A42,"",862.461)</f>
        <v/>
      </c>
      <c r="BY42" s="21" t="str">
        <f>IF(SUBTOTAL(109,A42)=A42,"","")</f>
        <v/>
      </c>
      <c r="BZ42" s="21" t="str">
        <f>IF(SUBTOTAL(109,A42)=A42,"","")</f>
        <v/>
      </c>
      <c r="CA42" s="21" t="str">
        <f>IF(SUBTOTAL(109,A42)=A42,"","")</f>
        <v/>
      </c>
      <c r="CB42" s="21" t="str">
        <f>IF(SUBTOTAL(109,A42)=A42,"",445.282)</f>
        <v/>
      </c>
      <c r="CC42" s="21" t="str">
        <f>IF(SUBTOTAL(109,A42)=A42,"","")</f>
        <v/>
      </c>
      <c r="CD42" s="21" t="str">
        <f>IF(SUBTOTAL(109,A42)=A42,"","")</f>
        <v/>
      </c>
      <c r="CE42" s="21" t="str">
        <f>IF(SUBTOTAL(109,A42)=A42,"","")</f>
        <v/>
      </c>
      <c r="CG42" s="15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1:106" outlineLevel="5" x14ac:dyDescent="0.2">
      <c r="A43" s="14">
        <v>1</v>
      </c>
      <c r="C43" s="9" t="str">
        <f>"                    Land and Improvements"</f>
        <v xml:space="preserve">                    Land and Improvements</v>
      </c>
      <c r="D43" s="17">
        <f t="shared" ref="D43:D74" si="8">IF(COUNT(M43:CE43)&gt;0,MEDIAN(M43:CE43),"")</f>
        <v>1440</v>
      </c>
      <c r="E43" s="17">
        <f t="shared" ref="E43:E74" si="9">IF(COUNT(M43:CE43)&gt;0,AVERAGE(M43:CE43),"")</f>
        <v>1885.685238095238</v>
      </c>
      <c r="F43" s="17">
        <f t="shared" ref="F43:F74" si="10">IF(COUNT(M43:CE43)&gt;0,MIN(M43:CE43),"")</f>
        <v>116.82</v>
      </c>
      <c r="G43" s="17">
        <f t="shared" ref="G43:G74" si="11">IF(COUNT(M43:CE43)&gt;0,MAX(M43:CE43),"")</f>
        <v>3845</v>
      </c>
      <c r="H43" s="17">
        <f t="shared" ref="H43:H74" si="12">IF(COUNT(M43:CE43)&gt;0,QUARTILE(M43:CE43,1),"")</f>
        <v>905.70299999999997</v>
      </c>
      <c r="I43" s="17">
        <f t="shared" ref="I43:I74" si="13">IF(COUNT(M43:CE43)&gt;0,QUARTILE(M43:CE43,3),"")</f>
        <v>3214</v>
      </c>
      <c r="J43" s="17">
        <f t="shared" ref="J43:J74" si="14">IF(COUNT(M43:CE43)&gt;1,STDEV(M43:CE43),"")</f>
        <v>1356.5981200613141</v>
      </c>
      <c r="K43" s="18">
        <f t="shared" ref="K43:K74" si="15">IF(COUNT(M43:CE43)&gt;1,STDEV(M43:CE43)/AVERAGE(M43:CE43),"")</f>
        <v>0.71941917593396254</v>
      </c>
      <c r="L43" s="21"/>
      <c r="M43" s="21">
        <v>2817</v>
      </c>
      <c r="N43" s="21">
        <v>2817</v>
      </c>
      <c r="O43" s="21">
        <v>3787</v>
      </c>
      <c r="P43" s="21">
        <v>3787</v>
      </c>
      <c r="Q43" s="21">
        <v>3845</v>
      </c>
      <c r="R43" s="21" t="s">
        <v>165</v>
      </c>
      <c r="S43" s="21" t="s">
        <v>165</v>
      </c>
      <c r="T43" s="21">
        <v>3573</v>
      </c>
      <c r="U43" s="21" t="s">
        <v>165</v>
      </c>
      <c r="V43" s="21" t="s">
        <v>165</v>
      </c>
      <c r="W43" s="21" t="s">
        <v>165</v>
      </c>
      <c r="X43" s="21">
        <v>3235</v>
      </c>
      <c r="Y43" s="21" t="s">
        <v>165</v>
      </c>
      <c r="Z43" s="21" t="s">
        <v>165</v>
      </c>
      <c r="AA43" s="21" t="s">
        <v>165</v>
      </c>
      <c r="AB43" s="21">
        <v>3214</v>
      </c>
      <c r="AC43" s="21" t="s">
        <v>165</v>
      </c>
      <c r="AD43" s="21" t="s">
        <v>165</v>
      </c>
      <c r="AE43" s="21" t="s">
        <v>165</v>
      </c>
      <c r="AF43" s="21">
        <v>2150</v>
      </c>
      <c r="AG43" s="21" t="s">
        <v>165</v>
      </c>
      <c r="AH43" s="21" t="s">
        <v>165</v>
      </c>
      <c r="AI43" s="21" t="s">
        <v>165</v>
      </c>
      <c r="AJ43" s="21">
        <v>1440</v>
      </c>
      <c r="AK43" s="21" t="s">
        <v>165</v>
      </c>
      <c r="AL43" s="21" t="s">
        <v>165</v>
      </c>
      <c r="AM43" s="21" t="s">
        <v>165</v>
      </c>
      <c r="AN43" s="21">
        <v>1362</v>
      </c>
      <c r="AO43" s="21" t="s">
        <v>165</v>
      </c>
      <c r="AP43" s="21" t="s">
        <v>165</v>
      </c>
      <c r="AQ43" s="21" t="s">
        <v>165</v>
      </c>
      <c r="AR43" s="21">
        <v>2348</v>
      </c>
      <c r="AS43" s="21" t="s">
        <v>165</v>
      </c>
      <c r="AT43" s="21" t="s">
        <v>165</v>
      </c>
      <c r="AU43" s="21" t="s">
        <v>165</v>
      </c>
      <c r="AV43" s="21">
        <v>1315</v>
      </c>
      <c r="AW43" s="21" t="s">
        <v>165</v>
      </c>
      <c r="AX43" s="21" t="s">
        <v>165</v>
      </c>
      <c r="AY43" s="21" t="s">
        <v>165</v>
      </c>
      <c r="AZ43" s="21">
        <v>923</v>
      </c>
      <c r="BA43" s="21" t="s">
        <v>165</v>
      </c>
      <c r="BB43" s="21" t="s">
        <v>165</v>
      </c>
      <c r="BC43" s="21" t="s">
        <v>165</v>
      </c>
      <c r="BD43" s="21">
        <v>905.70299999999997</v>
      </c>
      <c r="BE43" s="21" t="s">
        <v>165</v>
      </c>
      <c r="BF43" s="21" t="s">
        <v>165</v>
      </c>
      <c r="BG43" s="21" t="s">
        <v>165</v>
      </c>
      <c r="BH43" s="21">
        <v>905.70299999999997</v>
      </c>
      <c r="BI43" s="21" t="s">
        <v>165</v>
      </c>
      <c r="BJ43" s="21" t="s">
        <v>165</v>
      </c>
      <c r="BK43" s="21" t="s">
        <v>165</v>
      </c>
      <c r="BL43" s="21">
        <v>283.72699999999998</v>
      </c>
      <c r="BM43" s="21" t="s">
        <v>165</v>
      </c>
      <c r="BN43" s="21" t="s">
        <v>165</v>
      </c>
      <c r="BO43" s="21" t="s">
        <v>165</v>
      </c>
      <c r="BP43" s="21">
        <v>258.08699999999999</v>
      </c>
      <c r="BQ43" s="21" t="s">
        <v>165</v>
      </c>
      <c r="BR43" s="21" t="s">
        <v>165</v>
      </c>
      <c r="BS43" s="21" t="s">
        <v>165</v>
      </c>
      <c r="BT43" s="21">
        <v>258.08699999999999</v>
      </c>
      <c r="BU43" s="21" t="s">
        <v>165</v>
      </c>
      <c r="BV43" s="21" t="s">
        <v>165</v>
      </c>
      <c r="BW43" s="21" t="s">
        <v>165</v>
      </c>
      <c r="BX43" s="21">
        <v>258.26299999999998</v>
      </c>
      <c r="BY43" s="21" t="s">
        <v>165</v>
      </c>
      <c r="BZ43" s="21" t="s">
        <v>165</v>
      </c>
      <c r="CA43" s="21" t="s">
        <v>165</v>
      </c>
      <c r="CB43" s="21">
        <v>116.82</v>
      </c>
      <c r="CC43" s="21" t="s">
        <v>165</v>
      </c>
      <c r="CD43" s="21" t="s">
        <v>165</v>
      </c>
      <c r="CE43" s="21" t="s">
        <v>165</v>
      </c>
      <c r="CG43" s="15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</row>
    <row r="44" spans="1:106" outlineLevel="5" x14ac:dyDescent="0.2">
      <c r="A44" s="14">
        <v>1</v>
      </c>
      <c r="C44" s="9" t="str">
        <f>"                    Buildings and Improvements"</f>
        <v xml:space="preserve">                    Buildings and Improvements</v>
      </c>
      <c r="D44" s="17">
        <f t="shared" si="8"/>
        <v>9737</v>
      </c>
      <c r="E44" s="17">
        <f t="shared" si="9"/>
        <v>14950.107904761902</v>
      </c>
      <c r="F44" s="17">
        <f t="shared" si="10"/>
        <v>328.46199999999999</v>
      </c>
      <c r="G44" s="17">
        <f t="shared" si="11"/>
        <v>38552</v>
      </c>
      <c r="H44" s="17">
        <f t="shared" si="12"/>
        <v>4421.7690000000002</v>
      </c>
      <c r="I44" s="17">
        <f t="shared" si="13"/>
        <v>28110</v>
      </c>
      <c r="J44" s="17">
        <f t="shared" si="14"/>
        <v>13566.713206854825</v>
      </c>
      <c r="K44" s="18">
        <f t="shared" si="15"/>
        <v>0.90746590548243211</v>
      </c>
      <c r="L44" s="21"/>
      <c r="M44" s="21">
        <v>38552</v>
      </c>
      <c r="N44" s="21">
        <v>36525</v>
      </c>
      <c r="O44" s="21">
        <v>34132</v>
      </c>
      <c r="P44" s="21">
        <v>34584</v>
      </c>
      <c r="Q44" s="21">
        <v>29908</v>
      </c>
      <c r="R44" s="21" t="s">
        <v>165</v>
      </c>
      <c r="S44" s="21" t="s">
        <v>165</v>
      </c>
      <c r="T44" s="21">
        <v>28110</v>
      </c>
      <c r="U44" s="21" t="s">
        <v>165</v>
      </c>
      <c r="V44" s="21" t="s">
        <v>165</v>
      </c>
      <c r="W44" s="21" t="s">
        <v>165</v>
      </c>
      <c r="X44" s="21">
        <v>23388</v>
      </c>
      <c r="Y44" s="21" t="s">
        <v>165</v>
      </c>
      <c r="Z44" s="21" t="s">
        <v>165</v>
      </c>
      <c r="AA44" s="21" t="s">
        <v>165</v>
      </c>
      <c r="AB44" s="21">
        <v>19946</v>
      </c>
      <c r="AC44" s="21" t="s">
        <v>165</v>
      </c>
      <c r="AD44" s="21" t="s">
        <v>165</v>
      </c>
      <c r="AE44" s="21" t="s">
        <v>165</v>
      </c>
      <c r="AF44" s="21">
        <v>12187</v>
      </c>
      <c r="AG44" s="21" t="s">
        <v>165</v>
      </c>
      <c r="AH44" s="21" t="s">
        <v>165</v>
      </c>
      <c r="AI44" s="21" t="s">
        <v>165</v>
      </c>
      <c r="AJ44" s="21">
        <v>10795</v>
      </c>
      <c r="AK44" s="21" t="s">
        <v>165</v>
      </c>
      <c r="AL44" s="21" t="s">
        <v>165</v>
      </c>
      <c r="AM44" s="21" t="s">
        <v>165</v>
      </c>
      <c r="AN44" s="21">
        <v>7453</v>
      </c>
      <c r="AO44" s="21" t="s">
        <v>165</v>
      </c>
      <c r="AP44" s="21" t="s">
        <v>165</v>
      </c>
      <c r="AQ44" s="21" t="s">
        <v>165</v>
      </c>
      <c r="AR44" s="21">
        <v>9737</v>
      </c>
      <c r="AS44" s="21" t="s">
        <v>165</v>
      </c>
      <c r="AT44" s="21" t="s">
        <v>165</v>
      </c>
      <c r="AU44" s="21" t="s">
        <v>165</v>
      </c>
      <c r="AV44" s="21">
        <v>7042</v>
      </c>
      <c r="AW44" s="21" t="s">
        <v>165</v>
      </c>
      <c r="AX44" s="21" t="s">
        <v>165</v>
      </c>
      <c r="AY44" s="21" t="s">
        <v>165</v>
      </c>
      <c r="AZ44" s="21">
        <v>6255</v>
      </c>
      <c r="BA44" s="21" t="s">
        <v>165</v>
      </c>
      <c r="BB44" s="21" t="s">
        <v>165</v>
      </c>
      <c r="BC44" s="21" t="s">
        <v>165</v>
      </c>
      <c r="BD44" s="21">
        <v>5756.88</v>
      </c>
      <c r="BE44" s="21" t="s">
        <v>165</v>
      </c>
      <c r="BF44" s="21" t="s">
        <v>165</v>
      </c>
      <c r="BG44" s="21" t="s">
        <v>165</v>
      </c>
      <c r="BH44" s="21">
        <v>4421.7690000000002</v>
      </c>
      <c r="BI44" s="21" t="s">
        <v>165</v>
      </c>
      <c r="BJ44" s="21" t="s">
        <v>165</v>
      </c>
      <c r="BK44" s="21" t="s">
        <v>165</v>
      </c>
      <c r="BL44" s="21">
        <v>1941.4939999999999</v>
      </c>
      <c r="BM44" s="21" t="s">
        <v>165</v>
      </c>
      <c r="BN44" s="21" t="s">
        <v>165</v>
      </c>
      <c r="BO44" s="21" t="s">
        <v>165</v>
      </c>
      <c r="BP44" s="21">
        <v>1442.4680000000001</v>
      </c>
      <c r="BQ44" s="21" t="s">
        <v>165</v>
      </c>
      <c r="BR44" s="21" t="s">
        <v>165</v>
      </c>
      <c r="BS44" s="21" t="s">
        <v>165</v>
      </c>
      <c r="BT44" s="21">
        <v>842.995</v>
      </c>
      <c r="BU44" s="21" t="s">
        <v>165</v>
      </c>
      <c r="BV44" s="21" t="s">
        <v>165</v>
      </c>
      <c r="BW44" s="21" t="s">
        <v>165</v>
      </c>
      <c r="BX44" s="21">
        <v>604.19799999999998</v>
      </c>
      <c r="BY44" s="21" t="s">
        <v>165</v>
      </c>
      <c r="BZ44" s="21" t="s">
        <v>165</v>
      </c>
      <c r="CA44" s="21" t="s">
        <v>165</v>
      </c>
      <c r="CB44" s="21">
        <v>328.46199999999999</v>
      </c>
      <c r="CC44" s="21" t="s">
        <v>165</v>
      </c>
      <c r="CD44" s="21" t="s">
        <v>165</v>
      </c>
      <c r="CE44" s="21" t="s">
        <v>165</v>
      </c>
      <c r="CG44" s="15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</row>
    <row r="45" spans="1:106" outlineLevel="5" x14ac:dyDescent="0.2">
      <c r="A45" s="14">
        <v>1</v>
      </c>
      <c r="C45" s="10" t="str">
        <f>"                    Total Properties"</f>
        <v xml:space="preserve">                    Total Properties</v>
      </c>
      <c r="D45" s="29">
        <f t="shared" si="8"/>
        <v>12085</v>
      </c>
      <c r="E45" s="29">
        <f t="shared" si="9"/>
        <v>16835.793142857143</v>
      </c>
      <c r="F45" s="29">
        <f t="shared" si="10"/>
        <v>445.28199999999998</v>
      </c>
      <c r="G45" s="29">
        <f t="shared" si="11"/>
        <v>41369</v>
      </c>
      <c r="H45" s="29">
        <f t="shared" si="12"/>
        <v>5327.4719999999998</v>
      </c>
      <c r="I45" s="29">
        <f t="shared" si="13"/>
        <v>31683</v>
      </c>
      <c r="J45" s="29">
        <f t="shared" si="14"/>
        <v>14812.875054873246</v>
      </c>
      <c r="K45" s="30">
        <f t="shared" si="15"/>
        <v>0.87984420628010906</v>
      </c>
      <c r="L45" s="31"/>
      <c r="M45" s="31">
        <v>41369</v>
      </c>
      <c r="N45" s="31">
        <v>39342</v>
      </c>
      <c r="O45" s="31">
        <v>37919</v>
      </c>
      <c r="P45" s="31">
        <v>38371</v>
      </c>
      <c r="Q45" s="31">
        <v>33753</v>
      </c>
      <c r="R45" s="31" t="s">
        <v>165</v>
      </c>
      <c r="S45" s="31" t="s">
        <v>165</v>
      </c>
      <c r="T45" s="31">
        <v>31683</v>
      </c>
      <c r="U45" s="31" t="s">
        <v>165</v>
      </c>
      <c r="V45" s="31" t="s">
        <v>165</v>
      </c>
      <c r="W45" s="31" t="s">
        <v>165</v>
      </c>
      <c r="X45" s="31">
        <v>26623</v>
      </c>
      <c r="Y45" s="31" t="s">
        <v>165</v>
      </c>
      <c r="Z45" s="31" t="s">
        <v>165</v>
      </c>
      <c r="AA45" s="31" t="s">
        <v>165</v>
      </c>
      <c r="AB45" s="31">
        <v>23160</v>
      </c>
      <c r="AC45" s="31" t="s">
        <v>165</v>
      </c>
      <c r="AD45" s="31" t="s">
        <v>165</v>
      </c>
      <c r="AE45" s="31" t="s">
        <v>165</v>
      </c>
      <c r="AF45" s="31">
        <v>14337</v>
      </c>
      <c r="AG45" s="31" t="s">
        <v>165</v>
      </c>
      <c r="AH45" s="31" t="s">
        <v>165</v>
      </c>
      <c r="AI45" s="31" t="s">
        <v>165</v>
      </c>
      <c r="AJ45" s="31">
        <v>12235</v>
      </c>
      <c r="AK45" s="31" t="s">
        <v>165</v>
      </c>
      <c r="AL45" s="31" t="s">
        <v>165</v>
      </c>
      <c r="AM45" s="31" t="s">
        <v>165</v>
      </c>
      <c r="AN45" s="31">
        <v>8815</v>
      </c>
      <c r="AO45" s="31" t="s">
        <v>165</v>
      </c>
      <c r="AP45" s="31" t="s">
        <v>165</v>
      </c>
      <c r="AQ45" s="31" t="s">
        <v>165</v>
      </c>
      <c r="AR45" s="31">
        <v>12085</v>
      </c>
      <c r="AS45" s="31" t="s">
        <v>165</v>
      </c>
      <c r="AT45" s="31" t="s">
        <v>165</v>
      </c>
      <c r="AU45" s="31" t="s">
        <v>165</v>
      </c>
      <c r="AV45" s="31">
        <v>8357</v>
      </c>
      <c r="AW45" s="31" t="s">
        <v>165</v>
      </c>
      <c r="AX45" s="31" t="s">
        <v>165</v>
      </c>
      <c r="AY45" s="31" t="s">
        <v>165</v>
      </c>
      <c r="AZ45" s="31">
        <v>7178</v>
      </c>
      <c r="BA45" s="31" t="s">
        <v>165</v>
      </c>
      <c r="BB45" s="31" t="s">
        <v>165</v>
      </c>
      <c r="BC45" s="31" t="s">
        <v>165</v>
      </c>
      <c r="BD45" s="31">
        <v>6662.5829999999996</v>
      </c>
      <c r="BE45" s="31" t="s">
        <v>165</v>
      </c>
      <c r="BF45" s="31" t="s">
        <v>165</v>
      </c>
      <c r="BG45" s="31" t="s">
        <v>165</v>
      </c>
      <c r="BH45" s="31">
        <v>5327.4719999999998</v>
      </c>
      <c r="BI45" s="31" t="s">
        <v>165</v>
      </c>
      <c r="BJ45" s="31" t="s">
        <v>165</v>
      </c>
      <c r="BK45" s="31" t="s">
        <v>165</v>
      </c>
      <c r="BL45" s="31">
        <v>2225.221</v>
      </c>
      <c r="BM45" s="31" t="s">
        <v>165</v>
      </c>
      <c r="BN45" s="31" t="s">
        <v>165</v>
      </c>
      <c r="BO45" s="31" t="s">
        <v>165</v>
      </c>
      <c r="BP45" s="31">
        <v>1700.5550000000001</v>
      </c>
      <c r="BQ45" s="31" t="s">
        <v>165</v>
      </c>
      <c r="BR45" s="31" t="s">
        <v>165</v>
      </c>
      <c r="BS45" s="31" t="s">
        <v>165</v>
      </c>
      <c r="BT45" s="31">
        <v>1101.0820000000001</v>
      </c>
      <c r="BU45" s="31" t="s">
        <v>165</v>
      </c>
      <c r="BV45" s="31" t="s">
        <v>165</v>
      </c>
      <c r="BW45" s="31" t="s">
        <v>165</v>
      </c>
      <c r="BX45" s="31">
        <v>862.46100000000001</v>
      </c>
      <c r="BY45" s="31" t="s">
        <v>165</v>
      </c>
      <c r="BZ45" s="31" t="s">
        <v>165</v>
      </c>
      <c r="CA45" s="31" t="s">
        <v>165</v>
      </c>
      <c r="CB45" s="31">
        <v>445.28199999999998</v>
      </c>
      <c r="CC45" s="31" t="s">
        <v>165</v>
      </c>
      <c r="CD45" s="31" t="s">
        <v>165</v>
      </c>
      <c r="CE45" s="31" t="s">
        <v>165</v>
      </c>
      <c r="CG45" s="15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</row>
    <row r="46" spans="1:106" outlineLevel="4" x14ac:dyDescent="0.2">
      <c r="A46" s="14">
        <v>1</v>
      </c>
      <c r="C46" s="9" t="str">
        <f>IF(SUBTOTAL(109,A46)=A46,"                Machinery, Furniture and Equipment","                Machinery, Furniture and Equipment")</f>
        <v xml:space="preserve">                Machinery, Furniture and Equipment</v>
      </c>
      <c r="D46" s="17" t="str">
        <f t="shared" si="8"/>
        <v/>
      </c>
      <c r="E46" s="17" t="str">
        <f t="shared" si="9"/>
        <v/>
      </c>
      <c r="F46" s="17" t="str">
        <f t="shared" si="10"/>
        <v/>
      </c>
      <c r="G46" s="17" t="str">
        <f t="shared" si="11"/>
        <v/>
      </c>
      <c r="H46" s="17" t="str">
        <f t="shared" si="12"/>
        <v/>
      </c>
      <c r="I46" s="17" t="str">
        <f t="shared" si="13"/>
        <v/>
      </c>
      <c r="J46" s="17" t="str">
        <f t="shared" si="14"/>
        <v/>
      </c>
      <c r="K46" s="18" t="str">
        <f t="shared" si="15"/>
        <v/>
      </c>
      <c r="L46" s="21"/>
      <c r="M46" s="21" t="str">
        <f>IF(SUBTOTAL(109,A46)=A46,"",347236)</f>
        <v/>
      </c>
      <c r="N46" s="21"/>
      <c r="O46" s="21"/>
      <c r="P46" s="21"/>
      <c r="Q46" s="21"/>
      <c r="R46" s="21" t="str">
        <f>IF(SUBTOTAL(109,A46)=A46,"","")</f>
        <v/>
      </c>
      <c r="S46" s="21" t="str">
        <f>IF(SUBTOTAL(109,A46)=A46,"","")</f>
        <v/>
      </c>
      <c r="T46" s="21" t="str">
        <f>IF(SUBTOTAL(109,A46)=A46,"",282005)</f>
        <v/>
      </c>
      <c r="U46" s="21" t="str">
        <f>IF(SUBTOTAL(109,A46)=A46,"","")</f>
        <v/>
      </c>
      <c r="V46" s="21" t="str">
        <f>IF(SUBTOTAL(109,A46)=A46,"","")</f>
        <v/>
      </c>
      <c r="W46" s="21" t="str">
        <f>IF(SUBTOTAL(109,A46)=A46,"","")</f>
        <v/>
      </c>
      <c r="X46" s="21" t="str">
        <f>IF(SUBTOTAL(109,A46)=A46,"",245828)</f>
        <v/>
      </c>
      <c r="Y46" s="21" t="str">
        <f>IF(SUBTOTAL(109,A46)=A46,"","")</f>
        <v/>
      </c>
      <c r="Z46" s="21" t="str">
        <f>IF(SUBTOTAL(109,A46)=A46,"","")</f>
        <v/>
      </c>
      <c r="AA46" s="21" t="str">
        <f>IF(SUBTOTAL(109,A46)=A46,"","")</f>
        <v/>
      </c>
      <c r="AB46" s="21" t="str">
        <f>IF(SUBTOTAL(109,A46)=A46,"",222425)</f>
        <v/>
      </c>
      <c r="AC46" s="21" t="str">
        <f>IF(SUBTOTAL(109,A46)=A46,"","")</f>
        <v/>
      </c>
      <c r="AD46" s="21" t="str">
        <f>IF(SUBTOTAL(109,A46)=A46,"","")</f>
        <v/>
      </c>
      <c r="AE46" s="21" t="str">
        <f>IF(SUBTOTAL(109,A46)=A46,"","")</f>
        <v/>
      </c>
      <c r="AF46" s="21" t="str">
        <f>IF(SUBTOTAL(109,A46)=A46,"",183361)</f>
        <v/>
      </c>
      <c r="AG46" s="21" t="str">
        <f>IF(SUBTOTAL(109,A46)=A46,"","")</f>
        <v/>
      </c>
      <c r="AH46" s="21" t="str">
        <f>IF(SUBTOTAL(109,A46)=A46,"","")</f>
        <v/>
      </c>
      <c r="AI46" s="21" t="str">
        <f>IF(SUBTOTAL(109,A46)=A46,"","")</f>
        <v/>
      </c>
      <c r="AJ46" s="21" t="str">
        <f>IF(SUBTOTAL(109,A46)=A46,"",135829)</f>
        <v/>
      </c>
      <c r="AK46" s="21" t="str">
        <f>IF(SUBTOTAL(109,A46)=A46,"","")</f>
        <v/>
      </c>
      <c r="AL46" s="21" t="str">
        <f>IF(SUBTOTAL(109,A46)=A46,"","")</f>
        <v/>
      </c>
      <c r="AM46" s="21" t="str">
        <f>IF(SUBTOTAL(109,A46)=A46,"","")</f>
        <v/>
      </c>
      <c r="AN46" s="21" t="str">
        <f>IF(SUBTOTAL(109,A46)=A46,"",111164)</f>
        <v/>
      </c>
      <c r="AO46" s="21" t="str">
        <f>IF(SUBTOTAL(109,A46)=A46,"","")</f>
        <v/>
      </c>
      <c r="AP46" s="21" t="str">
        <f>IF(SUBTOTAL(109,A46)=A46,"","")</f>
        <v/>
      </c>
      <c r="AQ46" s="21" t="str">
        <f>IF(SUBTOTAL(109,A46)=A46,"","")</f>
        <v/>
      </c>
      <c r="AR46" s="21" t="str">
        <f>IF(SUBTOTAL(109,A46)=A46,"",99073)</f>
        <v/>
      </c>
      <c r="AS46" s="21" t="str">
        <f>IF(SUBTOTAL(109,A46)=A46,"","")</f>
        <v/>
      </c>
      <c r="AT46" s="21" t="str">
        <f>IF(SUBTOTAL(109,A46)=A46,"","")</f>
        <v/>
      </c>
      <c r="AU46" s="21" t="str">
        <f>IF(SUBTOTAL(109,A46)=A46,"","")</f>
        <v/>
      </c>
      <c r="AV46" s="21" t="str">
        <f>IF(SUBTOTAL(109,A46)=A46,"",80357)</f>
        <v/>
      </c>
      <c r="AW46" s="21" t="str">
        <f>IF(SUBTOTAL(109,A46)=A46,"","")</f>
        <v/>
      </c>
      <c r="AX46" s="21" t="str">
        <f>IF(SUBTOTAL(109,A46)=A46,"","")</f>
        <v/>
      </c>
      <c r="AY46" s="21" t="str">
        <f>IF(SUBTOTAL(109,A46)=A46,"","")</f>
        <v/>
      </c>
      <c r="AZ46" s="21" t="str">
        <f>IF(SUBTOTAL(109,A46)=A46,"",68132)</f>
        <v/>
      </c>
      <c r="BA46" s="21" t="str">
        <f>IF(SUBTOTAL(109,A46)=A46,"","")</f>
        <v/>
      </c>
      <c r="BB46" s="21" t="str">
        <f>IF(SUBTOTAL(109,A46)=A46,"","")</f>
        <v/>
      </c>
      <c r="BC46" s="21" t="str">
        <f>IF(SUBTOTAL(109,A46)=A46,"","")</f>
        <v/>
      </c>
      <c r="BD46" s="21" t="str">
        <f>IF(SUBTOTAL(109,A46)=A46,"",61473.055)</f>
        <v/>
      </c>
      <c r="BE46" s="21" t="str">
        <f>IF(SUBTOTAL(109,A46)=A46,"","")</f>
        <v/>
      </c>
      <c r="BF46" s="21" t="str">
        <f>IF(SUBTOTAL(109,A46)=A46,"","")</f>
        <v/>
      </c>
      <c r="BG46" s="21" t="str">
        <f>IF(SUBTOTAL(109,A46)=A46,"","")</f>
        <v/>
      </c>
      <c r="BH46" s="21" t="str">
        <f>IF(SUBTOTAL(109,A46)=A46,"",45569.538)</f>
        <v/>
      </c>
      <c r="BI46" s="21" t="str">
        <f>IF(SUBTOTAL(109,A46)=A46,"","")</f>
        <v/>
      </c>
      <c r="BJ46" s="21" t="str">
        <f>IF(SUBTOTAL(109,A46)=A46,"","")</f>
        <v/>
      </c>
      <c r="BK46" s="21" t="str">
        <f>IF(SUBTOTAL(109,A46)=A46,"","")</f>
        <v/>
      </c>
      <c r="BL46" s="21" t="str">
        <f>IF(SUBTOTAL(109,A46)=A46,"",31667.455)</f>
        <v/>
      </c>
      <c r="BM46" s="21" t="str">
        <f>IF(SUBTOTAL(109,A46)=A46,"","")</f>
        <v/>
      </c>
      <c r="BN46" s="21" t="str">
        <f>IF(SUBTOTAL(109,A46)=A46,"","")</f>
        <v/>
      </c>
      <c r="BO46" s="21" t="str">
        <f>IF(SUBTOTAL(109,A46)=A46,"","")</f>
        <v/>
      </c>
      <c r="BP46" s="21" t="str">
        <f>IF(SUBTOTAL(109,A46)=A46,"",19761.662)</f>
        <v/>
      </c>
      <c r="BQ46" s="21" t="str">
        <f>IF(SUBTOTAL(109,A46)=A46,"","")</f>
        <v/>
      </c>
      <c r="BR46" s="21" t="str">
        <f>IF(SUBTOTAL(109,A46)=A46,"","")</f>
        <v/>
      </c>
      <c r="BS46" s="21" t="str">
        <f>IF(SUBTOTAL(109,A46)=A46,"","")</f>
        <v/>
      </c>
      <c r="BT46" s="21" t="str">
        <f>IF(SUBTOTAL(109,A46)=A46,"",9894.897)</f>
        <v/>
      </c>
      <c r="BU46" s="21" t="str">
        <f>IF(SUBTOTAL(109,A46)=A46,"","")</f>
        <v/>
      </c>
      <c r="BV46" s="21" t="str">
        <f>IF(SUBTOTAL(109,A46)=A46,"","")</f>
        <v/>
      </c>
      <c r="BW46" s="21" t="str">
        <f>IF(SUBTOTAL(109,A46)=A46,"","")</f>
        <v/>
      </c>
      <c r="BX46" s="21" t="str">
        <f>IF(SUBTOTAL(109,A46)=A46,"",6946.482)</f>
        <v/>
      </c>
      <c r="BY46" s="21" t="str">
        <f>IF(SUBTOTAL(109,A46)=A46,"","")</f>
        <v/>
      </c>
      <c r="BZ46" s="21" t="str">
        <f>IF(SUBTOTAL(109,A46)=A46,"","")</f>
        <v/>
      </c>
      <c r="CA46" s="21" t="str">
        <f>IF(SUBTOTAL(109,A46)=A46,"","")</f>
        <v/>
      </c>
      <c r="CB46" s="21" t="str">
        <f>IF(SUBTOTAL(109,A46)=A46,"",3487.123)</f>
        <v/>
      </c>
      <c r="CC46" s="21" t="str">
        <f>IF(SUBTOTAL(109,A46)=A46,"","")</f>
        <v/>
      </c>
      <c r="CD46" s="21" t="str">
        <f>IF(SUBTOTAL(109,A46)=A46,"","")</f>
        <v/>
      </c>
      <c r="CE46" s="21" t="str">
        <f>IF(SUBTOTAL(109,A46)=A46,"","")</f>
        <v/>
      </c>
      <c r="CG46" s="15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</row>
    <row r="47" spans="1:106" outlineLevel="5" x14ac:dyDescent="0.2">
      <c r="A47" s="14">
        <v>1</v>
      </c>
      <c r="C47" s="9" t="str">
        <f>"                    Plant and Machinery"</f>
        <v xml:space="preserve">                    Plant and Machinery</v>
      </c>
      <c r="D47" s="17">
        <f t="shared" si="8"/>
        <v>226832.5</v>
      </c>
      <c r="E47" s="17">
        <f t="shared" si="9"/>
        <v>209120.91666666666</v>
      </c>
      <c r="F47" s="17">
        <f t="shared" si="10"/>
        <v>99073</v>
      </c>
      <c r="G47" s="17">
        <f t="shared" si="11"/>
        <v>299318</v>
      </c>
      <c r="H47" s="17">
        <f t="shared" si="12"/>
        <v>148331.25</v>
      </c>
      <c r="I47" s="17">
        <f t="shared" si="13"/>
        <v>267217.25</v>
      </c>
      <c r="J47" s="17">
        <f t="shared" si="14"/>
        <v>71179.579716578752</v>
      </c>
      <c r="K47" s="18">
        <f t="shared" si="15"/>
        <v>0.34037522812716609</v>
      </c>
      <c r="L47" s="21"/>
      <c r="M47" s="21">
        <v>299318</v>
      </c>
      <c r="N47" s="21">
        <v>284947</v>
      </c>
      <c r="O47" s="21">
        <v>266018</v>
      </c>
      <c r="P47" s="21">
        <v>270815</v>
      </c>
      <c r="Q47" s="21">
        <v>251706</v>
      </c>
      <c r="R47" s="21" t="s">
        <v>165</v>
      </c>
      <c r="S47" s="21" t="s">
        <v>165</v>
      </c>
      <c r="T47" s="21">
        <v>242479</v>
      </c>
      <c r="U47" s="21" t="s">
        <v>165</v>
      </c>
      <c r="V47" s="21" t="s">
        <v>165</v>
      </c>
      <c r="W47" s="21" t="s">
        <v>165</v>
      </c>
      <c r="X47" s="21">
        <v>211186</v>
      </c>
      <c r="Y47" s="21" t="s">
        <v>165</v>
      </c>
      <c r="Z47" s="21" t="s">
        <v>165</v>
      </c>
      <c r="AA47" s="21" t="s">
        <v>165</v>
      </c>
      <c r="AB47" s="21">
        <v>191480</v>
      </c>
      <c r="AC47" s="21" t="s">
        <v>165</v>
      </c>
      <c r="AD47" s="21" t="s">
        <v>165</v>
      </c>
      <c r="AE47" s="21" t="s">
        <v>165</v>
      </c>
      <c r="AF47" s="21">
        <v>156030</v>
      </c>
      <c r="AG47" s="21" t="s">
        <v>165</v>
      </c>
      <c r="AH47" s="21" t="s">
        <v>165</v>
      </c>
      <c r="AI47" s="21" t="s">
        <v>165</v>
      </c>
      <c r="AJ47" s="21">
        <v>125235</v>
      </c>
      <c r="AK47" s="21" t="s">
        <v>165</v>
      </c>
      <c r="AL47" s="21" t="s">
        <v>165</v>
      </c>
      <c r="AM47" s="21" t="s">
        <v>165</v>
      </c>
      <c r="AN47" s="21">
        <v>111164</v>
      </c>
      <c r="AO47" s="21" t="s">
        <v>165</v>
      </c>
      <c r="AP47" s="21" t="s">
        <v>165</v>
      </c>
      <c r="AQ47" s="21" t="s">
        <v>165</v>
      </c>
      <c r="AR47" s="21">
        <v>99073</v>
      </c>
      <c r="AS47" s="21" t="s">
        <v>165</v>
      </c>
      <c r="AT47" s="21" t="s">
        <v>165</v>
      </c>
      <c r="AU47" s="21" t="s">
        <v>165</v>
      </c>
      <c r="AV47" s="21" t="s">
        <v>165</v>
      </c>
      <c r="AW47" s="21" t="s">
        <v>165</v>
      </c>
      <c r="AX47" s="21" t="s">
        <v>165</v>
      </c>
      <c r="AY47" s="21" t="s">
        <v>165</v>
      </c>
      <c r="AZ47" s="21" t="s">
        <v>165</v>
      </c>
      <c r="BA47" s="21" t="s">
        <v>165</v>
      </c>
      <c r="BB47" s="21" t="s">
        <v>165</v>
      </c>
      <c r="BC47" s="21" t="s">
        <v>165</v>
      </c>
      <c r="BD47" s="21" t="s">
        <v>165</v>
      </c>
      <c r="BE47" s="21" t="s">
        <v>165</v>
      </c>
      <c r="BF47" s="21" t="s">
        <v>165</v>
      </c>
      <c r="BG47" s="21" t="s">
        <v>165</v>
      </c>
      <c r="BH47" s="21" t="s">
        <v>165</v>
      </c>
      <c r="BI47" s="21" t="s">
        <v>165</v>
      </c>
      <c r="BJ47" s="21" t="s">
        <v>165</v>
      </c>
      <c r="BK47" s="21" t="s">
        <v>165</v>
      </c>
      <c r="BL47" s="21" t="s">
        <v>165</v>
      </c>
      <c r="BM47" s="21" t="s">
        <v>165</v>
      </c>
      <c r="BN47" s="21" t="s">
        <v>165</v>
      </c>
      <c r="BO47" s="21" t="s">
        <v>165</v>
      </c>
      <c r="BP47" s="21" t="s">
        <v>165</v>
      </c>
      <c r="BQ47" s="21" t="s">
        <v>165</v>
      </c>
      <c r="BR47" s="21" t="s">
        <v>165</v>
      </c>
      <c r="BS47" s="21" t="s">
        <v>165</v>
      </c>
      <c r="BT47" s="21" t="s">
        <v>165</v>
      </c>
      <c r="BU47" s="21" t="s">
        <v>165</v>
      </c>
      <c r="BV47" s="21" t="s">
        <v>165</v>
      </c>
      <c r="BW47" s="21" t="s">
        <v>165</v>
      </c>
      <c r="BX47" s="21" t="s">
        <v>165</v>
      </c>
      <c r="BY47" s="21" t="s">
        <v>165</v>
      </c>
      <c r="BZ47" s="21" t="s">
        <v>165</v>
      </c>
      <c r="CA47" s="21" t="s">
        <v>165</v>
      </c>
      <c r="CB47" s="21" t="s">
        <v>165</v>
      </c>
      <c r="CC47" s="21" t="s">
        <v>165</v>
      </c>
      <c r="CD47" s="21" t="s">
        <v>165</v>
      </c>
      <c r="CE47" s="21" t="s">
        <v>165</v>
      </c>
      <c r="CG47" s="15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</row>
    <row r="48" spans="1:106" outlineLevel="5" x14ac:dyDescent="0.2">
      <c r="A48" s="14">
        <v>1</v>
      </c>
      <c r="C48" s="9" t="str">
        <f>"                    Furniture, Fixtures and Office Equipment"</f>
        <v xml:space="preserve">                    Furniture, Fixtures and Office Equipment</v>
      </c>
      <c r="D48" s="17">
        <f t="shared" si="8"/>
        <v>41311.5</v>
      </c>
      <c r="E48" s="17">
        <f t="shared" si="9"/>
        <v>37399.800000000003</v>
      </c>
      <c r="F48" s="17">
        <f t="shared" si="10"/>
        <v>10594</v>
      </c>
      <c r="G48" s="17">
        <f t="shared" si="11"/>
        <v>47918</v>
      </c>
      <c r="H48" s="17">
        <f t="shared" si="12"/>
        <v>31869.25</v>
      </c>
      <c r="I48" s="17">
        <f t="shared" si="13"/>
        <v>46413.5</v>
      </c>
      <c r="J48" s="17">
        <f t="shared" si="14"/>
        <v>11903.223501780238</v>
      </c>
      <c r="K48" s="18">
        <f t="shared" si="15"/>
        <v>0.31826971004604937</v>
      </c>
      <c r="L48" s="21"/>
      <c r="M48" s="21">
        <v>47918</v>
      </c>
      <c r="N48" s="21">
        <v>46648</v>
      </c>
      <c r="O48" s="21">
        <v>45710</v>
      </c>
      <c r="P48" s="21">
        <v>47587</v>
      </c>
      <c r="Q48" s="21">
        <v>43097</v>
      </c>
      <c r="R48" s="21" t="s">
        <v>165</v>
      </c>
      <c r="S48" s="21" t="s">
        <v>165</v>
      </c>
      <c r="T48" s="21">
        <v>39526</v>
      </c>
      <c r="U48" s="21" t="s">
        <v>165</v>
      </c>
      <c r="V48" s="21" t="s">
        <v>165</v>
      </c>
      <c r="W48" s="21" t="s">
        <v>165</v>
      </c>
      <c r="X48" s="21">
        <v>34642</v>
      </c>
      <c r="Y48" s="21" t="s">
        <v>165</v>
      </c>
      <c r="Z48" s="21" t="s">
        <v>165</v>
      </c>
      <c r="AA48" s="21" t="s">
        <v>165</v>
      </c>
      <c r="AB48" s="21">
        <v>30945</v>
      </c>
      <c r="AC48" s="21" t="s">
        <v>165</v>
      </c>
      <c r="AD48" s="21" t="s">
        <v>165</v>
      </c>
      <c r="AE48" s="21" t="s">
        <v>165</v>
      </c>
      <c r="AF48" s="21">
        <v>27331</v>
      </c>
      <c r="AG48" s="21" t="s">
        <v>165</v>
      </c>
      <c r="AH48" s="21" t="s">
        <v>165</v>
      </c>
      <c r="AI48" s="21" t="s">
        <v>165</v>
      </c>
      <c r="AJ48" s="21">
        <v>10594</v>
      </c>
      <c r="AK48" s="21" t="s">
        <v>165</v>
      </c>
      <c r="AL48" s="21" t="s">
        <v>165</v>
      </c>
      <c r="AM48" s="21" t="s">
        <v>165</v>
      </c>
      <c r="AN48" s="21" t="s">
        <v>165</v>
      </c>
      <c r="AO48" s="21" t="s">
        <v>165</v>
      </c>
      <c r="AP48" s="21" t="s">
        <v>165</v>
      </c>
      <c r="AQ48" s="21" t="s">
        <v>165</v>
      </c>
      <c r="AR48" s="21" t="s">
        <v>165</v>
      </c>
      <c r="AS48" s="21" t="s">
        <v>165</v>
      </c>
      <c r="AT48" s="21" t="s">
        <v>165</v>
      </c>
      <c r="AU48" s="21" t="s">
        <v>165</v>
      </c>
      <c r="AV48" s="21" t="s">
        <v>165</v>
      </c>
      <c r="AW48" s="21" t="s">
        <v>165</v>
      </c>
      <c r="AX48" s="21" t="s">
        <v>165</v>
      </c>
      <c r="AY48" s="21" t="s">
        <v>165</v>
      </c>
      <c r="AZ48" s="21" t="s">
        <v>165</v>
      </c>
      <c r="BA48" s="21" t="s">
        <v>165</v>
      </c>
      <c r="BB48" s="21" t="s">
        <v>165</v>
      </c>
      <c r="BC48" s="21" t="s">
        <v>165</v>
      </c>
      <c r="BD48" s="21" t="s">
        <v>165</v>
      </c>
      <c r="BE48" s="21" t="s">
        <v>165</v>
      </c>
      <c r="BF48" s="21" t="s">
        <v>165</v>
      </c>
      <c r="BG48" s="21" t="s">
        <v>165</v>
      </c>
      <c r="BH48" s="21" t="s">
        <v>165</v>
      </c>
      <c r="BI48" s="21" t="s">
        <v>165</v>
      </c>
      <c r="BJ48" s="21" t="s">
        <v>165</v>
      </c>
      <c r="BK48" s="21" t="s">
        <v>165</v>
      </c>
      <c r="BL48" s="21" t="s">
        <v>165</v>
      </c>
      <c r="BM48" s="21" t="s">
        <v>165</v>
      </c>
      <c r="BN48" s="21" t="s">
        <v>165</v>
      </c>
      <c r="BO48" s="21" t="s">
        <v>165</v>
      </c>
      <c r="BP48" s="21" t="s">
        <v>165</v>
      </c>
      <c r="BQ48" s="21" t="s">
        <v>165</v>
      </c>
      <c r="BR48" s="21" t="s">
        <v>165</v>
      </c>
      <c r="BS48" s="21" t="s">
        <v>165</v>
      </c>
      <c r="BT48" s="21" t="s">
        <v>165</v>
      </c>
      <c r="BU48" s="21" t="s">
        <v>165</v>
      </c>
      <c r="BV48" s="21" t="s">
        <v>165</v>
      </c>
      <c r="BW48" s="21" t="s">
        <v>165</v>
      </c>
      <c r="BX48" s="21" t="s">
        <v>165</v>
      </c>
      <c r="BY48" s="21" t="s">
        <v>165</v>
      </c>
      <c r="BZ48" s="21" t="s">
        <v>165</v>
      </c>
      <c r="CA48" s="21" t="s">
        <v>165</v>
      </c>
      <c r="CB48" s="21" t="s">
        <v>165</v>
      </c>
      <c r="CC48" s="21" t="s">
        <v>165</v>
      </c>
      <c r="CD48" s="21" t="s">
        <v>165</v>
      </c>
      <c r="CE48" s="21" t="s">
        <v>165</v>
      </c>
      <c r="CG48" s="15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</row>
    <row r="49" spans="1:106" outlineLevel="5" x14ac:dyDescent="0.2">
      <c r="A49" s="14">
        <v>1</v>
      </c>
      <c r="C49" s="10" t="str">
        <f>"                    Total Machinery, Furniture and Equipment"</f>
        <v xml:space="preserve">                    Total Machinery, Furniture and Equipment</v>
      </c>
      <c r="D49" s="29">
        <f t="shared" si="8"/>
        <v>111164</v>
      </c>
      <c r="E49" s="29">
        <f t="shared" si="9"/>
        <v>152892.29580952381</v>
      </c>
      <c r="F49" s="29">
        <f t="shared" si="10"/>
        <v>3487.123</v>
      </c>
      <c r="G49" s="29">
        <f t="shared" si="11"/>
        <v>347236</v>
      </c>
      <c r="H49" s="29">
        <f t="shared" si="12"/>
        <v>45569.538</v>
      </c>
      <c r="I49" s="29">
        <f t="shared" si="13"/>
        <v>282005</v>
      </c>
      <c r="J49" s="29">
        <f t="shared" si="14"/>
        <v>123950.61908625832</v>
      </c>
      <c r="K49" s="30">
        <f t="shared" si="15"/>
        <v>0.81070546053333126</v>
      </c>
      <c r="L49" s="31"/>
      <c r="M49" s="31">
        <v>347236</v>
      </c>
      <c r="N49" s="31">
        <v>331595</v>
      </c>
      <c r="O49" s="31">
        <v>311728</v>
      </c>
      <c r="P49" s="31">
        <v>318402</v>
      </c>
      <c r="Q49" s="31">
        <v>294803</v>
      </c>
      <c r="R49" s="31" t="s">
        <v>165</v>
      </c>
      <c r="S49" s="31" t="s">
        <v>165</v>
      </c>
      <c r="T49" s="31">
        <v>282005</v>
      </c>
      <c r="U49" s="31" t="s">
        <v>165</v>
      </c>
      <c r="V49" s="31" t="s">
        <v>165</v>
      </c>
      <c r="W49" s="31" t="s">
        <v>165</v>
      </c>
      <c r="X49" s="31">
        <v>245828</v>
      </c>
      <c r="Y49" s="31" t="s">
        <v>165</v>
      </c>
      <c r="Z49" s="31" t="s">
        <v>165</v>
      </c>
      <c r="AA49" s="31" t="s">
        <v>165</v>
      </c>
      <c r="AB49" s="31">
        <v>222425</v>
      </c>
      <c r="AC49" s="31" t="s">
        <v>165</v>
      </c>
      <c r="AD49" s="31" t="s">
        <v>165</v>
      </c>
      <c r="AE49" s="31" t="s">
        <v>165</v>
      </c>
      <c r="AF49" s="31">
        <v>183361</v>
      </c>
      <c r="AG49" s="31" t="s">
        <v>165</v>
      </c>
      <c r="AH49" s="31" t="s">
        <v>165</v>
      </c>
      <c r="AI49" s="31" t="s">
        <v>165</v>
      </c>
      <c r="AJ49" s="31">
        <v>135829</v>
      </c>
      <c r="AK49" s="31" t="s">
        <v>165</v>
      </c>
      <c r="AL49" s="31" t="s">
        <v>165</v>
      </c>
      <c r="AM49" s="31" t="s">
        <v>165</v>
      </c>
      <c r="AN49" s="31">
        <v>111164</v>
      </c>
      <c r="AO49" s="31" t="s">
        <v>165</v>
      </c>
      <c r="AP49" s="31" t="s">
        <v>165</v>
      </c>
      <c r="AQ49" s="31" t="s">
        <v>165</v>
      </c>
      <c r="AR49" s="31">
        <v>99073</v>
      </c>
      <c r="AS49" s="31" t="s">
        <v>165</v>
      </c>
      <c r="AT49" s="31" t="s">
        <v>165</v>
      </c>
      <c r="AU49" s="31" t="s">
        <v>165</v>
      </c>
      <c r="AV49" s="31">
        <v>80357</v>
      </c>
      <c r="AW49" s="31" t="s">
        <v>165</v>
      </c>
      <c r="AX49" s="31" t="s">
        <v>165</v>
      </c>
      <c r="AY49" s="31" t="s">
        <v>165</v>
      </c>
      <c r="AZ49" s="31">
        <v>68132</v>
      </c>
      <c r="BA49" s="31" t="s">
        <v>165</v>
      </c>
      <c r="BB49" s="31" t="s">
        <v>165</v>
      </c>
      <c r="BC49" s="31" t="s">
        <v>165</v>
      </c>
      <c r="BD49" s="31">
        <v>61473.055</v>
      </c>
      <c r="BE49" s="31" t="s">
        <v>165</v>
      </c>
      <c r="BF49" s="31" t="s">
        <v>165</v>
      </c>
      <c r="BG49" s="31" t="s">
        <v>165</v>
      </c>
      <c r="BH49" s="31">
        <v>45569.538</v>
      </c>
      <c r="BI49" s="31" t="s">
        <v>165</v>
      </c>
      <c r="BJ49" s="31" t="s">
        <v>165</v>
      </c>
      <c r="BK49" s="31" t="s">
        <v>165</v>
      </c>
      <c r="BL49" s="31">
        <v>31667.455000000002</v>
      </c>
      <c r="BM49" s="31" t="s">
        <v>165</v>
      </c>
      <c r="BN49" s="31" t="s">
        <v>165</v>
      </c>
      <c r="BO49" s="31" t="s">
        <v>165</v>
      </c>
      <c r="BP49" s="31">
        <v>19761.662</v>
      </c>
      <c r="BQ49" s="31" t="s">
        <v>165</v>
      </c>
      <c r="BR49" s="31" t="s">
        <v>165</v>
      </c>
      <c r="BS49" s="31" t="s">
        <v>165</v>
      </c>
      <c r="BT49" s="31">
        <v>9894.8970000000008</v>
      </c>
      <c r="BU49" s="31" t="s">
        <v>165</v>
      </c>
      <c r="BV49" s="31" t="s">
        <v>165</v>
      </c>
      <c r="BW49" s="31" t="s">
        <v>165</v>
      </c>
      <c r="BX49" s="31">
        <v>6946.482</v>
      </c>
      <c r="BY49" s="31" t="s">
        <v>165</v>
      </c>
      <c r="BZ49" s="31" t="s">
        <v>165</v>
      </c>
      <c r="CA49" s="31" t="s">
        <v>165</v>
      </c>
      <c r="CB49" s="31">
        <v>3487.123</v>
      </c>
      <c r="CC49" s="31" t="s">
        <v>165</v>
      </c>
      <c r="CD49" s="31" t="s">
        <v>165</v>
      </c>
      <c r="CE49" s="31" t="s">
        <v>165</v>
      </c>
      <c r="CG49" s="15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</row>
    <row r="50" spans="1:106" outlineLevel="4" x14ac:dyDescent="0.2">
      <c r="A50" s="14">
        <v>1</v>
      </c>
      <c r="C50" s="9" t="str">
        <f>"                Construction in Progress and Advance Payments"</f>
        <v xml:space="preserve">                Construction in Progress and Advance Payments</v>
      </c>
      <c r="D50" s="17">
        <f t="shared" si="8"/>
        <v>6181</v>
      </c>
      <c r="E50" s="17">
        <f t="shared" si="9"/>
        <v>7246.4405714285704</v>
      </c>
      <c r="F50" s="17">
        <f t="shared" si="10"/>
        <v>593.56899999999996</v>
      </c>
      <c r="G50" s="17">
        <f t="shared" si="11"/>
        <v>29114</v>
      </c>
      <c r="H50" s="17">
        <f t="shared" si="12"/>
        <v>2939.145</v>
      </c>
      <c r="I50" s="17">
        <f t="shared" si="13"/>
        <v>8555</v>
      </c>
      <c r="J50" s="17">
        <f t="shared" si="14"/>
        <v>6616.8771552640801</v>
      </c>
      <c r="K50" s="18">
        <f t="shared" si="15"/>
        <v>0.91312101300509563</v>
      </c>
      <c r="L50" s="21"/>
      <c r="M50" s="21">
        <v>12350</v>
      </c>
      <c r="N50" s="21">
        <v>7551</v>
      </c>
      <c r="O50" s="21">
        <v>6727</v>
      </c>
      <c r="P50" s="21">
        <v>8555</v>
      </c>
      <c r="Q50" s="21">
        <v>29114</v>
      </c>
      <c r="R50" s="21" t="s">
        <v>165</v>
      </c>
      <c r="S50" s="21" t="s">
        <v>165</v>
      </c>
      <c r="T50" s="21">
        <v>6535</v>
      </c>
      <c r="U50" s="21" t="s">
        <v>165</v>
      </c>
      <c r="V50" s="21" t="s">
        <v>165</v>
      </c>
      <c r="W50" s="21" t="s">
        <v>165</v>
      </c>
      <c r="X50" s="21">
        <v>5091</v>
      </c>
      <c r="Y50" s="21" t="s">
        <v>165</v>
      </c>
      <c r="Z50" s="21" t="s">
        <v>165</v>
      </c>
      <c r="AA50" s="21" t="s">
        <v>165</v>
      </c>
      <c r="AB50" s="21">
        <v>4922</v>
      </c>
      <c r="AC50" s="21" t="s">
        <v>165</v>
      </c>
      <c r="AD50" s="21" t="s">
        <v>165</v>
      </c>
      <c r="AE50" s="21" t="s">
        <v>165</v>
      </c>
      <c r="AF50" s="21">
        <v>15880</v>
      </c>
      <c r="AG50" s="21" t="s">
        <v>165</v>
      </c>
      <c r="AH50" s="21" t="s">
        <v>165</v>
      </c>
      <c r="AI50" s="21" t="s">
        <v>165</v>
      </c>
      <c r="AJ50" s="21">
        <v>14303</v>
      </c>
      <c r="AK50" s="21" t="s">
        <v>165</v>
      </c>
      <c r="AL50" s="21" t="s">
        <v>165</v>
      </c>
      <c r="AM50" s="21" t="s">
        <v>165</v>
      </c>
      <c r="AN50" s="21">
        <v>1401</v>
      </c>
      <c r="AO50" s="21" t="s">
        <v>165</v>
      </c>
      <c r="AP50" s="21" t="s">
        <v>165</v>
      </c>
      <c r="AQ50" s="21" t="s">
        <v>165</v>
      </c>
      <c r="AR50" s="21">
        <v>2694</v>
      </c>
      <c r="AS50" s="21" t="s">
        <v>165</v>
      </c>
      <c r="AT50" s="21" t="s">
        <v>165</v>
      </c>
      <c r="AU50" s="21" t="s">
        <v>165</v>
      </c>
      <c r="AV50" s="21">
        <v>9877</v>
      </c>
      <c r="AW50" s="21" t="s">
        <v>165</v>
      </c>
      <c r="AX50" s="21" t="s">
        <v>165</v>
      </c>
      <c r="AY50" s="21" t="s">
        <v>165</v>
      </c>
      <c r="AZ50" s="21">
        <v>6181</v>
      </c>
      <c r="BA50" s="21" t="s">
        <v>165</v>
      </c>
      <c r="BB50" s="21" t="s">
        <v>165</v>
      </c>
      <c r="BC50" s="21" t="s">
        <v>165</v>
      </c>
      <c r="BD50" s="21">
        <v>4293.84</v>
      </c>
      <c r="BE50" s="21" t="s">
        <v>165</v>
      </c>
      <c r="BF50" s="21" t="s">
        <v>165</v>
      </c>
      <c r="BG50" s="21" t="s">
        <v>165</v>
      </c>
      <c r="BH50" s="21">
        <v>8173.0249999999996</v>
      </c>
      <c r="BI50" s="21" t="s">
        <v>165</v>
      </c>
      <c r="BJ50" s="21" t="s">
        <v>165</v>
      </c>
      <c r="BK50" s="21" t="s">
        <v>165</v>
      </c>
      <c r="BL50" s="21">
        <v>3606.3879999999999</v>
      </c>
      <c r="BM50" s="21" t="s">
        <v>165</v>
      </c>
      <c r="BN50" s="21" t="s">
        <v>165</v>
      </c>
      <c r="BO50" s="21" t="s">
        <v>165</v>
      </c>
      <c r="BP50" s="21">
        <v>755.01</v>
      </c>
      <c r="BQ50" s="21" t="s">
        <v>165</v>
      </c>
      <c r="BR50" s="21" t="s">
        <v>165</v>
      </c>
      <c r="BS50" s="21" t="s">
        <v>165</v>
      </c>
      <c r="BT50" s="21">
        <v>2939.145</v>
      </c>
      <c r="BU50" s="21" t="s">
        <v>165</v>
      </c>
      <c r="BV50" s="21" t="s">
        <v>165</v>
      </c>
      <c r="BW50" s="21" t="s">
        <v>165</v>
      </c>
      <c r="BX50" s="21">
        <v>593.56899999999996</v>
      </c>
      <c r="BY50" s="21" t="s">
        <v>165</v>
      </c>
      <c r="BZ50" s="21" t="s">
        <v>165</v>
      </c>
      <c r="CA50" s="21" t="s">
        <v>165</v>
      </c>
      <c r="CB50" s="21">
        <v>633.27499999999998</v>
      </c>
      <c r="CC50" s="21" t="s">
        <v>165</v>
      </c>
      <c r="CD50" s="21" t="s">
        <v>165</v>
      </c>
      <c r="CE50" s="21" t="s">
        <v>165</v>
      </c>
      <c r="CG50" s="15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</row>
    <row r="51" spans="1:106" outlineLevel="4" x14ac:dyDescent="0.2">
      <c r="A51" s="14">
        <v>1</v>
      </c>
      <c r="C51" s="9" t="str">
        <f>"                Leased Property, Plant and Equipment"</f>
        <v xml:space="preserve">                Leased Property, Plant and Equipment</v>
      </c>
      <c r="D51" s="17">
        <f t="shared" si="8"/>
        <v>40986</v>
      </c>
      <c r="E51" s="17">
        <f t="shared" si="9"/>
        <v>33840.800000000003</v>
      </c>
      <c r="F51" s="17">
        <f t="shared" si="10"/>
        <v>0</v>
      </c>
      <c r="G51" s="17">
        <f t="shared" si="11"/>
        <v>46246</v>
      </c>
      <c r="H51" s="17">
        <f t="shared" si="12"/>
        <v>40986</v>
      </c>
      <c r="I51" s="17">
        <f t="shared" si="13"/>
        <v>40986</v>
      </c>
      <c r="J51" s="17">
        <f t="shared" si="14"/>
        <v>19054.201510428087</v>
      </c>
      <c r="K51" s="18">
        <f t="shared" si="15"/>
        <v>0.56305410954906754</v>
      </c>
      <c r="L51" s="21"/>
      <c r="M51" s="21">
        <v>40986</v>
      </c>
      <c r="N51" s="21">
        <v>40986</v>
      </c>
      <c r="O51" s="21">
        <v>40986</v>
      </c>
      <c r="P51" s="21">
        <v>46246</v>
      </c>
      <c r="Q51" s="21">
        <v>0</v>
      </c>
      <c r="R51" s="21" t="s">
        <v>165</v>
      </c>
      <c r="S51" s="21" t="s">
        <v>165</v>
      </c>
      <c r="T51" s="21" t="s">
        <v>165</v>
      </c>
      <c r="U51" s="21" t="s">
        <v>165</v>
      </c>
      <c r="V51" s="21" t="s">
        <v>165</v>
      </c>
      <c r="W51" s="21" t="s">
        <v>165</v>
      </c>
      <c r="X51" s="21" t="s">
        <v>165</v>
      </c>
      <c r="Y51" s="21" t="s">
        <v>165</v>
      </c>
      <c r="Z51" s="21" t="s">
        <v>165</v>
      </c>
      <c r="AA51" s="21" t="s">
        <v>165</v>
      </c>
      <c r="AB51" s="21" t="s">
        <v>165</v>
      </c>
      <c r="AC51" s="21" t="s">
        <v>165</v>
      </c>
      <c r="AD51" s="21" t="s">
        <v>165</v>
      </c>
      <c r="AE51" s="21" t="s">
        <v>165</v>
      </c>
      <c r="AF51" s="21" t="s">
        <v>165</v>
      </c>
      <c r="AG51" s="21" t="s">
        <v>165</v>
      </c>
      <c r="AH51" s="21" t="s">
        <v>165</v>
      </c>
      <c r="AI51" s="21" t="s">
        <v>165</v>
      </c>
      <c r="AJ51" s="21" t="s">
        <v>165</v>
      </c>
      <c r="AK51" s="21" t="s">
        <v>165</v>
      </c>
      <c r="AL51" s="21" t="s">
        <v>165</v>
      </c>
      <c r="AM51" s="21" t="s">
        <v>165</v>
      </c>
      <c r="AN51" s="21" t="s">
        <v>165</v>
      </c>
      <c r="AO51" s="21" t="s">
        <v>165</v>
      </c>
      <c r="AP51" s="21" t="s">
        <v>165</v>
      </c>
      <c r="AQ51" s="21" t="s">
        <v>165</v>
      </c>
      <c r="AR51" s="21" t="s">
        <v>165</v>
      </c>
      <c r="AS51" s="21" t="s">
        <v>165</v>
      </c>
      <c r="AT51" s="21" t="s">
        <v>165</v>
      </c>
      <c r="AU51" s="21" t="s">
        <v>165</v>
      </c>
      <c r="AV51" s="21" t="s">
        <v>165</v>
      </c>
      <c r="AW51" s="21" t="s">
        <v>165</v>
      </c>
      <c r="AX51" s="21" t="s">
        <v>165</v>
      </c>
      <c r="AY51" s="21" t="s">
        <v>165</v>
      </c>
      <c r="AZ51" s="21" t="s">
        <v>165</v>
      </c>
      <c r="BA51" s="21" t="s">
        <v>165</v>
      </c>
      <c r="BB51" s="21" t="s">
        <v>165</v>
      </c>
      <c r="BC51" s="21" t="s">
        <v>165</v>
      </c>
      <c r="BD51" s="21" t="s">
        <v>165</v>
      </c>
      <c r="BE51" s="21" t="s">
        <v>165</v>
      </c>
      <c r="BF51" s="21" t="s">
        <v>165</v>
      </c>
      <c r="BG51" s="21" t="s">
        <v>165</v>
      </c>
      <c r="BH51" s="21" t="s">
        <v>165</v>
      </c>
      <c r="BI51" s="21" t="s">
        <v>165</v>
      </c>
      <c r="BJ51" s="21" t="s">
        <v>165</v>
      </c>
      <c r="BK51" s="21" t="s">
        <v>165</v>
      </c>
      <c r="BL51" s="21" t="s">
        <v>165</v>
      </c>
      <c r="BM51" s="21" t="s">
        <v>165</v>
      </c>
      <c r="BN51" s="21" t="s">
        <v>165</v>
      </c>
      <c r="BO51" s="21" t="s">
        <v>165</v>
      </c>
      <c r="BP51" s="21" t="s">
        <v>165</v>
      </c>
      <c r="BQ51" s="21" t="s">
        <v>165</v>
      </c>
      <c r="BR51" s="21" t="s">
        <v>165</v>
      </c>
      <c r="BS51" s="21" t="s">
        <v>165</v>
      </c>
      <c r="BT51" s="21" t="s">
        <v>165</v>
      </c>
      <c r="BU51" s="21" t="s">
        <v>165</v>
      </c>
      <c r="BV51" s="21" t="s">
        <v>165</v>
      </c>
      <c r="BW51" s="21" t="s">
        <v>165</v>
      </c>
      <c r="BX51" s="21" t="s">
        <v>165</v>
      </c>
      <c r="BY51" s="21" t="s">
        <v>165</v>
      </c>
      <c r="BZ51" s="21" t="s">
        <v>165</v>
      </c>
      <c r="CA51" s="21" t="s">
        <v>165</v>
      </c>
      <c r="CB51" s="21" t="s">
        <v>165</v>
      </c>
      <c r="CC51" s="21" t="s">
        <v>165</v>
      </c>
      <c r="CD51" s="21" t="s">
        <v>165</v>
      </c>
      <c r="CE51" s="21" t="s">
        <v>165</v>
      </c>
      <c r="CG51" s="15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</row>
    <row r="52" spans="1:106" outlineLevel="4" x14ac:dyDescent="0.2">
      <c r="A52" s="14">
        <v>1</v>
      </c>
      <c r="C52" s="10" t="str">
        <f>"                Total Gross Property, Plant and Equipment"</f>
        <v xml:space="preserve">                Total Gross Property, Plant and Equipment</v>
      </c>
      <c r="D52" s="29">
        <f t="shared" si="8"/>
        <v>44929.178500000002</v>
      </c>
      <c r="E52" s="29">
        <f t="shared" si="9"/>
        <v>103094.72609090908</v>
      </c>
      <c r="F52" s="29">
        <f t="shared" si="10"/>
        <v>21.212</v>
      </c>
      <c r="G52" s="29">
        <f t="shared" si="11"/>
        <v>441941</v>
      </c>
      <c r="H52" s="29">
        <f t="shared" si="12"/>
        <v>13158.4195</v>
      </c>
      <c r="I52" s="29">
        <f t="shared" si="13"/>
        <v>115734</v>
      </c>
      <c r="J52" s="29">
        <f t="shared" si="14"/>
        <v>132910.2682176595</v>
      </c>
      <c r="K52" s="30">
        <f t="shared" si="15"/>
        <v>1.2892053091101772</v>
      </c>
      <c r="L52" s="31"/>
      <c r="M52" s="31">
        <v>441941</v>
      </c>
      <c r="N52" s="31">
        <v>419474</v>
      </c>
      <c r="O52" s="31">
        <v>397360</v>
      </c>
      <c r="P52" s="31">
        <v>411574</v>
      </c>
      <c r="Q52" s="31">
        <v>357670</v>
      </c>
      <c r="R52" s="31" t="s">
        <v>165</v>
      </c>
      <c r="S52" s="31" t="s">
        <v>165</v>
      </c>
      <c r="T52" s="31">
        <v>320223</v>
      </c>
      <c r="U52" s="31" t="s">
        <v>165</v>
      </c>
      <c r="V52" s="31" t="s">
        <v>165</v>
      </c>
      <c r="W52" s="31" t="s">
        <v>165</v>
      </c>
      <c r="X52" s="31">
        <v>277542</v>
      </c>
      <c r="Y52" s="31" t="s">
        <v>165</v>
      </c>
      <c r="Z52" s="31" t="s">
        <v>165</v>
      </c>
      <c r="AA52" s="31" t="s">
        <v>165</v>
      </c>
      <c r="AB52" s="31">
        <v>250507</v>
      </c>
      <c r="AC52" s="31" t="s">
        <v>165</v>
      </c>
      <c r="AD52" s="31" t="s">
        <v>165</v>
      </c>
      <c r="AE52" s="31" t="s">
        <v>165</v>
      </c>
      <c r="AF52" s="31">
        <v>213578</v>
      </c>
      <c r="AG52" s="31" t="s">
        <v>165</v>
      </c>
      <c r="AH52" s="31" t="s">
        <v>165</v>
      </c>
      <c r="AI52" s="31" t="s">
        <v>165</v>
      </c>
      <c r="AJ52" s="31">
        <v>162367</v>
      </c>
      <c r="AK52" s="31" t="s">
        <v>165</v>
      </c>
      <c r="AL52" s="31" t="s">
        <v>165</v>
      </c>
      <c r="AM52" s="31" t="s">
        <v>165</v>
      </c>
      <c r="AN52" s="31">
        <v>121380</v>
      </c>
      <c r="AO52" s="31" t="s">
        <v>165</v>
      </c>
      <c r="AP52" s="31" t="s">
        <v>165</v>
      </c>
      <c r="AQ52" s="31" t="s">
        <v>165</v>
      </c>
      <c r="AR52" s="31">
        <v>113852</v>
      </c>
      <c r="AS52" s="31" t="s">
        <v>165</v>
      </c>
      <c r="AT52" s="31" t="s">
        <v>165</v>
      </c>
      <c r="AU52" s="31" t="s">
        <v>165</v>
      </c>
      <c r="AV52" s="31">
        <v>98591</v>
      </c>
      <c r="AW52" s="31" t="s">
        <v>165</v>
      </c>
      <c r="AX52" s="31" t="s">
        <v>165</v>
      </c>
      <c r="AY52" s="31" t="s">
        <v>165</v>
      </c>
      <c r="AZ52" s="31">
        <v>81491</v>
      </c>
      <c r="BA52" s="31" t="s">
        <v>165</v>
      </c>
      <c r="BB52" s="31">
        <v>71035.471000000005</v>
      </c>
      <c r="BC52" s="31">
        <v>71319.502999999997</v>
      </c>
      <c r="BD52" s="31">
        <v>72429.478000000003</v>
      </c>
      <c r="BE52" s="31">
        <v>64122.389000000003</v>
      </c>
      <c r="BF52" s="31">
        <v>63820.862000000001</v>
      </c>
      <c r="BG52" s="31">
        <v>63545.56</v>
      </c>
      <c r="BH52" s="31">
        <v>59070.035000000003</v>
      </c>
      <c r="BI52" s="31">
        <v>48929.824000000001</v>
      </c>
      <c r="BJ52" s="31">
        <v>40928.533000000003</v>
      </c>
      <c r="BK52" s="31">
        <v>39706.650999999998</v>
      </c>
      <c r="BL52" s="31">
        <v>37499.063999999998</v>
      </c>
      <c r="BM52" s="31">
        <v>28266.031999999999</v>
      </c>
      <c r="BN52" s="31">
        <v>26417.865000000002</v>
      </c>
      <c r="BO52" s="31">
        <v>23624.811000000002</v>
      </c>
      <c r="BP52" s="31">
        <v>22217.226999999999</v>
      </c>
      <c r="BQ52" s="31">
        <v>19605.292000000001</v>
      </c>
      <c r="BR52" s="31">
        <v>16749.550999999999</v>
      </c>
      <c r="BS52" s="31">
        <v>14090.977999999999</v>
      </c>
      <c r="BT52" s="31">
        <v>13935.124</v>
      </c>
      <c r="BU52" s="31">
        <v>10192.313</v>
      </c>
      <c r="BV52" s="31">
        <v>9752.8310000000001</v>
      </c>
      <c r="BW52" s="31">
        <v>8742.6209999999992</v>
      </c>
      <c r="BX52" s="31">
        <v>8402.5120000000006</v>
      </c>
      <c r="BY52" s="31">
        <v>10828.306</v>
      </c>
      <c r="BZ52" s="31">
        <v>9871.4709999999995</v>
      </c>
      <c r="CA52" s="31">
        <v>8840.2759999999998</v>
      </c>
      <c r="CB52" s="31">
        <v>4565.68</v>
      </c>
      <c r="CC52" s="31">
        <v>52.244</v>
      </c>
      <c r="CD52" s="31">
        <v>34.231999999999999</v>
      </c>
      <c r="CE52" s="31">
        <v>21.212</v>
      </c>
      <c r="CG52" s="15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</row>
    <row r="53" spans="1:106" outlineLevel="3" x14ac:dyDescent="0.2">
      <c r="A53" s="14">
        <v>1</v>
      </c>
      <c r="C53" s="9" t="str">
        <f>IF(SUBTOTAL(109,A53)=A53,"            Accumulated Depreciation and Impairment","            Accumulated Depreciation and Impairment")</f>
        <v xml:space="preserve">            Accumulated Depreciation and Impairment</v>
      </c>
      <c r="D53" s="17" t="str">
        <f t="shared" si="8"/>
        <v/>
      </c>
      <c r="E53" s="17" t="str">
        <f t="shared" si="9"/>
        <v/>
      </c>
      <c r="F53" s="17" t="str">
        <f t="shared" si="10"/>
        <v/>
      </c>
      <c r="G53" s="17" t="str">
        <f t="shared" si="11"/>
        <v/>
      </c>
      <c r="H53" s="17" t="str">
        <f t="shared" si="12"/>
        <v/>
      </c>
      <c r="I53" s="17" t="str">
        <f t="shared" si="13"/>
        <v/>
      </c>
      <c r="J53" s="17" t="str">
        <f t="shared" si="14"/>
        <v/>
      </c>
      <c r="K53" s="18" t="str">
        <f t="shared" si="15"/>
        <v/>
      </c>
      <c r="L53" s="21"/>
      <c r="M53" s="21" t="str">
        <f>IF(SUBTOTAL(109,A53)=A53,"",-306350)</f>
        <v/>
      </c>
      <c r="N53" s="21"/>
      <c r="O53" s="21"/>
      <c r="P53" s="21"/>
      <c r="Q53" s="21"/>
      <c r="R53" s="21" t="str">
        <f>IF(SUBTOTAL(109,A53)=A53,"","")</f>
        <v/>
      </c>
      <c r="S53" s="21" t="str">
        <f>IF(SUBTOTAL(109,A53)=A53,"","")</f>
        <v/>
      </c>
      <c r="T53" s="21" t="str">
        <f>IF(SUBTOTAL(109,A53)=A53,"",-170538)</f>
        <v/>
      </c>
      <c r="U53" s="21" t="str">
        <f>IF(SUBTOTAL(109,A53)=A53,"","")</f>
        <v/>
      </c>
      <c r="V53" s="21" t="str">
        <f>IF(SUBTOTAL(109,A53)=A53,"","")</f>
        <v/>
      </c>
      <c r="W53" s="21" t="str">
        <f>IF(SUBTOTAL(109,A53)=A53,"","")</f>
        <v/>
      </c>
      <c r="X53" s="21" t="str">
        <f>IF(SUBTOTAL(109,A53)=A53,"",-142137)</f>
        <v/>
      </c>
      <c r="Y53" s="21" t="str">
        <f>IF(SUBTOTAL(109,A53)=A53,"","")</f>
        <v/>
      </c>
      <c r="Z53" s="21" t="str">
        <f>IF(SUBTOTAL(109,A53)=A53,"","")</f>
        <v/>
      </c>
      <c r="AA53" s="21" t="str">
        <f>IF(SUBTOTAL(109,A53)=A53,"","")</f>
        <v/>
      </c>
      <c r="AB53" s="21" t="str">
        <f>IF(SUBTOTAL(109,A53)=A53,"",-116663)</f>
        <v/>
      </c>
      <c r="AC53" s="21" t="str">
        <f>IF(SUBTOTAL(109,A53)=A53,"","")</f>
        <v/>
      </c>
      <c r="AD53" s="21" t="str">
        <f>IF(SUBTOTAL(109,A53)=A53,"","")</f>
        <v/>
      </c>
      <c r="AE53" s="21" t="str">
        <f>IF(SUBTOTAL(109,A53)=A53,"","")</f>
        <v/>
      </c>
      <c r="AF53" s="21" t="str">
        <f>IF(SUBTOTAL(109,A53)=A53,"",-93138)</f>
        <v/>
      </c>
      <c r="AG53" s="21" t="str">
        <f>IF(SUBTOTAL(109,A53)=A53,"","")</f>
        <v/>
      </c>
      <c r="AH53" s="21" t="str">
        <f>IF(SUBTOTAL(109,A53)=A53,"","")</f>
        <v/>
      </c>
      <c r="AI53" s="21" t="str">
        <f>IF(SUBTOTAL(109,A53)=A53,"","")</f>
        <v/>
      </c>
      <c r="AJ53" s="21" t="str">
        <f>IF(SUBTOTAL(109,A53)=A53,"",-75985)</f>
        <v/>
      </c>
      <c r="AK53" s="21" t="str">
        <f>IF(SUBTOTAL(109,A53)=A53,"","")</f>
        <v/>
      </c>
      <c r="AL53" s="21" t="str">
        <f>IF(SUBTOTAL(109,A53)=A53,"","")</f>
        <v/>
      </c>
      <c r="AM53" s="21" t="str">
        <f>IF(SUBTOTAL(109,A53)=A53,"","")</f>
        <v/>
      </c>
      <c r="AN53" s="21" t="str">
        <f>IF(SUBTOTAL(109,A53)=A53,"",-60852)</f>
        <v/>
      </c>
      <c r="AO53" s="21" t="str">
        <f>IF(SUBTOTAL(109,A53)=A53,"","")</f>
        <v/>
      </c>
      <c r="AP53" s="21" t="str">
        <f>IF(SUBTOTAL(109,A53)=A53,"","")</f>
        <v/>
      </c>
      <c r="AQ53" s="21" t="str">
        <f>IF(SUBTOTAL(109,A53)=A53,"","")</f>
        <v/>
      </c>
      <c r="AR53" s="21" t="str">
        <f>IF(SUBTOTAL(109,A53)=A53,"",-51462)</f>
        <v/>
      </c>
      <c r="AS53" s="21" t="str">
        <f>IF(SUBTOTAL(109,A53)=A53,"","")</f>
        <v/>
      </c>
      <c r="AT53" s="21" t="str">
        <f>IF(SUBTOTAL(109,A53)=A53,"","")</f>
        <v/>
      </c>
      <c r="AU53" s="21" t="str">
        <f>IF(SUBTOTAL(109,A53)=A53,"","")</f>
        <v/>
      </c>
      <c r="AV53" s="21" t="str">
        <f>IF(SUBTOTAL(109,A53)=A53,"",-39873)</f>
        <v/>
      </c>
      <c r="AW53" s="21" t="str">
        <f>IF(SUBTOTAL(109,A53)=A53,"","")</f>
        <v/>
      </c>
      <c r="AX53" s="21" t="str">
        <f>IF(SUBTOTAL(109,A53)=A53,"","")</f>
        <v/>
      </c>
      <c r="AY53" s="21" t="str">
        <f>IF(SUBTOTAL(109,A53)=A53,"","")</f>
        <v/>
      </c>
      <c r="AZ53" s="21" t="str">
        <f>IF(SUBTOTAL(109,A53)=A53,"",-30356)</f>
        <v/>
      </c>
      <c r="BA53" s="21" t="str">
        <f>IF(SUBTOTAL(109,A53)=A53,"","")</f>
        <v/>
      </c>
      <c r="BB53" s="21" t="str">
        <f>IF(SUBTOTAL(109,A53)=A53,"",-21786.525)</f>
        <v/>
      </c>
      <c r="BC53" s="21" t="str">
        <f>IF(SUBTOTAL(109,A53)=A53,"",-21786.525)</f>
        <v/>
      </c>
      <c r="BD53" s="21" t="str">
        <f>IF(SUBTOTAL(109,A53)=A53,"",-21786.525)</f>
        <v/>
      </c>
      <c r="BE53" s="21" t="str">
        <f>IF(SUBTOTAL(109,A53)=A53,"",-14645.736)</f>
        <v/>
      </c>
      <c r="BF53" s="21" t="str">
        <f>IF(SUBTOTAL(109,A53)=A53,"",-14645.736)</f>
        <v/>
      </c>
      <c r="BG53" s="21" t="str">
        <f>IF(SUBTOTAL(109,A53)=A53,"",-14645.736)</f>
        <v/>
      </c>
      <c r="BH53" s="21" t="str">
        <f>IF(SUBTOTAL(109,A53)=A53,"",-14645.736)</f>
        <v/>
      </c>
      <c r="BI53" s="21" t="str">
        <f>IF(SUBTOTAL(109,A53)=A53,"",-9317.2)</f>
        <v/>
      </c>
      <c r="BJ53" s="21" t="str">
        <f>IF(SUBTOTAL(109,A53)=A53,"",-9317.2)</f>
        <v/>
      </c>
      <c r="BK53" s="21" t="str">
        <f>IF(SUBTOTAL(109,A53)=A53,"",-9317.2)</f>
        <v/>
      </c>
      <c r="BL53" s="21" t="str">
        <f>IF(SUBTOTAL(109,A53)=A53,"",-9317.2)</f>
        <v/>
      </c>
      <c r="BM53" s="21" t="str">
        <f>IF(SUBTOTAL(109,A53)=A53,"",-5490.866)</f>
        <v/>
      </c>
      <c r="BN53" s="21" t="str">
        <f>IF(SUBTOTAL(109,A53)=A53,"",-5490.866)</f>
        <v/>
      </c>
      <c r="BO53" s="21" t="str">
        <f>IF(SUBTOTAL(109,A53)=A53,"",-5490.866)</f>
        <v/>
      </c>
      <c r="BP53" s="21" t="str">
        <f>IF(SUBTOTAL(109,A53)=A53,"",-5490.866)</f>
        <v/>
      </c>
      <c r="BQ53" s="21" t="str">
        <f>IF(SUBTOTAL(109,A53)=A53,"",-2913.95)</f>
        <v/>
      </c>
      <c r="BR53" s="21" t="str">
        <f>IF(SUBTOTAL(109,A53)=A53,"",-2913.95)</f>
        <v/>
      </c>
      <c r="BS53" s="21" t="str">
        <f>IF(SUBTOTAL(109,A53)=A53,"",-2913.95)</f>
        <v/>
      </c>
      <c r="BT53" s="21" t="str">
        <f>IF(SUBTOTAL(109,A53)=A53,"",-2913.95)</f>
        <v/>
      </c>
      <c r="BU53" s="21" t="str">
        <f>IF(SUBTOTAL(109,A53)=A53,"",-1267.439)</f>
        <v/>
      </c>
      <c r="BV53" s="21" t="str">
        <f>IF(SUBTOTAL(109,A53)=A53,"",-1267.439)</f>
        <v/>
      </c>
      <c r="BW53" s="21" t="str">
        <f>IF(SUBTOTAL(109,A53)=A53,"",-1267.439)</f>
        <v/>
      </c>
      <c r="BX53" s="21" t="str">
        <f>IF(SUBTOTAL(109,A53)=A53,"",-1267.439)</f>
        <v/>
      </c>
      <c r="BY53" s="21" t="str">
        <f>IF(SUBTOTAL(109,A53)=A53,"",-747.623)</f>
        <v/>
      </c>
      <c r="BZ53" s="21" t="str">
        <f>IF(SUBTOTAL(109,A53)=A53,"",-747.623)</f>
        <v/>
      </c>
      <c r="CA53" s="21" t="str">
        <f>IF(SUBTOTAL(109,A53)=A53,"",-747.623)</f>
        <v/>
      </c>
      <c r="CB53" s="21" t="str">
        <f>IF(SUBTOTAL(109,A53)=A53,"",-366.473)</f>
        <v/>
      </c>
      <c r="CC53" s="21" t="str">
        <f>IF(SUBTOTAL(109,A53)=A53,"",-21.012)</f>
        <v/>
      </c>
      <c r="CD53" s="21" t="str">
        <f>IF(SUBTOTAL(109,A53)=A53,"","")</f>
        <v/>
      </c>
      <c r="CE53" s="21" t="str">
        <f>IF(SUBTOTAL(109,A53)=A53,"","")</f>
        <v/>
      </c>
      <c r="CG53" s="15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</row>
    <row r="54" spans="1:106" outlineLevel="4" x14ac:dyDescent="0.2">
      <c r="A54" s="14">
        <v>1</v>
      </c>
      <c r="C54" s="9" t="str">
        <f>"                Accumulated Depreciation"</f>
        <v xml:space="preserve">                Accumulated Depreciation</v>
      </c>
      <c r="D54" s="17">
        <f t="shared" si="8"/>
        <v>-11981.468000000001</v>
      </c>
      <c r="E54" s="17">
        <f t="shared" si="9"/>
        <v>-53433.778404761928</v>
      </c>
      <c r="F54" s="17">
        <f t="shared" si="10"/>
        <v>-306350</v>
      </c>
      <c r="G54" s="17">
        <f t="shared" si="11"/>
        <v>-21.012</v>
      </c>
      <c r="H54" s="17">
        <f t="shared" si="12"/>
        <v>-58504.5</v>
      </c>
      <c r="I54" s="17">
        <f t="shared" si="13"/>
        <v>-2913.95</v>
      </c>
      <c r="J54" s="17">
        <f t="shared" si="14"/>
        <v>84679.359942833486</v>
      </c>
      <c r="K54" s="18">
        <f t="shared" si="15"/>
        <v>-1.584753361467079</v>
      </c>
      <c r="L54" s="21"/>
      <c r="M54" s="21">
        <v>-306350</v>
      </c>
      <c r="N54" s="134">
        <v>-277862</v>
      </c>
      <c r="O54" s="134">
        <v>-249621</v>
      </c>
      <c r="P54" s="134">
        <v>-228306</v>
      </c>
      <c r="Q54" s="134">
        <v>-198545</v>
      </c>
      <c r="R54" s="21" t="s">
        <v>165</v>
      </c>
      <c r="S54" s="21" t="s">
        <v>165</v>
      </c>
      <c r="T54" s="21">
        <v>-170538</v>
      </c>
      <c r="U54" s="21" t="s">
        <v>165</v>
      </c>
      <c r="V54" s="21" t="s">
        <v>165</v>
      </c>
      <c r="W54" s="21" t="s">
        <v>165</v>
      </c>
      <c r="X54" s="21">
        <v>-142137</v>
      </c>
      <c r="Y54" s="21" t="s">
        <v>165</v>
      </c>
      <c r="Z54" s="21" t="s">
        <v>165</v>
      </c>
      <c r="AA54" s="21" t="s">
        <v>165</v>
      </c>
      <c r="AB54" s="21">
        <v>-116663</v>
      </c>
      <c r="AC54" s="21" t="s">
        <v>165</v>
      </c>
      <c r="AD54" s="21" t="s">
        <v>165</v>
      </c>
      <c r="AE54" s="21" t="s">
        <v>165</v>
      </c>
      <c r="AF54" s="21">
        <v>-93138</v>
      </c>
      <c r="AG54" s="21" t="s">
        <v>165</v>
      </c>
      <c r="AH54" s="21" t="s">
        <v>165</v>
      </c>
      <c r="AI54" s="21" t="s">
        <v>165</v>
      </c>
      <c r="AJ54" s="21">
        <v>-75985</v>
      </c>
      <c r="AK54" s="21" t="s">
        <v>165</v>
      </c>
      <c r="AL54" s="21" t="s">
        <v>165</v>
      </c>
      <c r="AM54" s="21" t="s">
        <v>165</v>
      </c>
      <c r="AN54" s="21">
        <v>-60852</v>
      </c>
      <c r="AO54" s="21" t="s">
        <v>165</v>
      </c>
      <c r="AP54" s="21" t="s">
        <v>165</v>
      </c>
      <c r="AQ54" s="21" t="s">
        <v>165</v>
      </c>
      <c r="AR54" s="21">
        <v>-51462</v>
      </c>
      <c r="AS54" s="21" t="s">
        <v>165</v>
      </c>
      <c r="AT54" s="21" t="s">
        <v>165</v>
      </c>
      <c r="AU54" s="21" t="s">
        <v>165</v>
      </c>
      <c r="AV54" s="21">
        <v>-39873</v>
      </c>
      <c r="AW54" s="21" t="s">
        <v>165</v>
      </c>
      <c r="AX54" s="21" t="s">
        <v>165</v>
      </c>
      <c r="AY54" s="21" t="s">
        <v>165</v>
      </c>
      <c r="AZ54" s="21">
        <v>-30356</v>
      </c>
      <c r="BA54" s="21" t="s">
        <v>165</v>
      </c>
      <c r="BB54" s="21">
        <v>-21786.525000000001</v>
      </c>
      <c r="BC54" s="21">
        <v>-21786.525000000001</v>
      </c>
      <c r="BD54" s="21">
        <v>-21786.525000000001</v>
      </c>
      <c r="BE54" s="21">
        <v>-14645.736000000001</v>
      </c>
      <c r="BF54" s="21">
        <v>-14645.736000000001</v>
      </c>
      <c r="BG54" s="21">
        <v>-14645.736000000001</v>
      </c>
      <c r="BH54" s="21">
        <v>-14645.736000000001</v>
      </c>
      <c r="BI54" s="21">
        <v>-9317.2000000000007</v>
      </c>
      <c r="BJ54" s="21">
        <v>-9317.2000000000007</v>
      </c>
      <c r="BK54" s="21">
        <v>-9317.2000000000007</v>
      </c>
      <c r="BL54" s="21">
        <v>-9317.2000000000007</v>
      </c>
      <c r="BM54" s="21">
        <v>-5490.866</v>
      </c>
      <c r="BN54" s="21">
        <v>-5490.866</v>
      </c>
      <c r="BO54" s="21">
        <v>-5490.866</v>
      </c>
      <c r="BP54" s="21">
        <v>-5490.866</v>
      </c>
      <c r="BQ54" s="21">
        <v>-2913.95</v>
      </c>
      <c r="BR54" s="21">
        <v>-2913.95</v>
      </c>
      <c r="BS54" s="21">
        <v>-2913.95</v>
      </c>
      <c r="BT54" s="21">
        <v>-2913.95</v>
      </c>
      <c r="BU54" s="21">
        <v>-1267.4390000000001</v>
      </c>
      <c r="BV54" s="21">
        <v>-1267.4390000000001</v>
      </c>
      <c r="BW54" s="21">
        <v>-1267.4390000000001</v>
      </c>
      <c r="BX54" s="21">
        <v>-1267.4390000000001</v>
      </c>
      <c r="BY54" s="21">
        <v>-747.62300000000005</v>
      </c>
      <c r="BZ54" s="21">
        <v>-747.62300000000005</v>
      </c>
      <c r="CA54" s="21">
        <v>-747.62300000000005</v>
      </c>
      <c r="CB54" s="21">
        <v>-366.47300000000001</v>
      </c>
      <c r="CC54" s="21">
        <v>-21.012</v>
      </c>
      <c r="CD54" s="21" t="s">
        <v>165</v>
      </c>
      <c r="CE54" s="21" t="s">
        <v>165</v>
      </c>
      <c r="CG54" s="15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</row>
    <row r="55" spans="1:106" outlineLevel="4" x14ac:dyDescent="0.2">
      <c r="A55" s="14">
        <v>1</v>
      </c>
      <c r="C55" s="10" t="str">
        <f>"                Total Accumulated Depreciation and Impairment"</f>
        <v xml:space="preserve">                Total Accumulated Depreciation and Impairment</v>
      </c>
      <c r="D55" s="29">
        <f t="shared" si="8"/>
        <v>-11981.468000000001</v>
      </c>
      <c r="E55" s="29">
        <f t="shared" si="9"/>
        <v>-53433.778404761928</v>
      </c>
      <c r="F55" s="29">
        <f t="shared" si="10"/>
        <v>-306350</v>
      </c>
      <c r="G55" s="29">
        <f t="shared" si="11"/>
        <v>-21.012</v>
      </c>
      <c r="H55" s="29">
        <f t="shared" si="12"/>
        <v>-58504.5</v>
      </c>
      <c r="I55" s="29">
        <f t="shared" si="13"/>
        <v>-2913.95</v>
      </c>
      <c r="J55" s="29">
        <f t="shared" si="14"/>
        <v>84679.359942833486</v>
      </c>
      <c r="K55" s="30">
        <f t="shared" si="15"/>
        <v>-1.584753361467079</v>
      </c>
      <c r="L55" s="31"/>
      <c r="M55" s="31">
        <v>-306350</v>
      </c>
      <c r="N55" s="133">
        <v>-277862</v>
      </c>
      <c r="O55" s="133">
        <v>-249621</v>
      </c>
      <c r="P55" s="133">
        <v>-228306</v>
      </c>
      <c r="Q55" s="133">
        <v>-198545</v>
      </c>
      <c r="R55" s="31" t="s">
        <v>165</v>
      </c>
      <c r="S55" s="31" t="s">
        <v>165</v>
      </c>
      <c r="T55" s="31">
        <v>-170538</v>
      </c>
      <c r="U55" s="31" t="s">
        <v>165</v>
      </c>
      <c r="V55" s="31" t="s">
        <v>165</v>
      </c>
      <c r="W55" s="31" t="s">
        <v>165</v>
      </c>
      <c r="X55" s="31">
        <v>-142137</v>
      </c>
      <c r="Y55" s="31" t="s">
        <v>165</v>
      </c>
      <c r="Z55" s="31" t="s">
        <v>165</v>
      </c>
      <c r="AA55" s="31" t="s">
        <v>165</v>
      </c>
      <c r="AB55" s="31">
        <v>-116663</v>
      </c>
      <c r="AC55" s="31" t="s">
        <v>165</v>
      </c>
      <c r="AD55" s="31" t="s">
        <v>165</v>
      </c>
      <c r="AE55" s="31" t="s">
        <v>165</v>
      </c>
      <c r="AF55" s="31">
        <v>-93138</v>
      </c>
      <c r="AG55" s="31" t="s">
        <v>165</v>
      </c>
      <c r="AH55" s="31" t="s">
        <v>165</v>
      </c>
      <c r="AI55" s="31" t="s">
        <v>165</v>
      </c>
      <c r="AJ55" s="31">
        <v>-75985</v>
      </c>
      <c r="AK55" s="31" t="s">
        <v>165</v>
      </c>
      <c r="AL55" s="31" t="s">
        <v>165</v>
      </c>
      <c r="AM55" s="31" t="s">
        <v>165</v>
      </c>
      <c r="AN55" s="31">
        <v>-60852</v>
      </c>
      <c r="AO55" s="31" t="s">
        <v>165</v>
      </c>
      <c r="AP55" s="31" t="s">
        <v>165</v>
      </c>
      <c r="AQ55" s="31" t="s">
        <v>165</v>
      </c>
      <c r="AR55" s="31">
        <v>-51462</v>
      </c>
      <c r="AS55" s="31" t="s">
        <v>165</v>
      </c>
      <c r="AT55" s="31" t="s">
        <v>165</v>
      </c>
      <c r="AU55" s="31" t="s">
        <v>165</v>
      </c>
      <c r="AV55" s="31">
        <v>-39873</v>
      </c>
      <c r="AW55" s="31" t="s">
        <v>165</v>
      </c>
      <c r="AX55" s="31" t="s">
        <v>165</v>
      </c>
      <c r="AY55" s="31" t="s">
        <v>165</v>
      </c>
      <c r="AZ55" s="31">
        <v>-30356</v>
      </c>
      <c r="BA55" s="31" t="s">
        <v>165</v>
      </c>
      <c r="BB55" s="31">
        <v>-21786.525000000001</v>
      </c>
      <c r="BC55" s="31">
        <v>-21786.525000000001</v>
      </c>
      <c r="BD55" s="31">
        <v>-21786.525000000001</v>
      </c>
      <c r="BE55" s="31">
        <v>-14645.736000000001</v>
      </c>
      <c r="BF55" s="31">
        <v>-14645.736000000001</v>
      </c>
      <c r="BG55" s="31">
        <v>-14645.736000000001</v>
      </c>
      <c r="BH55" s="31">
        <v>-14645.736000000001</v>
      </c>
      <c r="BI55" s="31">
        <v>-9317.2000000000007</v>
      </c>
      <c r="BJ55" s="31">
        <v>-9317.2000000000007</v>
      </c>
      <c r="BK55" s="31">
        <v>-9317.2000000000007</v>
      </c>
      <c r="BL55" s="31">
        <v>-9317.2000000000007</v>
      </c>
      <c r="BM55" s="31">
        <v>-5490.866</v>
      </c>
      <c r="BN55" s="31">
        <v>-5490.866</v>
      </c>
      <c r="BO55" s="31">
        <v>-5490.866</v>
      </c>
      <c r="BP55" s="31">
        <v>-5490.866</v>
      </c>
      <c r="BQ55" s="31">
        <v>-2913.95</v>
      </c>
      <c r="BR55" s="31">
        <v>-2913.95</v>
      </c>
      <c r="BS55" s="31">
        <v>-2913.95</v>
      </c>
      <c r="BT55" s="31">
        <v>-2913.95</v>
      </c>
      <c r="BU55" s="31">
        <v>-1267.4390000000001</v>
      </c>
      <c r="BV55" s="31">
        <v>-1267.4390000000001</v>
      </c>
      <c r="BW55" s="31">
        <v>-1267.4390000000001</v>
      </c>
      <c r="BX55" s="31">
        <v>-1267.4390000000001</v>
      </c>
      <c r="BY55" s="31">
        <v>-747.62300000000005</v>
      </c>
      <c r="BZ55" s="31">
        <v>-747.62300000000005</v>
      </c>
      <c r="CA55" s="31">
        <v>-747.62300000000005</v>
      </c>
      <c r="CB55" s="31">
        <v>-366.47300000000001</v>
      </c>
      <c r="CC55" s="31">
        <v>-21.012</v>
      </c>
      <c r="CD55" s="31" t="s">
        <v>165</v>
      </c>
      <c r="CE55" s="31" t="s">
        <v>165</v>
      </c>
      <c r="CG55" s="15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</row>
    <row r="56" spans="1:106" outlineLevel="3" x14ac:dyDescent="0.2">
      <c r="A56" s="14">
        <v>1</v>
      </c>
      <c r="C56" s="10" t="str">
        <f>"            Total Net Property, Plant and Equipment"</f>
        <v xml:space="preserve">            Total Net Property, Plant and Equipment</v>
      </c>
      <c r="D56" s="29">
        <f t="shared" si="8"/>
        <v>56250</v>
      </c>
      <c r="E56" s="29">
        <f t="shared" si="9"/>
        <v>69581.652394366203</v>
      </c>
      <c r="F56" s="29">
        <f t="shared" si="10"/>
        <v>21.212</v>
      </c>
      <c r="G56" s="29">
        <f t="shared" si="11"/>
        <v>178392.5</v>
      </c>
      <c r="H56" s="29">
        <f t="shared" si="12"/>
        <v>21851.0825</v>
      </c>
      <c r="I56" s="29">
        <f t="shared" si="13"/>
        <v>133714.5</v>
      </c>
      <c r="J56" s="29">
        <f t="shared" si="14"/>
        <v>52636.678229003926</v>
      </c>
      <c r="K56" s="30">
        <f t="shared" si="15"/>
        <v>0.75647353027312902</v>
      </c>
      <c r="L56" s="31"/>
      <c r="M56" s="31">
        <v>135591</v>
      </c>
      <c r="N56" s="31">
        <v>140892</v>
      </c>
      <c r="O56" s="31">
        <v>154193</v>
      </c>
      <c r="P56" s="31">
        <v>178392.5</v>
      </c>
      <c r="Q56" s="31">
        <v>166282.25</v>
      </c>
      <c r="R56" s="31">
        <v>143774</v>
      </c>
      <c r="S56" s="31">
        <v>145922</v>
      </c>
      <c r="T56" s="31">
        <v>149685</v>
      </c>
      <c r="U56" s="31">
        <v>151645</v>
      </c>
      <c r="V56" s="31">
        <v>151499</v>
      </c>
      <c r="W56" s="31">
        <v>145254</v>
      </c>
      <c r="X56" s="31">
        <v>135405</v>
      </c>
      <c r="Y56" s="31">
        <v>136202</v>
      </c>
      <c r="Z56" s="31">
        <v>138396</v>
      </c>
      <c r="AA56" s="31">
        <v>134184</v>
      </c>
      <c r="AB56" s="31">
        <v>133844</v>
      </c>
      <c r="AC56" s="31">
        <v>135478</v>
      </c>
      <c r="AD56" s="31">
        <v>134027</v>
      </c>
      <c r="AE56" s="31">
        <v>133585</v>
      </c>
      <c r="AF56" s="31">
        <v>120440</v>
      </c>
      <c r="AG56" s="31">
        <v>108740</v>
      </c>
      <c r="AH56" s="31">
        <v>103093</v>
      </c>
      <c r="AI56" s="31">
        <v>93876</v>
      </c>
      <c r="AJ56" s="31">
        <v>86382</v>
      </c>
      <c r="AK56" s="31">
        <v>77807</v>
      </c>
      <c r="AL56" s="31">
        <v>68954</v>
      </c>
      <c r="AM56" s="31">
        <v>63190</v>
      </c>
      <c r="AN56" s="31">
        <v>60528</v>
      </c>
      <c r="AO56" s="31">
        <v>62251</v>
      </c>
      <c r="AP56" s="31">
        <v>64934</v>
      </c>
      <c r="AQ56" s="31">
        <v>63470</v>
      </c>
      <c r="AR56" s="31">
        <v>62390</v>
      </c>
      <c r="AS56" s="31">
        <v>56250</v>
      </c>
      <c r="AT56" s="31">
        <v>57456</v>
      </c>
      <c r="AU56" s="31">
        <v>58034</v>
      </c>
      <c r="AV56" s="31">
        <v>58718</v>
      </c>
      <c r="AW56" s="31">
        <v>55713</v>
      </c>
      <c r="AX56" s="31">
        <v>54356</v>
      </c>
      <c r="AY56" s="31">
        <v>53826</v>
      </c>
      <c r="AZ56" s="31">
        <v>51135</v>
      </c>
      <c r="BA56" s="31">
        <v>48416.315000000002</v>
      </c>
      <c r="BB56" s="31">
        <v>49248.946000000004</v>
      </c>
      <c r="BC56" s="31">
        <v>49532.978000000003</v>
      </c>
      <c r="BD56" s="31">
        <v>50642.953000000001</v>
      </c>
      <c r="BE56" s="31">
        <v>49476.652999999998</v>
      </c>
      <c r="BF56" s="31">
        <v>49175.125999999997</v>
      </c>
      <c r="BG56" s="31">
        <v>48899.824000000001</v>
      </c>
      <c r="BH56" s="31">
        <v>44424.298999999999</v>
      </c>
      <c r="BI56" s="31">
        <v>39612.624000000003</v>
      </c>
      <c r="BJ56" s="31">
        <v>31611.332999999999</v>
      </c>
      <c r="BK56" s="31">
        <v>30389.451000000001</v>
      </c>
      <c r="BL56" s="31">
        <v>28181.864000000001</v>
      </c>
      <c r="BM56" s="31">
        <v>22775.166000000001</v>
      </c>
      <c r="BN56" s="31">
        <v>20926.999</v>
      </c>
      <c r="BO56" s="31">
        <v>18133.945</v>
      </c>
      <c r="BP56" s="31">
        <v>16726.361000000001</v>
      </c>
      <c r="BQ56" s="31">
        <v>16691.342000000001</v>
      </c>
      <c r="BR56" s="31">
        <v>13835.601000000001</v>
      </c>
      <c r="BS56" s="31">
        <v>11177.028</v>
      </c>
      <c r="BT56" s="31">
        <v>11021.174000000001</v>
      </c>
      <c r="BU56" s="31">
        <v>8924.8739999999998</v>
      </c>
      <c r="BV56" s="31">
        <v>8485.3919999999998</v>
      </c>
      <c r="BW56" s="31">
        <v>7475.1819999999998</v>
      </c>
      <c r="BX56" s="31">
        <v>7135.0730000000003</v>
      </c>
      <c r="BY56" s="31">
        <v>10080.683000000001</v>
      </c>
      <c r="BZ56" s="31">
        <v>9123.848</v>
      </c>
      <c r="CA56" s="31">
        <v>8092.6530000000002</v>
      </c>
      <c r="CB56" s="31">
        <v>4199.2070000000003</v>
      </c>
      <c r="CC56" s="31">
        <v>31.231999999999999</v>
      </c>
      <c r="CD56" s="31">
        <v>34.231999999999999</v>
      </c>
      <c r="CE56" s="31">
        <v>21.212</v>
      </c>
      <c r="CG56" s="15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</row>
    <row r="57" spans="1:106" outlineLevel="2" x14ac:dyDescent="0.2">
      <c r="A57" s="14">
        <v>1</v>
      </c>
      <c r="C57" s="9" t="str">
        <f>IF(SUBTOTAL(109,A57)=A57,"        Net Intangible Assets","        Net Intangible Assets")</f>
        <v xml:space="preserve">        Net Intangible Assets</v>
      </c>
      <c r="D57" s="17" t="str">
        <f t="shared" si="8"/>
        <v/>
      </c>
      <c r="E57" s="17" t="str">
        <f t="shared" si="9"/>
        <v/>
      </c>
      <c r="F57" s="17" t="str">
        <f t="shared" si="10"/>
        <v/>
      </c>
      <c r="G57" s="17" t="str">
        <f t="shared" si="11"/>
        <v/>
      </c>
      <c r="H57" s="17" t="str">
        <f t="shared" si="12"/>
        <v/>
      </c>
      <c r="I57" s="17" t="str">
        <f t="shared" si="13"/>
        <v/>
      </c>
      <c r="J57" s="17" t="str">
        <f t="shared" si="14"/>
        <v/>
      </c>
      <c r="K57" s="18" t="str">
        <f t="shared" si="15"/>
        <v/>
      </c>
      <c r="L57" s="21"/>
      <c r="M57" s="21" t="str">
        <f>IF(SUBTOTAL(109,A57)=A57,"",22632)</f>
        <v/>
      </c>
      <c r="N57" s="21"/>
      <c r="O57" s="21"/>
      <c r="P57" s="21"/>
      <c r="Q57" s="21"/>
      <c r="R57" s="21" t="str">
        <f>IF(SUBTOTAL(109,A57)=A57,"",314517)</f>
        <v/>
      </c>
      <c r="S57" s="21" t="str">
        <f>IF(SUBTOTAL(109,A57)=A57,"",304778)</f>
        <v/>
      </c>
      <c r="T57" s="21" t="str">
        <f>IF(SUBTOTAL(109,A57)=A57,"",310334)</f>
        <v/>
      </c>
      <c r="U57" s="21" t="str">
        <f>IF(SUBTOTAL(109,A57)=A57,"",315874)</f>
        <v/>
      </c>
      <c r="V57" s="21" t="str">
        <f>IF(SUBTOTAL(109,A57)=A57,"",296402)</f>
        <v/>
      </c>
      <c r="W57" s="21" t="str">
        <f>IF(SUBTOTAL(109,A57)=A57,"",136703)</f>
        <v/>
      </c>
      <c r="X57" s="21" t="str">
        <f>IF(SUBTOTAL(109,A57)=A57,"",139281)</f>
        <v/>
      </c>
      <c r="Y57" s="21" t="str">
        <f>IF(SUBTOTAL(109,A57)=A57,"",141178)</f>
        <v/>
      </c>
      <c r="Z57" s="21" t="str">
        <f>IF(SUBTOTAL(109,A57)=A57,"",143860)</f>
        <v/>
      </c>
      <c r="AA57" s="21" t="str">
        <f>IF(SUBTOTAL(109,A57)=A57,"",146593)</f>
        <v/>
      </c>
      <c r="AB57" s="21" t="str">
        <f>IF(SUBTOTAL(109,A57)=A57,"",149194)</f>
        <v/>
      </c>
      <c r="AC57" s="21" t="str">
        <f>IF(SUBTOTAL(109,A57)=A57,"",152117)</f>
        <v/>
      </c>
      <c r="AD57" s="21" t="str">
        <f>IF(SUBTOTAL(109,A57)=A57,"",18001)</f>
        <v/>
      </c>
      <c r="AE57" s="21" t="str">
        <f>IF(SUBTOTAL(109,A57)=A57,"",18272)</f>
        <v/>
      </c>
      <c r="AF57" s="21" t="str">
        <f>IF(SUBTOTAL(109,A57)=A57,"",3425)</f>
        <v/>
      </c>
      <c r="AG57" s="21" t="str">
        <f>IF(SUBTOTAL(109,A57)=A57,"",3511)</f>
        <v/>
      </c>
      <c r="AH57" s="21" t="str">
        <f>IF(SUBTOTAL(109,A57)=A57,"",3631)</f>
        <v/>
      </c>
      <c r="AI57" s="21" t="str">
        <f>IF(SUBTOTAL(109,A57)=A57,"",3759)</f>
        <v/>
      </c>
      <c r="AJ57" s="21" t="str">
        <f>IF(SUBTOTAL(109,A57)=A57,"",3965)</f>
        <v/>
      </c>
      <c r="AK57" s="21" t="str">
        <f>IF(SUBTOTAL(109,A57)=A57,"",4075)</f>
        <v/>
      </c>
      <c r="AL57" s="21" t="str">
        <f>IF(SUBTOTAL(109,A57)=A57,"",4225)</f>
        <v/>
      </c>
      <c r="AM57" s="21" t="str">
        <f>IF(SUBTOTAL(109,A57)=A57,"",4374)</f>
        <v/>
      </c>
      <c r="AN57" s="21" t="str">
        <f>IF(SUBTOTAL(109,A57)=A57,"",4532)</f>
        <v/>
      </c>
      <c r="AO57" s="21" t="str">
        <f>IF(SUBTOTAL(109,A57)=A57,"",8045)</f>
        <v/>
      </c>
      <c r="AP57" s="21" t="str">
        <f>IF(SUBTOTAL(109,A57)=A57,"",8239)</f>
        <v/>
      </c>
      <c r="AQ57" s="21" t="str">
        <f>IF(SUBTOTAL(109,A57)=A57,"",8437)</f>
        <v/>
      </c>
      <c r="AR57" s="21" t="str">
        <f>IF(SUBTOTAL(109,A57)=A57,"",8692)</f>
        <v/>
      </c>
      <c r="AS57" s="21" t="str">
        <f>IF(SUBTOTAL(109,A57)=A57,"",8859)</f>
        <v/>
      </c>
      <c r="AT57" s="21" t="str">
        <f>IF(SUBTOTAL(109,A57)=A57,"",60079)</f>
        <v/>
      </c>
      <c r="AU57" s="21" t="str">
        <f>IF(SUBTOTAL(109,A57)=A57,"",99881)</f>
        <v/>
      </c>
      <c r="AV57" s="21" t="str">
        <f>IF(SUBTOTAL(109,A57)=A57,"",100084)</f>
        <v/>
      </c>
      <c r="AW57" s="21" t="str">
        <f>IF(SUBTOTAL(109,A57)=A57,"",96714)</f>
        <v/>
      </c>
      <c r="AX57" s="21" t="str">
        <f>IF(SUBTOTAL(109,A57)=A57,"",97817)</f>
        <v/>
      </c>
      <c r="AY57" s="21" t="str">
        <f>IF(SUBTOTAL(109,A57)=A57,"",98734)</f>
        <v/>
      </c>
      <c r="AZ57" s="21" t="str">
        <f>IF(SUBTOTAL(109,A57)=A57,"",5940)</f>
        <v/>
      </c>
      <c r="BA57" s="21" t="str">
        <f>IF(SUBTOTAL(109,A57)=A57,"",6083.121)</f>
        <v/>
      </c>
      <c r="BB57" s="21" t="str">
        <f>IF(SUBTOTAL(109,A57)=A57,"",6293.61)</f>
        <v/>
      </c>
      <c r="BC57" s="21" t="str">
        <f>IF(SUBTOTAL(109,A57)=A57,"",105608.21)</f>
        <v/>
      </c>
      <c r="BD57" s="21" t="str">
        <f>IF(SUBTOTAL(109,A57)=A57,"",106674.158)</f>
        <v/>
      </c>
      <c r="BE57" s="21" t="str">
        <f>IF(SUBTOTAL(109,A57)=A57,"",107494.684)</f>
        <v/>
      </c>
      <c r="BF57" s="21" t="str">
        <f>IF(SUBTOTAL(109,A57)=A57,"",108160.86)</f>
        <v/>
      </c>
      <c r="BG57" s="21" t="str">
        <f>IF(SUBTOTAL(109,A57)=A57,"",109128.23)</f>
        <v/>
      </c>
      <c r="BH57" s="21" t="str">
        <f>IF(SUBTOTAL(109,A57)=A57,"",111503.199)</f>
        <v/>
      </c>
      <c r="BI57" s="21" t="str">
        <f>IF(SUBTOTAL(109,A57)=A57,"",111163.288)</f>
        <v/>
      </c>
      <c r="BJ57" s="21" t="str">
        <f>IF(SUBTOTAL(109,A57)=A57,"",424.505)</f>
        <v/>
      </c>
      <c r="BK57" s="21" t="str">
        <f>IF(SUBTOTAL(109,A57)=A57,"",413.3)</f>
        <v/>
      </c>
      <c r="BL57" s="21" t="str">
        <f>IF(SUBTOTAL(109,A57)=A57,"",406.988)</f>
        <v/>
      </c>
      <c r="BM57" s="21" t="str">
        <f>IF(SUBTOTAL(109,A57)=A57,"",348.53)</f>
        <v/>
      </c>
      <c r="BN57" s="21" t="str">
        <f>IF(SUBTOTAL(109,A57)=A57,"",354.603)</f>
        <v/>
      </c>
      <c r="BO57" s="21" t="str">
        <f>IF(SUBTOTAL(109,A57)=A57,"",358.553)</f>
        <v/>
      </c>
      <c r="BP57" s="21" t="str">
        <f>IF(SUBTOTAL(109,A57)=A57,"",364.908)</f>
        <v/>
      </c>
      <c r="BQ57" s="21" t="str">
        <f>IF(SUBTOTAL(109,A57)=A57,"",325.378)</f>
        <v/>
      </c>
      <c r="BR57" s="21" t="str">
        <f>IF(SUBTOTAL(109,A57)=A57,"",323.118)</f>
        <v/>
      </c>
      <c r="BS57" s="21" t="str">
        <f>IF(SUBTOTAL(109,A57)=A57,"",363.144)</f>
        <v/>
      </c>
      <c r="BT57" s="21" t="str">
        <f>IF(SUBTOTAL(109,A57)=A57,"",351.908)</f>
        <v/>
      </c>
      <c r="BU57" s="21" t="str">
        <f>IF(SUBTOTAL(109,A57)=A57,"",309.153)</f>
        <v/>
      </c>
      <c r="BV57" s="21" t="str">
        <f>IF(SUBTOTAL(109,A57)=A57,"",313.883)</f>
        <v/>
      </c>
      <c r="BW57" s="21" t="str">
        <f>IF(SUBTOTAL(109,A57)=A57,"",316.226)</f>
        <v/>
      </c>
      <c r="BX57" s="21" t="str">
        <f>IF(SUBTOTAL(109,A57)=A57,"",310.333)</f>
        <v/>
      </c>
      <c r="BY57" s="21" t="str">
        <f>IF(SUBTOTAL(109,A57)=A57,"",3304.962)</f>
        <v/>
      </c>
      <c r="BZ57" s="21" t="str">
        <f>IF(SUBTOTAL(109,A57)=A57,"",3350.676)</f>
        <v/>
      </c>
      <c r="CA57" s="21" t="str">
        <f>IF(SUBTOTAL(109,A57)=A57,"",3372.567)</f>
        <v/>
      </c>
      <c r="CB57" s="21" t="str">
        <f>IF(SUBTOTAL(109,A57)=A57,"",986.408)</f>
        <v/>
      </c>
      <c r="CC57" s="21" t="str">
        <f>IF(SUBTOTAL(109,A57)=A57,"",393.748)</f>
        <v/>
      </c>
      <c r="CD57" s="21" t="str">
        <f>IF(SUBTOTAL(109,A57)=A57,"",404.686)</f>
        <v/>
      </c>
      <c r="CE57" s="21" t="str">
        <f>IF(SUBTOTAL(109,A57)=A57,"","")</f>
        <v/>
      </c>
      <c r="CG57" s="15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</row>
    <row r="58" spans="1:106" outlineLevel="3" x14ac:dyDescent="0.2">
      <c r="A58" s="14">
        <v>1</v>
      </c>
      <c r="C58" s="9" t="str">
        <f>IF(SUBTOTAL(109,A58)=A58,"            Gross Goodwill and Other Intangible Assets","            Gross Goodwill and Other Intangible Assets")</f>
        <v xml:space="preserve">            Gross Goodwill and Other Intangible Assets</v>
      </c>
      <c r="D58" s="17" t="str">
        <f t="shared" si="8"/>
        <v/>
      </c>
      <c r="E58" s="17" t="str">
        <f t="shared" si="9"/>
        <v/>
      </c>
      <c r="F58" s="17" t="str">
        <f t="shared" si="10"/>
        <v/>
      </c>
      <c r="G58" s="17" t="str">
        <f t="shared" si="11"/>
        <v/>
      </c>
      <c r="H58" s="17" t="str">
        <f t="shared" si="12"/>
        <v/>
      </c>
      <c r="I58" s="17" t="str">
        <f t="shared" si="13"/>
        <v/>
      </c>
      <c r="J58" s="17" t="str">
        <f t="shared" si="14"/>
        <v/>
      </c>
      <c r="K58" s="18" t="str">
        <f t="shared" si="15"/>
        <v/>
      </c>
      <c r="L58" s="21"/>
      <c r="M58" s="21" t="str">
        <f>IF(SUBTOTAL(109,A58)=A58,"",22632)</f>
        <v/>
      </c>
      <c r="N58" s="21"/>
      <c r="O58" s="21"/>
      <c r="P58" s="21"/>
      <c r="Q58" s="21"/>
      <c r="R58" s="21" t="str">
        <f>IF(SUBTOTAL(109,A58)=A58,"",363237)</f>
        <v/>
      </c>
      <c r="S58" s="21" t="str">
        <f>IF(SUBTOTAL(109,A58)=A58,"",349183)</f>
        <v/>
      </c>
      <c r="T58" s="21" t="str">
        <f>IF(SUBTOTAL(109,A58)=A58,"",349002)</f>
        <v/>
      </c>
      <c r="U58" s="21" t="str">
        <f>IF(SUBTOTAL(109,A58)=A58,"",348693)</f>
        <v/>
      </c>
      <c r="V58" s="21" t="str">
        <f>IF(SUBTOTAL(109,A58)=A58,"",323256)</f>
        <v/>
      </c>
      <c r="W58" s="21" t="str">
        <f>IF(SUBTOTAL(109,A58)=A58,"",157989)</f>
        <v/>
      </c>
      <c r="X58" s="21" t="str">
        <f>IF(SUBTOTAL(109,A58)=A58,"",157856)</f>
        <v/>
      </c>
      <c r="Y58" s="21" t="str">
        <f>IF(SUBTOTAL(109,A58)=A58,"",156916)</f>
        <v/>
      </c>
      <c r="Z58" s="21" t="str">
        <f>IF(SUBTOTAL(109,A58)=A58,"",156776)</f>
        <v/>
      </c>
      <c r="AA58" s="21" t="str">
        <f>IF(SUBTOTAL(109,A58)=A58,"",156692)</f>
        <v/>
      </c>
      <c r="AB58" s="21" t="str">
        <f>IF(SUBTOTAL(109,A58)=A58,"",157144)</f>
        <v/>
      </c>
      <c r="AC58" s="21" t="str">
        <f>IF(SUBTOTAL(109,A58)=A58,"",152117)</f>
        <v/>
      </c>
      <c r="AD58" s="21" t="str">
        <f>IF(SUBTOTAL(109,A58)=A58,"",18001)</f>
        <v/>
      </c>
      <c r="AE58" s="21" t="str">
        <f>IF(SUBTOTAL(109,A58)=A58,"",18272)</f>
        <v/>
      </c>
      <c r="AF58" s="21" t="str">
        <f>IF(SUBTOTAL(109,A58)=A58,"",7028)</f>
        <v/>
      </c>
      <c r="AG58" s="21" t="str">
        <f>IF(SUBTOTAL(109,A58)=A58,"",3511)</f>
        <v/>
      </c>
      <c r="AH58" s="21" t="str">
        <f>IF(SUBTOTAL(109,A58)=A58,"",3631)</f>
        <v/>
      </c>
      <c r="AI58" s="21" t="str">
        <f>IF(SUBTOTAL(109,A58)=A58,"",3759)</f>
        <v/>
      </c>
      <c r="AJ58" s="21" t="str">
        <f>IF(SUBTOTAL(109,A58)=A58,"",7004)</f>
        <v/>
      </c>
      <c r="AK58" s="21" t="str">
        <f>IF(SUBTOTAL(109,A58)=A58,"",4075)</f>
        <v/>
      </c>
      <c r="AL58" s="21" t="str">
        <f>IF(SUBTOTAL(109,A58)=A58,"",4225)</f>
        <v/>
      </c>
      <c r="AM58" s="21" t="str">
        <f>IF(SUBTOTAL(109,A58)=A58,"",4374)</f>
        <v/>
      </c>
      <c r="AN58" s="21" t="str">
        <f>IF(SUBTOTAL(109,A58)=A58,"",6962)</f>
        <v/>
      </c>
      <c r="AO58" s="21" t="str">
        <f>IF(SUBTOTAL(109,A58)=A58,"",10991)</f>
        <v/>
      </c>
      <c r="AP58" s="21" t="str">
        <f>IF(SUBTOTAL(109,A58)=A58,"",10907)</f>
        <v/>
      </c>
      <c r="AQ58" s="21" t="str">
        <f>IF(SUBTOTAL(109,A58)=A58,"",8437)</f>
        <v/>
      </c>
      <c r="AR58" s="21" t="str">
        <f>IF(SUBTOTAL(109,A58)=A58,"",13198)</f>
        <v/>
      </c>
      <c r="AS58" s="21" t="str">
        <f>IF(SUBTOTAL(109,A58)=A58,"",8859)</f>
        <v/>
      </c>
      <c r="AT58" s="21" t="str">
        <f>IF(SUBTOTAL(109,A58)=A58,"",60079)</f>
        <v/>
      </c>
      <c r="AU58" s="21" t="str">
        <f>IF(SUBTOTAL(109,A58)=A58,"",99881)</f>
        <v/>
      </c>
      <c r="AV58" s="21" t="str">
        <f>IF(SUBTOTAL(109,A58)=A58,"",100084)</f>
        <v/>
      </c>
      <c r="AW58" s="21" t="str">
        <f>IF(SUBTOTAL(109,A58)=A58,"",96714)</f>
        <v/>
      </c>
      <c r="AX58" s="21" t="str">
        <f>IF(SUBTOTAL(109,A58)=A58,"",97817)</f>
        <v/>
      </c>
      <c r="AY58" s="21" t="str">
        <f>IF(SUBTOTAL(109,A58)=A58,"",98734)</f>
        <v/>
      </c>
      <c r="AZ58" s="21" t="str">
        <f>IF(SUBTOTAL(109,A58)=A58,"",5940)</f>
        <v/>
      </c>
      <c r="BA58" s="21" t="str">
        <f>IF(SUBTOTAL(109,A58)=A58,"",6083.121)</f>
        <v/>
      </c>
      <c r="BB58" s="21" t="str">
        <f>IF(SUBTOTAL(109,A58)=A58,"",6293.61)</f>
        <v/>
      </c>
      <c r="BC58" s="21" t="str">
        <f>IF(SUBTOTAL(109,A58)=A58,"",105608.21)</f>
        <v/>
      </c>
      <c r="BD58" s="21" t="str">
        <f>IF(SUBTOTAL(109,A58)=A58,"",106674.158)</f>
        <v/>
      </c>
      <c r="BE58" s="21" t="str">
        <f>IF(SUBTOTAL(109,A58)=A58,"",107494.684)</f>
        <v/>
      </c>
      <c r="BF58" s="21" t="str">
        <f>IF(SUBTOTAL(109,A58)=A58,"",108160.86)</f>
        <v/>
      </c>
      <c r="BG58" s="21" t="str">
        <f>IF(SUBTOTAL(109,A58)=A58,"",109128.23)</f>
        <v/>
      </c>
      <c r="BH58" s="21" t="str">
        <f>IF(SUBTOTAL(109,A58)=A58,"",111503.199)</f>
        <v/>
      </c>
      <c r="BI58" s="21" t="str">
        <f>IF(SUBTOTAL(109,A58)=A58,"",111163.288)</f>
        <v/>
      </c>
      <c r="BJ58" s="21" t="str">
        <f>IF(SUBTOTAL(109,A58)=A58,"",424.505)</f>
        <v/>
      </c>
      <c r="BK58" s="21" t="str">
        <f>IF(SUBTOTAL(109,A58)=A58,"",413.3)</f>
        <v/>
      </c>
      <c r="BL58" s="21" t="str">
        <f>IF(SUBTOTAL(109,A58)=A58,"",406.988)</f>
        <v/>
      </c>
      <c r="BM58" s="21" t="str">
        <f>IF(SUBTOTAL(109,A58)=A58,"",348.53)</f>
        <v/>
      </c>
      <c r="BN58" s="21" t="str">
        <f>IF(SUBTOTAL(109,A58)=A58,"",354.603)</f>
        <v/>
      </c>
      <c r="BO58" s="21" t="str">
        <f>IF(SUBTOTAL(109,A58)=A58,"",358.553)</f>
        <v/>
      </c>
      <c r="BP58" s="21" t="str">
        <f>IF(SUBTOTAL(109,A58)=A58,"",364.908)</f>
        <v/>
      </c>
      <c r="BQ58" s="21" t="str">
        <f>IF(SUBTOTAL(109,A58)=A58,"",325.378)</f>
        <v/>
      </c>
      <c r="BR58" s="21" t="str">
        <f>IF(SUBTOTAL(109,A58)=A58,"",323.118)</f>
        <v/>
      </c>
      <c r="BS58" s="21" t="str">
        <f>IF(SUBTOTAL(109,A58)=A58,"",363.144)</f>
        <v/>
      </c>
      <c r="BT58" s="21" t="str">
        <f>IF(SUBTOTAL(109,A58)=A58,"",351.908)</f>
        <v/>
      </c>
      <c r="BU58" s="21" t="str">
        <f>IF(SUBTOTAL(109,A58)=A58,"",309.153)</f>
        <v/>
      </c>
      <c r="BV58" s="21" t="str">
        <f>IF(SUBTOTAL(109,A58)=A58,"",313.883)</f>
        <v/>
      </c>
      <c r="BW58" s="21" t="str">
        <f>IF(SUBTOTAL(109,A58)=A58,"",316.226)</f>
        <v/>
      </c>
      <c r="BX58" s="21" t="str">
        <f>IF(SUBTOTAL(109,A58)=A58,"",310.333)</f>
        <v/>
      </c>
      <c r="BY58" s="21" t="str">
        <f>IF(SUBTOTAL(109,A58)=A58,"",3304.962)</f>
        <v/>
      </c>
      <c r="BZ58" s="21" t="str">
        <f>IF(SUBTOTAL(109,A58)=A58,"",3350.676)</f>
        <v/>
      </c>
      <c r="CA58" s="21" t="str">
        <f>IF(SUBTOTAL(109,A58)=A58,"",3372.567)</f>
        <v/>
      </c>
      <c r="CB58" s="21" t="str">
        <f>IF(SUBTOTAL(109,A58)=A58,"",986.408)</f>
        <v/>
      </c>
      <c r="CC58" s="21" t="str">
        <f>IF(SUBTOTAL(109,A58)=A58,"",393.748)</f>
        <v/>
      </c>
      <c r="CD58" s="21" t="str">
        <f>IF(SUBTOTAL(109,A58)=A58,"",404.686)</f>
        <v/>
      </c>
      <c r="CE58" s="21" t="str">
        <f>IF(SUBTOTAL(109,A58)=A58,"","")</f>
        <v/>
      </c>
      <c r="CG58" s="15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</row>
    <row r="59" spans="1:106" outlineLevel="4" x14ac:dyDescent="0.2">
      <c r="A59" s="14">
        <v>1</v>
      </c>
      <c r="C59" s="9" t="str">
        <f>"                Goodwill"</f>
        <v xml:space="preserve">                Goodwill</v>
      </c>
      <c r="D59" s="17">
        <f t="shared" si="8"/>
        <v>75980</v>
      </c>
      <c r="E59" s="17">
        <f t="shared" si="9"/>
        <v>71522.470054054065</v>
      </c>
      <c r="F59" s="17">
        <f t="shared" si="10"/>
        <v>0</v>
      </c>
      <c r="G59" s="17">
        <f t="shared" si="11"/>
        <v>191368.25</v>
      </c>
      <c r="H59" s="17">
        <f t="shared" si="12"/>
        <v>40608.258999999998</v>
      </c>
      <c r="I59" s="17">
        <f t="shared" si="13"/>
        <v>80545</v>
      </c>
      <c r="J59" s="17">
        <f t="shared" si="14"/>
        <v>58268.854561695327</v>
      </c>
      <c r="K59" s="18">
        <f t="shared" si="15"/>
        <v>0.81469298414411384</v>
      </c>
      <c r="L59" s="21"/>
      <c r="M59" s="21">
        <v>19024</v>
      </c>
      <c r="N59" s="21">
        <v>19024</v>
      </c>
      <c r="O59" s="21">
        <v>75980</v>
      </c>
      <c r="P59" s="21">
        <v>182226</v>
      </c>
      <c r="Q59" s="21">
        <v>191368.25</v>
      </c>
      <c r="R59" s="21">
        <v>191098</v>
      </c>
      <c r="S59" s="21">
        <v>169100</v>
      </c>
      <c r="T59" s="21">
        <v>169017</v>
      </c>
      <c r="U59" s="21">
        <v>168829</v>
      </c>
      <c r="V59" s="21">
        <v>157250</v>
      </c>
      <c r="W59" s="21">
        <v>76357</v>
      </c>
      <c r="X59" s="21">
        <v>76357</v>
      </c>
      <c r="Y59" s="21">
        <v>76164</v>
      </c>
      <c r="Z59" s="21">
        <v>76057</v>
      </c>
      <c r="AA59" s="21">
        <v>76057</v>
      </c>
      <c r="AB59" s="21">
        <v>75426</v>
      </c>
      <c r="AC59" s="21">
        <v>76067</v>
      </c>
      <c r="AD59" s="21">
        <v>14110</v>
      </c>
      <c r="AE59" s="21">
        <v>14013</v>
      </c>
      <c r="AF59" s="21">
        <v>0</v>
      </c>
      <c r="AG59" s="21" t="s">
        <v>165</v>
      </c>
      <c r="AH59" s="21" t="s">
        <v>165</v>
      </c>
      <c r="AI59" s="21" t="s">
        <v>165</v>
      </c>
      <c r="AJ59" s="21" t="s">
        <v>165</v>
      </c>
      <c r="AK59" s="21" t="s">
        <v>165</v>
      </c>
      <c r="AL59" s="21" t="s">
        <v>165</v>
      </c>
      <c r="AM59" s="21" t="s">
        <v>165</v>
      </c>
      <c r="AN59" s="21" t="s">
        <v>165</v>
      </c>
      <c r="AO59" s="21" t="s">
        <v>165</v>
      </c>
      <c r="AP59" s="21" t="s">
        <v>165</v>
      </c>
      <c r="AQ59" s="21" t="s">
        <v>165</v>
      </c>
      <c r="AR59" s="21" t="s">
        <v>165</v>
      </c>
      <c r="AS59" s="21">
        <v>0</v>
      </c>
      <c r="AT59" s="21">
        <v>45270</v>
      </c>
      <c r="AU59" s="21">
        <v>83865</v>
      </c>
      <c r="AV59" s="21">
        <v>83865</v>
      </c>
      <c r="AW59" s="21">
        <v>80507</v>
      </c>
      <c r="AX59" s="21">
        <v>80545</v>
      </c>
      <c r="AY59" s="21">
        <v>79992</v>
      </c>
      <c r="AZ59" s="21">
        <v>0</v>
      </c>
      <c r="BA59" s="21">
        <v>0</v>
      </c>
      <c r="BB59" s="21" t="s">
        <v>165</v>
      </c>
      <c r="BC59" s="21">
        <v>41173.415999999997</v>
      </c>
      <c r="BD59" s="21">
        <v>41173.415999999997</v>
      </c>
      <c r="BE59" s="21">
        <v>41020.156000000003</v>
      </c>
      <c r="BF59" s="21">
        <v>40677.343000000001</v>
      </c>
      <c r="BG59" s="21">
        <v>40608.258999999998</v>
      </c>
      <c r="BH59" s="21">
        <v>41955.182000000001</v>
      </c>
      <c r="BI59" s="21">
        <v>41750.684000000001</v>
      </c>
      <c r="BJ59" s="21" t="s">
        <v>165</v>
      </c>
      <c r="BK59" s="21" t="s">
        <v>165</v>
      </c>
      <c r="BL59" s="21" t="s">
        <v>165</v>
      </c>
      <c r="BM59" s="21" t="s">
        <v>165</v>
      </c>
      <c r="BN59" s="21" t="s">
        <v>165</v>
      </c>
      <c r="BO59" s="21" t="s">
        <v>165</v>
      </c>
      <c r="BP59" s="21" t="s">
        <v>165</v>
      </c>
      <c r="BQ59" s="21" t="s">
        <v>165</v>
      </c>
      <c r="BR59" s="21" t="s">
        <v>165</v>
      </c>
      <c r="BS59" s="21" t="s">
        <v>165</v>
      </c>
      <c r="BT59" s="21" t="s">
        <v>165</v>
      </c>
      <c r="BU59" s="21" t="s">
        <v>165</v>
      </c>
      <c r="BV59" s="21" t="s">
        <v>165</v>
      </c>
      <c r="BW59" s="21" t="s">
        <v>165</v>
      </c>
      <c r="BX59" s="21" t="s">
        <v>165</v>
      </c>
      <c r="BY59" s="21" t="s">
        <v>165</v>
      </c>
      <c r="BZ59" s="21" t="s">
        <v>165</v>
      </c>
      <c r="CA59" s="21" t="s">
        <v>165</v>
      </c>
      <c r="CB59" s="21" t="s">
        <v>165</v>
      </c>
      <c r="CC59" s="21" t="s">
        <v>165</v>
      </c>
      <c r="CD59" s="21">
        <v>404.68599999999998</v>
      </c>
      <c r="CE59" s="21" t="s">
        <v>165</v>
      </c>
      <c r="CG59" s="15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</row>
    <row r="60" spans="1:106" outlineLevel="4" x14ac:dyDescent="0.2">
      <c r="A60" s="14">
        <v>1</v>
      </c>
      <c r="C60" s="9" t="str">
        <f>IF(SUBTOTAL(109,A60)=A60,"                Intangibles other than Goodwill","                Intangibles other than Goodwill")</f>
        <v xml:space="preserve">                Intangibles other than Goodwill</v>
      </c>
      <c r="D60" s="17" t="str">
        <f t="shared" si="8"/>
        <v/>
      </c>
      <c r="E60" s="17" t="str">
        <f t="shared" si="9"/>
        <v/>
      </c>
      <c r="F60" s="17" t="str">
        <f t="shared" si="10"/>
        <v/>
      </c>
      <c r="G60" s="17" t="str">
        <f t="shared" si="11"/>
        <v/>
      </c>
      <c r="H60" s="17" t="str">
        <f t="shared" si="12"/>
        <v/>
      </c>
      <c r="I60" s="17" t="str">
        <f t="shared" si="13"/>
        <v/>
      </c>
      <c r="J60" s="17" t="str">
        <f t="shared" si="14"/>
        <v/>
      </c>
      <c r="K60" s="18" t="str">
        <f t="shared" si="15"/>
        <v/>
      </c>
      <c r="L60" s="21"/>
      <c r="M60" s="21" t="str">
        <f>IF(SUBTOTAL(109,A60)=A60,"",3608)</f>
        <v/>
      </c>
      <c r="N60" s="21"/>
      <c r="O60" s="21"/>
      <c r="P60" s="21"/>
      <c r="Q60" s="21"/>
      <c r="R60" s="21" t="str">
        <f>IF(SUBTOTAL(109,A60)=A60,"",172139)</f>
        <v/>
      </c>
      <c r="S60" s="21" t="str">
        <f>IF(SUBTOTAL(109,A60)=A60,"",180083)</f>
        <v/>
      </c>
      <c r="T60" s="21" t="str">
        <f>IF(SUBTOTAL(109,A60)=A60,"",179985)</f>
        <v/>
      </c>
      <c r="U60" s="21" t="str">
        <f>IF(SUBTOTAL(109,A60)=A60,"",179864)</f>
        <v/>
      </c>
      <c r="V60" s="21" t="str">
        <f>IF(SUBTOTAL(109,A60)=A60,"",166006)</f>
        <v/>
      </c>
      <c r="W60" s="21" t="str">
        <f>IF(SUBTOTAL(109,A60)=A60,"",81632)</f>
        <v/>
      </c>
      <c r="X60" s="21" t="str">
        <f>IF(SUBTOTAL(109,A60)=A60,"",81499)</f>
        <v/>
      </c>
      <c r="Y60" s="21" t="str">
        <f>IF(SUBTOTAL(109,A60)=A60,"",80752)</f>
        <v/>
      </c>
      <c r="Z60" s="21" t="str">
        <f>IF(SUBTOTAL(109,A60)=A60,"",80719)</f>
        <v/>
      </c>
      <c r="AA60" s="21" t="str">
        <f>IF(SUBTOTAL(109,A60)=A60,"",80635)</f>
        <v/>
      </c>
      <c r="AB60" s="21" t="str">
        <f>IF(SUBTOTAL(109,A60)=A60,"",81718)</f>
        <v/>
      </c>
      <c r="AC60" s="21" t="str">
        <f>IF(SUBTOTAL(109,A60)=A60,"",76050)</f>
        <v/>
      </c>
      <c r="AD60" s="21" t="str">
        <f>IF(SUBTOTAL(109,A60)=A60,"",3891)</f>
        <v/>
      </c>
      <c r="AE60" s="21" t="str">
        <f>IF(SUBTOTAL(109,A60)=A60,"",4259)</f>
        <v/>
      </c>
      <c r="AF60" s="21" t="str">
        <f>IF(SUBTOTAL(109,A60)=A60,"",7028)</f>
        <v/>
      </c>
      <c r="AG60" s="21" t="str">
        <f>IF(SUBTOTAL(109,A60)=A60,"",3511)</f>
        <v/>
      </c>
      <c r="AH60" s="21" t="str">
        <f>IF(SUBTOTAL(109,A60)=A60,"",3631)</f>
        <v/>
      </c>
      <c r="AI60" s="21" t="str">
        <f>IF(SUBTOTAL(109,A60)=A60,"",3759)</f>
        <v/>
      </c>
      <c r="AJ60" s="21" t="str">
        <f>IF(SUBTOTAL(109,A60)=A60,"",7004)</f>
        <v/>
      </c>
      <c r="AK60" s="21" t="str">
        <f>IF(SUBTOTAL(109,A60)=A60,"",4075)</f>
        <v/>
      </c>
      <c r="AL60" s="21" t="str">
        <f>IF(SUBTOTAL(109,A60)=A60,"",4225)</f>
        <v/>
      </c>
      <c r="AM60" s="21" t="str">
        <f>IF(SUBTOTAL(109,A60)=A60,"",4374)</f>
        <v/>
      </c>
      <c r="AN60" s="21" t="str">
        <f>IF(SUBTOTAL(109,A60)=A60,"",6962)</f>
        <v/>
      </c>
      <c r="AO60" s="21" t="str">
        <f>IF(SUBTOTAL(109,A60)=A60,"",10991)</f>
        <v/>
      </c>
      <c r="AP60" s="21" t="str">
        <f>IF(SUBTOTAL(109,A60)=A60,"",10907)</f>
        <v/>
      </c>
      <c r="AQ60" s="21" t="str">
        <f>IF(SUBTOTAL(109,A60)=A60,"",8437)</f>
        <v/>
      </c>
      <c r="AR60" s="21" t="str">
        <f>IF(SUBTOTAL(109,A60)=A60,"",13198)</f>
        <v/>
      </c>
      <c r="AS60" s="21" t="str">
        <f>IF(SUBTOTAL(109,A60)=A60,"",8859)</f>
        <v/>
      </c>
      <c r="AT60" s="21" t="str">
        <f>IF(SUBTOTAL(109,A60)=A60,"",14809)</f>
        <v/>
      </c>
      <c r="AU60" s="21" t="str">
        <f>IF(SUBTOTAL(109,A60)=A60,"",16016)</f>
        <v/>
      </c>
      <c r="AV60" s="21" t="str">
        <f>IF(SUBTOTAL(109,A60)=A60,"",16219)</f>
        <v/>
      </c>
      <c r="AW60" s="21" t="str">
        <f>IF(SUBTOTAL(109,A60)=A60,"",16207)</f>
        <v/>
      </c>
      <c r="AX60" s="21" t="str">
        <f>IF(SUBTOTAL(109,A60)=A60,"",17272)</f>
        <v/>
      </c>
      <c r="AY60" s="21" t="str">
        <f>IF(SUBTOTAL(109,A60)=A60,"",18742)</f>
        <v/>
      </c>
      <c r="AZ60" s="21" t="str">
        <f>IF(SUBTOTAL(109,A60)=A60,"",5940)</f>
        <v/>
      </c>
      <c r="BA60" s="21" t="str">
        <f>IF(SUBTOTAL(109,A60)=A60,"",6083.121)</f>
        <v/>
      </c>
      <c r="BB60" s="21" t="str">
        <f>IF(SUBTOTAL(109,A60)=A60,"",6293.61)</f>
        <v/>
      </c>
      <c r="BC60" s="21" t="str">
        <f>IF(SUBTOTAL(109,A60)=A60,"",64434.794)</f>
        <v/>
      </c>
      <c r="BD60" s="21" t="str">
        <f>IF(SUBTOTAL(109,A60)=A60,"",65500.742)</f>
        <v/>
      </c>
      <c r="BE60" s="21" t="str">
        <f>IF(SUBTOTAL(109,A60)=A60,"",66474.528)</f>
        <v/>
      </c>
      <c r="BF60" s="21" t="str">
        <f>IF(SUBTOTAL(109,A60)=A60,"",67483.517)</f>
        <v/>
      </c>
      <c r="BG60" s="21" t="str">
        <f>IF(SUBTOTAL(109,A60)=A60,"",68519.971)</f>
        <v/>
      </c>
      <c r="BH60" s="21" t="str">
        <f>IF(SUBTOTAL(109,A60)=A60,"",69548.017)</f>
        <v/>
      </c>
      <c r="BI60" s="21" t="str">
        <f>IF(SUBTOTAL(109,A60)=A60,"",69412.604)</f>
        <v/>
      </c>
      <c r="BJ60" s="21" t="str">
        <f>IF(SUBTOTAL(109,A60)=A60,"",424.505)</f>
        <v/>
      </c>
      <c r="BK60" s="21" t="str">
        <f>IF(SUBTOTAL(109,A60)=A60,"",413.3)</f>
        <v/>
      </c>
      <c r="BL60" s="21" t="str">
        <f>IF(SUBTOTAL(109,A60)=A60,"",406.988)</f>
        <v/>
      </c>
      <c r="BM60" s="21" t="str">
        <f>IF(SUBTOTAL(109,A60)=A60,"",348.53)</f>
        <v/>
      </c>
      <c r="BN60" s="21" t="str">
        <f>IF(SUBTOTAL(109,A60)=A60,"",354.603)</f>
        <v/>
      </c>
      <c r="BO60" s="21" t="str">
        <f>IF(SUBTOTAL(109,A60)=A60,"",358.553)</f>
        <v/>
      </c>
      <c r="BP60" s="21" t="str">
        <f>IF(SUBTOTAL(109,A60)=A60,"",364.908)</f>
        <v/>
      </c>
      <c r="BQ60" s="21" t="str">
        <f>IF(SUBTOTAL(109,A60)=A60,"",325.378)</f>
        <v/>
      </c>
      <c r="BR60" s="21" t="str">
        <f>IF(SUBTOTAL(109,A60)=A60,"",323.118)</f>
        <v/>
      </c>
      <c r="BS60" s="21" t="str">
        <f>IF(SUBTOTAL(109,A60)=A60,"",363.144)</f>
        <v/>
      </c>
      <c r="BT60" s="21" t="str">
        <f>IF(SUBTOTAL(109,A60)=A60,"",351.908)</f>
        <v/>
      </c>
      <c r="BU60" s="21" t="str">
        <f>IF(SUBTOTAL(109,A60)=A60,"",309.153)</f>
        <v/>
      </c>
      <c r="BV60" s="21" t="str">
        <f>IF(SUBTOTAL(109,A60)=A60,"",313.883)</f>
        <v/>
      </c>
      <c r="BW60" s="21" t="str">
        <f>IF(SUBTOTAL(109,A60)=A60,"",316.226)</f>
        <v/>
      </c>
      <c r="BX60" s="21" t="str">
        <f>IF(SUBTOTAL(109,A60)=A60,"",310.333)</f>
        <v/>
      </c>
      <c r="BY60" s="21" t="str">
        <f>IF(SUBTOTAL(109,A60)=A60,"",3304.962)</f>
        <v/>
      </c>
      <c r="BZ60" s="21" t="str">
        <f>IF(SUBTOTAL(109,A60)=A60,"",3350.676)</f>
        <v/>
      </c>
      <c r="CA60" s="21" t="str">
        <f>IF(SUBTOTAL(109,A60)=A60,"",3372.567)</f>
        <v/>
      </c>
      <c r="CB60" s="21" t="str">
        <f>IF(SUBTOTAL(109,A60)=A60,"",986.408)</f>
        <v/>
      </c>
      <c r="CC60" s="21" t="str">
        <f>IF(SUBTOTAL(109,A60)=A60,"",393.748)</f>
        <v/>
      </c>
      <c r="CD60" s="21" t="str">
        <f>IF(SUBTOTAL(109,A60)=A60,"",0)</f>
        <v/>
      </c>
      <c r="CE60" s="21" t="str">
        <f>IF(SUBTOTAL(109,A60)=A60,"","")</f>
        <v/>
      </c>
      <c r="CG60" s="15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</row>
    <row r="61" spans="1:106" outlineLevel="5" x14ac:dyDescent="0.2">
      <c r="A61" s="14">
        <v>1</v>
      </c>
      <c r="C61" s="9" t="str">
        <f>"                    Trademarks and Patents"</f>
        <v xml:space="preserve">                    Trademarks and Patents</v>
      </c>
      <c r="D61" s="17">
        <f t="shared" si="8"/>
        <v>36642</v>
      </c>
      <c r="E61" s="17">
        <f t="shared" si="9"/>
        <v>35861.311403508771</v>
      </c>
      <c r="F61" s="17">
        <f t="shared" si="10"/>
        <v>5222</v>
      </c>
      <c r="G61" s="17">
        <f t="shared" si="11"/>
        <v>58447</v>
      </c>
      <c r="H61" s="17">
        <f t="shared" si="12"/>
        <v>22801.5</v>
      </c>
      <c r="I61" s="17">
        <f t="shared" si="13"/>
        <v>53858.5</v>
      </c>
      <c r="J61" s="17">
        <f t="shared" si="14"/>
        <v>19851.744242328965</v>
      </c>
      <c r="K61" s="18">
        <f t="shared" si="15"/>
        <v>0.55356994670269122</v>
      </c>
      <c r="L61" s="21"/>
      <c r="M61" s="21" t="s">
        <v>165</v>
      </c>
      <c r="N61" s="21">
        <v>9258</v>
      </c>
      <c r="O61" s="21">
        <v>42412.666666666664</v>
      </c>
      <c r="P61" s="21">
        <v>58447</v>
      </c>
      <c r="Q61" s="21">
        <v>57625.25</v>
      </c>
      <c r="R61" s="21">
        <v>57273</v>
      </c>
      <c r="S61" s="21">
        <v>54017</v>
      </c>
      <c r="T61" s="21">
        <v>53919</v>
      </c>
      <c r="U61" s="21">
        <v>53798</v>
      </c>
      <c r="V61" s="21">
        <v>52590</v>
      </c>
      <c r="W61" s="21">
        <v>36642</v>
      </c>
      <c r="X61" s="21">
        <v>36509</v>
      </c>
      <c r="Y61" s="21">
        <v>36462</v>
      </c>
      <c r="Z61" s="21">
        <v>36429</v>
      </c>
      <c r="AA61" s="21">
        <v>36345</v>
      </c>
      <c r="AB61" s="21">
        <v>36828</v>
      </c>
      <c r="AC61" s="21" t="s">
        <v>165</v>
      </c>
      <c r="AD61" s="21" t="s">
        <v>165</v>
      </c>
      <c r="AE61" s="21" t="s">
        <v>165</v>
      </c>
      <c r="AF61" s="21">
        <v>5288</v>
      </c>
      <c r="AG61" s="21" t="s">
        <v>165</v>
      </c>
      <c r="AH61" s="21" t="s">
        <v>165</v>
      </c>
      <c r="AI61" s="21" t="s">
        <v>165</v>
      </c>
      <c r="AJ61" s="21">
        <v>5264</v>
      </c>
      <c r="AK61" s="21" t="s">
        <v>165</v>
      </c>
      <c r="AL61" s="21" t="s">
        <v>165</v>
      </c>
      <c r="AM61" s="21" t="s">
        <v>165</v>
      </c>
      <c r="AN61" s="21">
        <v>5222</v>
      </c>
      <c r="AO61" s="21" t="s">
        <v>165</v>
      </c>
      <c r="AP61" s="21" t="s">
        <v>165</v>
      </c>
      <c r="AQ61" s="21" t="s">
        <v>165</v>
      </c>
      <c r="AR61" s="21">
        <v>7036</v>
      </c>
      <c r="AS61" s="21" t="s">
        <v>165</v>
      </c>
      <c r="AT61" s="21" t="s">
        <v>165</v>
      </c>
      <c r="AU61" s="21" t="s">
        <v>165</v>
      </c>
      <c r="AV61" s="21" t="s">
        <v>165</v>
      </c>
      <c r="AW61" s="21" t="s">
        <v>165</v>
      </c>
      <c r="AX61" s="21" t="s">
        <v>165</v>
      </c>
      <c r="AY61" s="21" t="s">
        <v>165</v>
      </c>
      <c r="AZ61" s="21" t="s">
        <v>165</v>
      </c>
      <c r="BA61" s="21" t="s">
        <v>165</v>
      </c>
      <c r="BB61" s="21" t="s">
        <v>165</v>
      </c>
      <c r="BC61" s="21" t="s">
        <v>165</v>
      </c>
      <c r="BD61" s="21" t="s">
        <v>165</v>
      </c>
      <c r="BE61" s="21" t="s">
        <v>165</v>
      </c>
      <c r="BF61" s="21" t="s">
        <v>165</v>
      </c>
      <c r="BG61" s="21" t="s">
        <v>165</v>
      </c>
      <c r="BH61" s="21" t="s">
        <v>165</v>
      </c>
      <c r="BI61" s="21" t="s">
        <v>165</v>
      </c>
      <c r="BJ61" s="21" t="s">
        <v>165</v>
      </c>
      <c r="BK61" s="21" t="s">
        <v>165</v>
      </c>
      <c r="BL61" s="21" t="s">
        <v>165</v>
      </c>
      <c r="BM61" s="21" t="s">
        <v>165</v>
      </c>
      <c r="BN61" s="21" t="s">
        <v>165</v>
      </c>
      <c r="BO61" s="21" t="s">
        <v>165</v>
      </c>
      <c r="BP61" s="21" t="s">
        <v>165</v>
      </c>
      <c r="BQ61" s="21" t="s">
        <v>165</v>
      </c>
      <c r="BR61" s="21" t="s">
        <v>165</v>
      </c>
      <c r="BS61" s="21" t="s">
        <v>165</v>
      </c>
      <c r="BT61" s="21" t="s">
        <v>165</v>
      </c>
      <c r="BU61" s="21" t="s">
        <v>165</v>
      </c>
      <c r="BV61" s="21" t="s">
        <v>165</v>
      </c>
      <c r="BW61" s="21" t="s">
        <v>165</v>
      </c>
      <c r="BX61" s="21" t="s">
        <v>165</v>
      </c>
      <c r="BY61" s="21" t="s">
        <v>165</v>
      </c>
      <c r="BZ61" s="21" t="s">
        <v>165</v>
      </c>
      <c r="CA61" s="21" t="s">
        <v>165</v>
      </c>
      <c r="CB61" s="21" t="s">
        <v>165</v>
      </c>
      <c r="CC61" s="21" t="s">
        <v>165</v>
      </c>
      <c r="CD61" s="21" t="s">
        <v>165</v>
      </c>
      <c r="CE61" s="21" t="s">
        <v>165</v>
      </c>
      <c r="CG61" s="15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</row>
    <row r="62" spans="1:106" outlineLevel="5" x14ac:dyDescent="0.2">
      <c r="A62" s="14">
        <v>1</v>
      </c>
      <c r="C62" s="9" t="str">
        <f>"                    Software and Technology"</f>
        <v xml:space="preserve">                    Software and Technology</v>
      </c>
      <c r="D62" s="17">
        <f t="shared" si="8"/>
        <v>16430</v>
      </c>
      <c r="E62" s="17">
        <f t="shared" si="9"/>
        <v>15342.588235294117</v>
      </c>
      <c r="F62" s="17">
        <f t="shared" si="10"/>
        <v>0</v>
      </c>
      <c r="G62" s="17">
        <f t="shared" si="11"/>
        <v>21230</v>
      </c>
      <c r="H62" s="17">
        <f t="shared" si="12"/>
        <v>16430</v>
      </c>
      <c r="I62" s="17">
        <f t="shared" si="13"/>
        <v>19430</v>
      </c>
      <c r="J62" s="17">
        <f t="shared" si="14"/>
        <v>6667.6718862248272</v>
      </c>
      <c r="K62" s="18">
        <f t="shared" si="15"/>
        <v>0.43458585891567519</v>
      </c>
      <c r="L62" s="21"/>
      <c r="M62" s="21" t="s">
        <v>165</v>
      </c>
      <c r="N62" s="21">
        <v>2580</v>
      </c>
      <c r="O62" s="21">
        <v>14592</v>
      </c>
      <c r="P62" s="21">
        <v>21230</v>
      </c>
      <c r="Q62" s="21">
        <v>21130</v>
      </c>
      <c r="R62" s="21">
        <v>21130</v>
      </c>
      <c r="S62" s="21">
        <v>19430</v>
      </c>
      <c r="T62" s="21">
        <v>19430</v>
      </c>
      <c r="U62" s="21">
        <v>19430</v>
      </c>
      <c r="V62" s="21">
        <v>19430</v>
      </c>
      <c r="W62" s="21">
        <v>16430</v>
      </c>
      <c r="X62" s="21">
        <v>16430</v>
      </c>
      <c r="Y62" s="21">
        <v>16430</v>
      </c>
      <c r="Z62" s="21">
        <v>16430</v>
      </c>
      <c r="AA62" s="21">
        <v>16430</v>
      </c>
      <c r="AB62" s="21">
        <v>16630</v>
      </c>
      <c r="AC62" s="21" t="s">
        <v>165</v>
      </c>
      <c r="AD62" s="21" t="s">
        <v>165</v>
      </c>
      <c r="AE62" s="21" t="s">
        <v>165</v>
      </c>
      <c r="AF62" s="21">
        <v>0</v>
      </c>
      <c r="AG62" s="21" t="s">
        <v>165</v>
      </c>
      <c r="AH62" s="21" t="s">
        <v>165</v>
      </c>
      <c r="AI62" s="21" t="s">
        <v>165</v>
      </c>
      <c r="AJ62" s="21" t="s">
        <v>165</v>
      </c>
      <c r="AK62" s="21" t="s">
        <v>165</v>
      </c>
      <c r="AL62" s="21" t="s">
        <v>165</v>
      </c>
      <c r="AM62" s="21" t="s">
        <v>165</v>
      </c>
      <c r="AN62" s="21" t="s">
        <v>165</v>
      </c>
      <c r="AO62" s="21" t="s">
        <v>165</v>
      </c>
      <c r="AP62" s="21" t="s">
        <v>165</v>
      </c>
      <c r="AQ62" s="21" t="s">
        <v>165</v>
      </c>
      <c r="AR62" s="21">
        <v>3662</v>
      </c>
      <c r="AS62" s="21" t="s">
        <v>165</v>
      </c>
      <c r="AT62" s="21" t="s">
        <v>165</v>
      </c>
      <c r="AU62" s="21" t="s">
        <v>165</v>
      </c>
      <c r="AV62" s="21" t="s">
        <v>165</v>
      </c>
      <c r="AW62" s="21" t="s">
        <v>165</v>
      </c>
      <c r="AX62" s="21" t="s">
        <v>165</v>
      </c>
      <c r="AY62" s="21" t="s">
        <v>165</v>
      </c>
      <c r="AZ62" s="21" t="s">
        <v>165</v>
      </c>
      <c r="BA62" s="21" t="s">
        <v>165</v>
      </c>
      <c r="BB62" s="21" t="s">
        <v>165</v>
      </c>
      <c r="BC62" s="21" t="s">
        <v>165</v>
      </c>
      <c r="BD62" s="21" t="s">
        <v>165</v>
      </c>
      <c r="BE62" s="21" t="s">
        <v>165</v>
      </c>
      <c r="BF62" s="21" t="s">
        <v>165</v>
      </c>
      <c r="BG62" s="21" t="s">
        <v>165</v>
      </c>
      <c r="BH62" s="21" t="s">
        <v>165</v>
      </c>
      <c r="BI62" s="21" t="s">
        <v>165</v>
      </c>
      <c r="BJ62" s="21" t="s">
        <v>165</v>
      </c>
      <c r="BK62" s="21" t="s">
        <v>165</v>
      </c>
      <c r="BL62" s="21" t="s">
        <v>165</v>
      </c>
      <c r="BM62" s="21" t="s">
        <v>165</v>
      </c>
      <c r="BN62" s="21" t="s">
        <v>165</v>
      </c>
      <c r="BO62" s="21" t="s">
        <v>165</v>
      </c>
      <c r="BP62" s="21" t="s">
        <v>165</v>
      </c>
      <c r="BQ62" s="21" t="s">
        <v>165</v>
      </c>
      <c r="BR62" s="21" t="s">
        <v>165</v>
      </c>
      <c r="BS62" s="21" t="s">
        <v>165</v>
      </c>
      <c r="BT62" s="21" t="s">
        <v>165</v>
      </c>
      <c r="BU62" s="21" t="s">
        <v>165</v>
      </c>
      <c r="BV62" s="21" t="s">
        <v>165</v>
      </c>
      <c r="BW62" s="21" t="s">
        <v>165</v>
      </c>
      <c r="BX62" s="21" t="s">
        <v>165</v>
      </c>
      <c r="BY62" s="21" t="s">
        <v>165</v>
      </c>
      <c r="BZ62" s="21" t="s">
        <v>165</v>
      </c>
      <c r="CA62" s="21" t="s">
        <v>165</v>
      </c>
      <c r="CB62" s="21" t="s">
        <v>165</v>
      </c>
      <c r="CC62" s="21" t="s">
        <v>165</v>
      </c>
      <c r="CD62" s="21" t="s">
        <v>165</v>
      </c>
      <c r="CE62" s="21" t="s">
        <v>165</v>
      </c>
      <c r="CG62" s="15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</row>
    <row r="63" spans="1:106" outlineLevel="5" x14ac:dyDescent="0.2">
      <c r="A63" s="14">
        <v>1</v>
      </c>
      <c r="C63" s="9" t="str">
        <f>"                    Customer Relationships"</f>
        <v xml:space="preserve">                    Customer Relationships</v>
      </c>
      <c r="D63" s="17">
        <f t="shared" si="8"/>
        <v>28560</v>
      </c>
      <c r="E63" s="17">
        <f t="shared" si="9"/>
        <v>49154.385964912282</v>
      </c>
      <c r="F63" s="17">
        <f t="shared" si="10"/>
        <v>200</v>
      </c>
      <c r="G63" s="17">
        <f t="shared" si="11"/>
        <v>106410</v>
      </c>
      <c r="H63" s="17">
        <f t="shared" si="12"/>
        <v>15180</v>
      </c>
      <c r="I63" s="17">
        <f t="shared" si="13"/>
        <v>93610</v>
      </c>
      <c r="J63" s="17">
        <f t="shared" si="14"/>
        <v>42103.103724961344</v>
      </c>
      <c r="K63" s="18">
        <f t="shared" si="15"/>
        <v>0.85654825909158272</v>
      </c>
      <c r="L63" s="21"/>
      <c r="M63" s="21" t="s">
        <v>165</v>
      </c>
      <c r="N63" s="21">
        <v>200</v>
      </c>
      <c r="O63" s="21">
        <v>63333.333333333336</v>
      </c>
      <c r="P63" s="21">
        <v>93710</v>
      </c>
      <c r="Q63" s="21">
        <v>93510</v>
      </c>
      <c r="R63" s="21">
        <v>93510</v>
      </c>
      <c r="S63" s="21">
        <v>106410</v>
      </c>
      <c r="T63" s="21">
        <v>106410</v>
      </c>
      <c r="U63" s="21">
        <v>106410</v>
      </c>
      <c r="V63" s="21">
        <v>93760</v>
      </c>
      <c r="W63" s="21">
        <v>28560</v>
      </c>
      <c r="X63" s="21">
        <v>28560</v>
      </c>
      <c r="Y63" s="21">
        <v>27860</v>
      </c>
      <c r="Z63" s="21">
        <v>27860</v>
      </c>
      <c r="AA63" s="21">
        <v>27860</v>
      </c>
      <c r="AB63" s="21">
        <v>28260</v>
      </c>
      <c r="AC63" s="21" t="s">
        <v>165</v>
      </c>
      <c r="AD63" s="21" t="s">
        <v>165</v>
      </c>
      <c r="AE63" s="21" t="s">
        <v>165</v>
      </c>
      <c r="AF63" s="21">
        <v>1740</v>
      </c>
      <c r="AG63" s="21" t="s">
        <v>165</v>
      </c>
      <c r="AH63" s="21" t="s">
        <v>165</v>
      </c>
      <c r="AI63" s="21" t="s">
        <v>165</v>
      </c>
      <c r="AJ63" s="21">
        <v>1740</v>
      </c>
      <c r="AK63" s="21" t="s">
        <v>165</v>
      </c>
      <c r="AL63" s="21" t="s">
        <v>165</v>
      </c>
      <c r="AM63" s="21" t="s">
        <v>165</v>
      </c>
      <c r="AN63" s="21">
        <v>1740</v>
      </c>
      <c r="AO63" s="21" t="s">
        <v>165</v>
      </c>
      <c r="AP63" s="21" t="s">
        <v>165</v>
      </c>
      <c r="AQ63" s="21" t="s">
        <v>165</v>
      </c>
      <c r="AR63" s="21">
        <v>2500</v>
      </c>
      <c r="AS63" s="21" t="s">
        <v>165</v>
      </c>
      <c r="AT63" s="21" t="s">
        <v>165</v>
      </c>
      <c r="AU63" s="21" t="s">
        <v>165</v>
      </c>
      <c r="AV63" s="21" t="s">
        <v>165</v>
      </c>
      <c r="AW63" s="21" t="s">
        <v>165</v>
      </c>
      <c r="AX63" s="21" t="s">
        <v>165</v>
      </c>
      <c r="AY63" s="21" t="s">
        <v>165</v>
      </c>
      <c r="AZ63" s="21" t="s">
        <v>165</v>
      </c>
      <c r="BA63" s="21" t="s">
        <v>165</v>
      </c>
      <c r="BB63" s="21" t="s">
        <v>165</v>
      </c>
      <c r="BC63" s="21" t="s">
        <v>165</v>
      </c>
      <c r="BD63" s="21" t="s">
        <v>165</v>
      </c>
      <c r="BE63" s="21" t="s">
        <v>165</v>
      </c>
      <c r="BF63" s="21" t="s">
        <v>165</v>
      </c>
      <c r="BG63" s="21" t="s">
        <v>165</v>
      </c>
      <c r="BH63" s="21" t="s">
        <v>165</v>
      </c>
      <c r="BI63" s="21" t="s">
        <v>165</v>
      </c>
      <c r="BJ63" s="21" t="s">
        <v>165</v>
      </c>
      <c r="BK63" s="21" t="s">
        <v>165</v>
      </c>
      <c r="BL63" s="21" t="s">
        <v>165</v>
      </c>
      <c r="BM63" s="21" t="s">
        <v>165</v>
      </c>
      <c r="BN63" s="21" t="s">
        <v>165</v>
      </c>
      <c r="BO63" s="21" t="s">
        <v>165</v>
      </c>
      <c r="BP63" s="21" t="s">
        <v>165</v>
      </c>
      <c r="BQ63" s="21" t="s">
        <v>165</v>
      </c>
      <c r="BR63" s="21" t="s">
        <v>165</v>
      </c>
      <c r="BS63" s="21" t="s">
        <v>165</v>
      </c>
      <c r="BT63" s="21" t="s">
        <v>165</v>
      </c>
      <c r="BU63" s="21" t="s">
        <v>165</v>
      </c>
      <c r="BV63" s="21" t="s">
        <v>165</v>
      </c>
      <c r="BW63" s="21" t="s">
        <v>165</v>
      </c>
      <c r="BX63" s="21" t="s">
        <v>165</v>
      </c>
      <c r="BY63" s="21" t="s">
        <v>165</v>
      </c>
      <c r="BZ63" s="21" t="s">
        <v>165</v>
      </c>
      <c r="CA63" s="21" t="s">
        <v>165</v>
      </c>
      <c r="CB63" s="21" t="s">
        <v>165</v>
      </c>
      <c r="CC63" s="21" t="s">
        <v>165</v>
      </c>
      <c r="CD63" s="21" t="s">
        <v>165</v>
      </c>
      <c r="CE63" s="21" t="s">
        <v>165</v>
      </c>
      <c r="CG63" s="15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</row>
    <row r="64" spans="1:106" outlineLevel="5" x14ac:dyDescent="0.2">
      <c r="A64" s="14">
        <v>1</v>
      </c>
      <c r="C64" s="9" t="str">
        <f>"                    Other Intangible Assets"</f>
        <v xml:space="preserve">                    Other Intangible Assets</v>
      </c>
      <c r="D64" s="17">
        <f t="shared" si="8"/>
        <v>2145.6849999999999</v>
      </c>
      <c r="E64" s="17">
        <f t="shared" si="9"/>
        <v>14042.886847826097</v>
      </c>
      <c r="F64" s="17">
        <f t="shared" si="10"/>
        <v>0</v>
      </c>
      <c r="G64" s="17">
        <f t="shared" si="11"/>
        <v>69548.017000000007</v>
      </c>
      <c r="H64" s="17">
        <f t="shared" si="12"/>
        <v>331.166</v>
      </c>
      <c r="I64" s="17">
        <f t="shared" si="13"/>
        <v>15714.25</v>
      </c>
      <c r="J64" s="17">
        <f t="shared" si="14"/>
        <v>23515.016583686684</v>
      </c>
      <c r="K64" s="18">
        <f t="shared" si="15"/>
        <v>1.6745144241710468</v>
      </c>
      <c r="L64" s="21"/>
      <c r="M64" s="21" t="s">
        <v>165</v>
      </c>
      <c r="N64" s="21"/>
      <c r="O64" s="21"/>
      <c r="P64" s="21"/>
      <c r="Q64" s="21"/>
      <c r="R64" s="21">
        <v>226</v>
      </c>
      <c r="S64" s="21">
        <v>226</v>
      </c>
      <c r="T64" s="21">
        <v>226</v>
      </c>
      <c r="U64" s="21">
        <v>226</v>
      </c>
      <c r="V64" s="21">
        <v>226</v>
      </c>
      <c r="W64" s="21" t="s">
        <v>165</v>
      </c>
      <c r="X64" s="21">
        <v>0</v>
      </c>
      <c r="Y64" s="21" t="s">
        <v>165</v>
      </c>
      <c r="Z64" s="21" t="s">
        <v>165</v>
      </c>
      <c r="AA64" s="21" t="s">
        <v>165</v>
      </c>
      <c r="AB64" s="21" t="s">
        <v>165</v>
      </c>
      <c r="AC64" s="21" t="s">
        <v>165</v>
      </c>
      <c r="AD64" s="21" t="s">
        <v>165</v>
      </c>
      <c r="AE64" s="21" t="s">
        <v>165</v>
      </c>
      <c r="AF64" s="21" t="s">
        <v>165</v>
      </c>
      <c r="AG64" s="21" t="s">
        <v>165</v>
      </c>
      <c r="AH64" s="21" t="s">
        <v>165</v>
      </c>
      <c r="AI64" s="21" t="s">
        <v>165</v>
      </c>
      <c r="AJ64" s="21" t="s">
        <v>165</v>
      </c>
      <c r="AK64" s="21" t="s">
        <v>165</v>
      </c>
      <c r="AL64" s="21" t="s">
        <v>165</v>
      </c>
      <c r="AM64" s="21" t="s">
        <v>165</v>
      </c>
      <c r="AN64" s="21" t="s">
        <v>165</v>
      </c>
      <c r="AO64" s="21">
        <v>10991</v>
      </c>
      <c r="AP64" s="21">
        <v>10907</v>
      </c>
      <c r="AQ64" s="21">
        <v>8437</v>
      </c>
      <c r="AR64" s="21" t="s">
        <v>165</v>
      </c>
      <c r="AS64" s="21">
        <v>8859</v>
      </c>
      <c r="AT64" s="21">
        <v>14809</v>
      </c>
      <c r="AU64" s="21">
        <v>16016</v>
      </c>
      <c r="AV64" s="21">
        <v>16219</v>
      </c>
      <c r="AW64" s="21">
        <v>16207</v>
      </c>
      <c r="AX64" s="21">
        <v>17272</v>
      </c>
      <c r="AY64" s="21">
        <v>18742</v>
      </c>
      <c r="AZ64" s="21">
        <v>5940</v>
      </c>
      <c r="BA64" s="21">
        <v>6083.1210000000001</v>
      </c>
      <c r="BB64" s="21">
        <v>6293.61</v>
      </c>
      <c r="BC64" s="21">
        <v>64434.794000000002</v>
      </c>
      <c r="BD64" s="21">
        <v>65500.741999999998</v>
      </c>
      <c r="BE64" s="21">
        <v>66474.528000000006</v>
      </c>
      <c r="BF64" s="21">
        <v>67483.517000000007</v>
      </c>
      <c r="BG64" s="21">
        <v>68519.971000000005</v>
      </c>
      <c r="BH64" s="21">
        <v>69548.017000000007</v>
      </c>
      <c r="BI64" s="21">
        <v>69412.604000000007</v>
      </c>
      <c r="BJ64" s="21">
        <v>424.505</v>
      </c>
      <c r="BK64" s="21">
        <v>413.3</v>
      </c>
      <c r="BL64" s="21">
        <v>406.988</v>
      </c>
      <c r="BM64" s="21">
        <v>348.53</v>
      </c>
      <c r="BN64" s="21">
        <v>354.60300000000001</v>
      </c>
      <c r="BO64" s="21">
        <v>358.553</v>
      </c>
      <c r="BP64" s="21">
        <v>364.90800000000002</v>
      </c>
      <c r="BQ64" s="21">
        <v>325.37799999999999</v>
      </c>
      <c r="BR64" s="21">
        <v>323.11799999999999</v>
      </c>
      <c r="BS64" s="21">
        <v>363.14400000000001</v>
      </c>
      <c r="BT64" s="21">
        <v>351.90800000000002</v>
      </c>
      <c r="BU64" s="21">
        <v>309.15300000000002</v>
      </c>
      <c r="BV64" s="21">
        <v>313.88299999999998</v>
      </c>
      <c r="BW64" s="21">
        <v>316.226</v>
      </c>
      <c r="BX64" s="21">
        <v>310.33300000000003</v>
      </c>
      <c r="BY64" s="21">
        <v>3304.962</v>
      </c>
      <c r="BZ64" s="21">
        <v>3350.6759999999999</v>
      </c>
      <c r="CA64" s="21">
        <v>3372.567</v>
      </c>
      <c r="CB64" s="21">
        <v>986.40800000000002</v>
      </c>
      <c r="CC64" s="21">
        <v>393.74799999999999</v>
      </c>
      <c r="CD64" s="21" t="s">
        <v>165</v>
      </c>
      <c r="CE64" s="21" t="s">
        <v>165</v>
      </c>
      <c r="CG64" s="15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</row>
    <row r="65" spans="1:106" outlineLevel="5" x14ac:dyDescent="0.2">
      <c r="A65" s="14">
        <v>1</v>
      </c>
      <c r="C65" s="10" t="str">
        <f>"                    Total Intangibles other than Goodwill"</f>
        <v xml:space="preserve">                    Total Intangibles other than Goodwill</v>
      </c>
      <c r="D65" s="29">
        <f t="shared" si="8"/>
        <v>6983</v>
      </c>
      <c r="E65" s="29">
        <f t="shared" si="9"/>
        <v>37133.936357142826</v>
      </c>
      <c r="F65" s="29">
        <f t="shared" si="10"/>
        <v>0</v>
      </c>
      <c r="G65" s="29">
        <f t="shared" si="11"/>
        <v>180083</v>
      </c>
      <c r="H65" s="29">
        <f t="shared" si="12"/>
        <v>1566.0464999999999</v>
      </c>
      <c r="I65" s="29">
        <f t="shared" si="13"/>
        <v>68260.857500000013</v>
      </c>
      <c r="J65" s="29">
        <f t="shared" si="14"/>
        <v>54623.090800410275</v>
      </c>
      <c r="K65" s="30">
        <f t="shared" si="15"/>
        <v>1.4709749668083156</v>
      </c>
      <c r="L65" s="31"/>
      <c r="M65" s="31">
        <v>3608</v>
      </c>
      <c r="N65" s="21">
        <v>6284.25</v>
      </c>
      <c r="O65" s="21">
        <v>91537.25</v>
      </c>
      <c r="P65" s="21">
        <v>173613</v>
      </c>
      <c r="Q65" s="21">
        <v>172491.25</v>
      </c>
      <c r="R65" s="31">
        <v>172139</v>
      </c>
      <c r="S65" s="31">
        <v>180083</v>
      </c>
      <c r="T65" s="31">
        <v>179985</v>
      </c>
      <c r="U65" s="31">
        <v>179864</v>
      </c>
      <c r="V65" s="31">
        <v>166006</v>
      </c>
      <c r="W65" s="31">
        <v>81632</v>
      </c>
      <c r="X65" s="31">
        <v>81499</v>
      </c>
      <c r="Y65" s="31">
        <v>80752</v>
      </c>
      <c r="Z65" s="31">
        <v>80719</v>
      </c>
      <c r="AA65" s="31">
        <v>80635</v>
      </c>
      <c r="AB65" s="31">
        <v>81718</v>
      </c>
      <c r="AC65" s="31">
        <v>76050</v>
      </c>
      <c r="AD65" s="31">
        <v>3891</v>
      </c>
      <c r="AE65" s="31">
        <v>4259</v>
      </c>
      <c r="AF65" s="31">
        <v>7028</v>
      </c>
      <c r="AG65" s="31">
        <v>3511</v>
      </c>
      <c r="AH65" s="31">
        <v>3631</v>
      </c>
      <c r="AI65" s="31">
        <v>3759</v>
      </c>
      <c r="AJ65" s="31">
        <v>7004</v>
      </c>
      <c r="AK65" s="31">
        <v>4075</v>
      </c>
      <c r="AL65" s="31">
        <v>4225</v>
      </c>
      <c r="AM65" s="31">
        <v>4374</v>
      </c>
      <c r="AN65" s="31">
        <v>6962</v>
      </c>
      <c r="AO65" s="31">
        <v>10991</v>
      </c>
      <c r="AP65" s="31">
        <v>10907</v>
      </c>
      <c r="AQ65" s="31">
        <v>8437</v>
      </c>
      <c r="AR65" s="31">
        <v>13198</v>
      </c>
      <c r="AS65" s="31">
        <v>8859</v>
      </c>
      <c r="AT65" s="31">
        <v>14809</v>
      </c>
      <c r="AU65" s="31">
        <v>16016</v>
      </c>
      <c r="AV65" s="31">
        <v>16219</v>
      </c>
      <c r="AW65" s="31">
        <v>16207</v>
      </c>
      <c r="AX65" s="31">
        <v>17272</v>
      </c>
      <c r="AY65" s="31">
        <v>18742</v>
      </c>
      <c r="AZ65" s="31">
        <v>5940</v>
      </c>
      <c r="BA65" s="31">
        <v>6083.1210000000001</v>
      </c>
      <c r="BB65" s="31">
        <v>6293.61</v>
      </c>
      <c r="BC65" s="31">
        <v>64434.794000000002</v>
      </c>
      <c r="BD65" s="31">
        <v>65500.741999999998</v>
      </c>
      <c r="BE65" s="31">
        <v>66474.528000000006</v>
      </c>
      <c r="BF65" s="31">
        <v>67483.517000000007</v>
      </c>
      <c r="BG65" s="31">
        <v>68519.971000000005</v>
      </c>
      <c r="BH65" s="31">
        <v>69548.017000000007</v>
      </c>
      <c r="BI65" s="31">
        <v>69412.604000000007</v>
      </c>
      <c r="BJ65" s="31">
        <v>424.505</v>
      </c>
      <c r="BK65" s="31">
        <v>413.3</v>
      </c>
      <c r="BL65" s="31">
        <v>406.988</v>
      </c>
      <c r="BM65" s="31">
        <v>348.53</v>
      </c>
      <c r="BN65" s="31">
        <v>354.60300000000001</v>
      </c>
      <c r="BO65" s="31">
        <v>358.553</v>
      </c>
      <c r="BP65" s="31">
        <v>364.90800000000002</v>
      </c>
      <c r="BQ65" s="31">
        <v>325.37799999999999</v>
      </c>
      <c r="BR65" s="31">
        <v>323.11799999999999</v>
      </c>
      <c r="BS65" s="31">
        <v>363.14400000000001</v>
      </c>
      <c r="BT65" s="31">
        <v>351.90800000000002</v>
      </c>
      <c r="BU65" s="31">
        <v>309.15300000000002</v>
      </c>
      <c r="BV65" s="31">
        <v>313.88299999999998</v>
      </c>
      <c r="BW65" s="31">
        <v>316.226</v>
      </c>
      <c r="BX65" s="31">
        <v>310.33300000000003</v>
      </c>
      <c r="BY65" s="31">
        <v>3304.962</v>
      </c>
      <c r="BZ65" s="31">
        <v>3350.6759999999999</v>
      </c>
      <c r="CA65" s="31">
        <v>3372.567</v>
      </c>
      <c r="CB65" s="31">
        <v>986.40800000000002</v>
      </c>
      <c r="CC65" s="31">
        <v>393.74799999999999</v>
      </c>
      <c r="CD65" s="31">
        <v>0</v>
      </c>
      <c r="CE65" s="31" t="s">
        <v>165</v>
      </c>
      <c r="CG65" s="15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</row>
    <row r="66" spans="1:106" outlineLevel="4" x14ac:dyDescent="0.2">
      <c r="A66" s="14">
        <v>1</v>
      </c>
      <c r="C66" s="10" t="str">
        <f>"                Total Gross Goodwill and Other Intangible Assets"</f>
        <v xml:space="preserve">                Total Gross Goodwill and Other Intangible Assets</v>
      </c>
      <c r="D66" s="29">
        <f t="shared" si="8"/>
        <v>9883</v>
      </c>
      <c r="E66" s="29">
        <f t="shared" si="9"/>
        <v>74938.670528571427</v>
      </c>
      <c r="F66" s="29">
        <f t="shared" si="10"/>
        <v>309.15300000000002</v>
      </c>
      <c r="G66" s="29">
        <f t="shared" si="11"/>
        <v>363859.5</v>
      </c>
      <c r="H66" s="29">
        <f t="shared" si="12"/>
        <v>1566.0464999999999</v>
      </c>
      <c r="I66" s="29">
        <f t="shared" si="13"/>
        <v>108886.3875</v>
      </c>
      <c r="J66" s="29">
        <f t="shared" si="14"/>
        <v>107993.03407685012</v>
      </c>
      <c r="K66" s="30">
        <f t="shared" si="15"/>
        <v>1.4410855345462295</v>
      </c>
      <c r="L66" s="31"/>
      <c r="M66" s="31">
        <v>22632</v>
      </c>
      <c r="N66" s="21">
        <v>25308.25</v>
      </c>
      <c r="O66" s="21">
        <v>167517.25</v>
      </c>
      <c r="P66" s="21">
        <v>355839</v>
      </c>
      <c r="Q66" s="21">
        <v>363859.5</v>
      </c>
      <c r="R66" s="31">
        <v>363237</v>
      </c>
      <c r="S66" s="31">
        <v>349183</v>
      </c>
      <c r="T66" s="31">
        <v>349002</v>
      </c>
      <c r="U66" s="31">
        <v>348693</v>
      </c>
      <c r="V66" s="31">
        <v>323256</v>
      </c>
      <c r="W66" s="31">
        <v>157989</v>
      </c>
      <c r="X66" s="31">
        <v>157856</v>
      </c>
      <c r="Y66" s="31">
        <v>156916</v>
      </c>
      <c r="Z66" s="31">
        <v>156776</v>
      </c>
      <c r="AA66" s="31">
        <v>156692</v>
      </c>
      <c r="AB66" s="31">
        <v>157144</v>
      </c>
      <c r="AC66" s="31">
        <v>152117</v>
      </c>
      <c r="AD66" s="31">
        <v>18001</v>
      </c>
      <c r="AE66" s="31">
        <v>18272</v>
      </c>
      <c r="AF66" s="31">
        <v>7028</v>
      </c>
      <c r="AG66" s="31">
        <v>3511</v>
      </c>
      <c r="AH66" s="31">
        <v>3631</v>
      </c>
      <c r="AI66" s="31">
        <v>3759</v>
      </c>
      <c r="AJ66" s="31">
        <v>7004</v>
      </c>
      <c r="AK66" s="31">
        <v>4075</v>
      </c>
      <c r="AL66" s="31">
        <v>4225</v>
      </c>
      <c r="AM66" s="31">
        <v>4374</v>
      </c>
      <c r="AN66" s="31">
        <v>6962</v>
      </c>
      <c r="AO66" s="31">
        <v>10991</v>
      </c>
      <c r="AP66" s="31">
        <v>10907</v>
      </c>
      <c r="AQ66" s="31">
        <v>8437</v>
      </c>
      <c r="AR66" s="31">
        <v>13198</v>
      </c>
      <c r="AS66" s="31">
        <v>8859</v>
      </c>
      <c r="AT66" s="31">
        <v>60079</v>
      </c>
      <c r="AU66" s="31">
        <v>99881</v>
      </c>
      <c r="AV66" s="31">
        <v>100084</v>
      </c>
      <c r="AW66" s="31">
        <v>96714</v>
      </c>
      <c r="AX66" s="31">
        <v>97817</v>
      </c>
      <c r="AY66" s="31">
        <v>98734</v>
      </c>
      <c r="AZ66" s="31">
        <v>5940</v>
      </c>
      <c r="BA66" s="31">
        <v>6083.1210000000001</v>
      </c>
      <c r="BB66" s="31">
        <v>6293.61</v>
      </c>
      <c r="BC66" s="31">
        <v>105608.21</v>
      </c>
      <c r="BD66" s="31">
        <v>106674.158</v>
      </c>
      <c r="BE66" s="31">
        <v>107494.68399999999</v>
      </c>
      <c r="BF66" s="31">
        <v>108160.86</v>
      </c>
      <c r="BG66" s="31">
        <v>109128.23</v>
      </c>
      <c r="BH66" s="31">
        <v>111503.19899999999</v>
      </c>
      <c r="BI66" s="31">
        <v>111163.288</v>
      </c>
      <c r="BJ66" s="31">
        <v>424.505</v>
      </c>
      <c r="BK66" s="31">
        <v>413.3</v>
      </c>
      <c r="BL66" s="31">
        <v>406.988</v>
      </c>
      <c r="BM66" s="31">
        <v>348.53</v>
      </c>
      <c r="BN66" s="31">
        <v>354.60300000000001</v>
      </c>
      <c r="BO66" s="31">
        <v>358.553</v>
      </c>
      <c r="BP66" s="31">
        <v>364.90800000000002</v>
      </c>
      <c r="BQ66" s="31">
        <v>325.37799999999999</v>
      </c>
      <c r="BR66" s="31">
        <v>323.11799999999999</v>
      </c>
      <c r="BS66" s="31">
        <v>363.14400000000001</v>
      </c>
      <c r="BT66" s="31">
        <v>351.90800000000002</v>
      </c>
      <c r="BU66" s="31">
        <v>309.15300000000002</v>
      </c>
      <c r="BV66" s="31">
        <v>313.88299999999998</v>
      </c>
      <c r="BW66" s="31">
        <v>316.226</v>
      </c>
      <c r="BX66" s="31">
        <v>310.33300000000003</v>
      </c>
      <c r="BY66" s="31">
        <v>3304.962</v>
      </c>
      <c r="BZ66" s="31">
        <v>3350.6759999999999</v>
      </c>
      <c r="CA66" s="31">
        <v>3372.567</v>
      </c>
      <c r="CB66" s="31">
        <v>986.40800000000002</v>
      </c>
      <c r="CC66" s="31">
        <v>393.74799999999999</v>
      </c>
      <c r="CD66" s="31">
        <v>404.68599999999998</v>
      </c>
      <c r="CE66" s="31" t="s">
        <v>165</v>
      </c>
      <c r="CG66" s="15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</row>
    <row r="67" spans="1:106" outlineLevel="3" x14ac:dyDescent="0.2">
      <c r="A67" s="14">
        <v>1</v>
      </c>
      <c r="C67" s="9" t="str">
        <f>IF(SUBTOTAL(109,A67)=A67,"            Accumulated Amortization and Impairment","            Accumulated Amortization and Impairment")</f>
        <v xml:space="preserve">            Accumulated Amortization and Impairment</v>
      </c>
      <c r="D67" s="17" t="str">
        <f t="shared" si="8"/>
        <v/>
      </c>
      <c r="E67" s="17" t="str">
        <f t="shared" si="9"/>
        <v/>
      </c>
      <c r="F67" s="17" t="str">
        <f t="shared" si="10"/>
        <v/>
      </c>
      <c r="G67" s="17" t="str">
        <f t="shared" si="11"/>
        <v/>
      </c>
      <c r="H67" s="17" t="str">
        <f t="shared" si="12"/>
        <v/>
      </c>
      <c r="I67" s="17" t="str">
        <f t="shared" si="13"/>
        <v/>
      </c>
      <c r="J67" s="17" t="str">
        <f t="shared" si="14"/>
        <v/>
      </c>
      <c r="K67" s="18" t="str">
        <f t="shared" si="15"/>
        <v/>
      </c>
      <c r="L67" s="21"/>
      <c r="M67" s="21" t="str">
        <f>IF(SUBTOTAL(109,A67)=A67,"","")</f>
        <v/>
      </c>
      <c r="N67" s="21"/>
      <c r="O67" s="21"/>
      <c r="P67" s="21"/>
      <c r="Q67" s="21"/>
      <c r="R67" s="21" t="str">
        <f>IF(SUBTOTAL(109,A67)=A67,"",-48720)</f>
        <v/>
      </c>
      <c r="S67" s="21" t="str">
        <f>IF(SUBTOTAL(109,A67)=A67,"",-44405)</f>
        <v/>
      </c>
      <c r="T67" s="21" t="str">
        <f>IF(SUBTOTAL(109,A67)=A67,"",-38668)</f>
        <v/>
      </c>
      <c r="U67" s="21" t="str">
        <f>IF(SUBTOTAL(109,A67)=A67,"",-32819)</f>
        <v/>
      </c>
      <c r="V67" s="21" t="str">
        <f>IF(SUBTOTAL(109,A67)=A67,"",-26854)</f>
        <v/>
      </c>
      <c r="W67" s="21" t="str">
        <f>IF(SUBTOTAL(109,A67)=A67,"",-21286)</f>
        <v/>
      </c>
      <c r="X67" s="21" t="str">
        <f>IF(SUBTOTAL(109,A67)=A67,"",-18575)</f>
        <v/>
      </c>
      <c r="Y67" s="21" t="str">
        <f>IF(SUBTOTAL(109,A67)=A67,"",-15738)</f>
        <v/>
      </c>
      <c r="Z67" s="21" t="str">
        <f>IF(SUBTOTAL(109,A67)=A67,"",-12916)</f>
        <v/>
      </c>
      <c r="AA67" s="21" t="str">
        <f>IF(SUBTOTAL(109,A67)=A67,"",-10099)</f>
        <v/>
      </c>
      <c r="AB67" s="21" t="str">
        <f>IF(SUBTOTAL(109,A67)=A67,"",-7950)</f>
        <v/>
      </c>
      <c r="AC67" s="21" t="str">
        <f>IF(SUBTOTAL(109,A67)=A67,"","")</f>
        <v/>
      </c>
      <c r="AD67" s="21" t="str">
        <f>IF(SUBTOTAL(109,A67)=A67,"","")</f>
        <v/>
      </c>
      <c r="AE67" s="21" t="str">
        <f>IF(SUBTOTAL(109,A67)=A67,"","")</f>
        <v/>
      </c>
      <c r="AF67" s="21" t="str">
        <f>IF(SUBTOTAL(109,A67)=A67,"",-3603)</f>
        <v/>
      </c>
      <c r="AG67" s="21" t="str">
        <f>IF(SUBTOTAL(109,A67)=A67,"","")</f>
        <v/>
      </c>
      <c r="AH67" s="21" t="str">
        <f>IF(SUBTOTAL(109,A67)=A67,"","")</f>
        <v/>
      </c>
      <c r="AI67" s="21" t="str">
        <f>IF(SUBTOTAL(109,A67)=A67,"","")</f>
        <v/>
      </c>
      <c r="AJ67" s="21" t="str">
        <f>IF(SUBTOTAL(109,A67)=A67,"",-3039)</f>
        <v/>
      </c>
      <c r="AK67" s="21" t="str">
        <f>IF(SUBTOTAL(109,A67)=A67,"","")</f>
        <v/>
      </c>
      <c r="AL67" s="21" t="str">
        <f>IF(SUBTOTAL(109,A67)=A67,"","")</f>
        <v/>
      </c>
      <c r="AM67" s="21" t="str">
        <f>IF(SUBTOTAL(109,A67)=A67,"","")</f>
        <v/>
      </c>
      <c r="AN67" s="21" t="str">
        <f>IF(SUBTOTAL(109,A67)=A67,"",-2430)</f>
        <v/>
      </c>
      <c r="AO67" s="21" t="str">
        <f>IF(SUBTOTAL(109,A67)=A67,"",-2946)</f>
        <v/>
      </c>
      <c r="AP67" s="21" t="str">
        <f>IF(SUBTOTAL(109,A67)=A67,"",-2668)</f>
        <v/>
      </c>
      <c r="AQ67" s="21" t="str">
        <f>IF(SUBTOTAL(109,A67)=A67,"","")</f>
        <v/>
      </c>
      <c r="AR67" s="21" t="str">
        <f>IF(SUBTOTAL(109,A67)=A67,"",-4506)</f>
        <v/>
      </c>
      <c r="AS67" s="21" t="str">
        <f>IF(SUBTOTAL(109,A67)=A67,"","")</f>
        <v/>
      </c>
      <c r="AT67" s="21" t="str">
        <f>IF(SUBTOTAL(109,A67)=A67,"","")</f>
        <v/>
      </c>
      <c r="AU67" s="21" t="str">
        <f>IF(SUBTOTAL(109,A67)=A67,"","")</f>
        <v/>
      </c>
      <c r="AV67" s="21" t="str">
        <f>IF(SUBTOTAL(109,A67)=A67,"","")</f>
        <v/>
      </c>
      <c r="AW67" s="21" t="str">
        <f>IF(SUBTOTAL(109,A67)=A67,"","")</f>
        <v/>
      </c>
      <c r="AX67" s="21" t="str">
        <f>IF(SUBTOTAL(109,A67)=A67,"","")</f>
        <v/>
      </c>
      <c r="AY67" s="21" t="str">
        <f>IF(SUBTOTAL(109,A67)=A67,"","")</f>
        <v/>
      </c>
      <c r="AZ67" s="21" t="str">
        <f>IF(SUBTOTAL(109,A67)=A67,"","")</f>
        <v/>
      </c>
      <c r="BA67" s="21" t="str">
        <f>IF(SUBTOTAL(109,A67)=A67,"","")</f>
        <v/>
      </c>
      <c r="BB67" s="21" t="str">
        <f>IF(SUBTOTAL(109,A67)=A67,"","")</f>
        <v/>
      </c>
      <c r="BC67" s="21" t="str">
        <f>IF(SUBTOTAL(109,A67)=A67,"","")</f>
        <v/>
      </c>
      <c r="BD67" s="21" t="str">
        <f>IF(SUBTOTAL(109,A67)=A67,"","")</f>
        <v/>
      </c>
      <c r="BE67" s="21" t="str">
        <f>IF(SUBTOTAL(109,A67)=A67,"","")</f>
        <v/>
      </c>
      <c r="BF67" s="21" t="str">
        <f>IF(SUBTOTAL(109,A67)=A67,"","")</f>
        <v/>
      </c>
      <c r="BG67" s="21" t="str">
        <f>IF(SUBTOTAL(109,A67)=A67,"","")</f>
        <v/>
      </c>
      <c r="BH67" s="21" t="str">
        <f>IF(SUBTOTAL(109,A67)=A67,"","")</f>
        <v/>
      </c>
      <c r="BI67" s="21" t="str">
        <f>IF(SUBTOTAL(109,A67)=A67,"","")</f>
        <v/>
      </c>
      <c r="BJ67" s="21" t="str">
        <f>IF(SUBTOTAL(109,A67)=A67,"","")</f>
        <v/>
      </c>
      <c r="BK67" s="21" t="str">
        <f>IF(SUBTOTAL(109,A67)=A67,"","")</f>
        <v/>
      </c>
      <c r="BL67" s="21" t="str">
        <f>IF(SUBTOTAL(109,A67)=A67,"","")</f>
        <v/>
      </c>
      <c r="BM67" s="21" t="str">
        <f>IF(SUBTOTAL(109,A67)=A67,"","")</f>
        <v/>
      </c>
      <c r="BN67" s="21" t="str">
        <f>IF(SUBTOTAL(109,A67)=A67,"","")</f>
        <v/>
      </c>
      <c r="BO67" s="21" t="str">
        <f>IF(SUBTOTAL(109,A67)=A67,"","")</f>
        <v/>
      </c>
      <c r="BP67" s="21" t="str">
        <f>IF(SUBTOTAL(109,A67)=A67,"","")</f>
        <v/>
      </c>
      <c r="BQ67" s="21" t="str">
        <f>IF(SUBTOTAL(109,A67)=A67,"","")</f>
        <v/>
      </c>
      <c r="BR67" s="21" t="str">
        <f>IF(SUBTOTAL(109,A67)=A67,"","")</f>
        <v/>
      </c>
      <c r="BS67" s="21" t="str">
        <f>IF(SUBTOTAL(109,A67)=A67,"","")</f>
        <v/>
      </c>
      <c r="BT67" s="21" t="str">
        <f>IF(SUBTOTAL(109,A67)=A67,"","")</f>
        <v/>
      </c>
      <c r="BU67" s="21" t="str">
        <f>IF(SUBTOTAL(109,A67)=A67,"","")</f>
        <v/>
      </c>
      <c r="BV67" s="21" t="str">
        <f>IF(SUBTOTAL(109,A67)=A67,"","")</f>
        <v/>
      </c>
      <c r="BW67" s="21" t="str">
        <f>IF(SUBTOTAL(109,A67)=A67,"","")</f>
        <v/>
      </c>
      <c r="BX67" s="21" t="str">
        <f>IF(SUBTOTAL(109,A67)=A67,"","")</f>
        <v/>
      </c>
      <c r="BY67" s="21" t="str">
        <f>IF(SUBTOTAL(109,A67)=A67,"","")</f>
        <v/>
      </c>
      <c r="BZ67" s="21" t="str">
        <f>IF(SUBTOTAL(109,A67)=A67,"","")</f>
        <v/>
      </c>
      <c r="CA67" s="21" t="str">
        <f>IF(SUBTOTAL(109,A67)=A67,"","")</f>
        <v/>
      </c>
      <c r="CB67" s="21" t="str">
        <f>IF(SUBTOTAL(109,A67)=A67,"","")</f>
        <v/>
      </c>
      <c r="CC67" s="21" t="str">
        <f>IF(SUBTOTAL(109,A67)=A67,"","")</f>
        <v/>
      </c>
      <c r="CD67" s="21" t="str">
        <f>IF(SUBTOTAL(109,A67)=A67,"","")</f>
        <v/>
      </c>
      <c r="CE67" s="21" t="str">
        <f>IF(SUBTOTAL(109,A67)=A67,"","")</f>
        <v/>
      </c>
      <c r="CG67" s="15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</row>
    <row r="68" spans="1:106" outlineLevel="4" x14ac:dyDescent="0.2">
      <c r="A68" s="14">
        <v>1</v>
      </c>
      <c r="C68" s="9" t="str">
        <f>IF(SUBTOTAL(109,A68)=A68,"                Accumulated Amortization of Intangible Assets","                Accumulated Amortization of Intangible Assets")</f>
        <v xml:space="preserve">                Accumulated Amortization of Intangible Assets</v>
      </c>
      <c r="D68" s="17" t="str">
        <f t="shared" si="8"/>
        <v/>
      </c>
      <c r="E68" s="17" t="str">
        <f t="shared" si="9"/>
        <v/>
      </c>
      <c r="F68" s="17" t="str">
        <f t="shared" si="10"/>
        <v/>
      </c>
      <c r="G68" s="17" t="str">
        <f t="shared" si="11"/>
        <v/>
      </c>
      <c r="H68" s="17" t="str">
        <f t="shared" si="12"/>
        <v/>
      </c>
      <c r="I68" s="17" t="str">
        <f t="shared" si="13"/>
        <v/>
      </c>
      <c r="J68" s="17" t="str">
        <f t="shared" si="14"/>
        <v/>
      </c>
      <c r="K68" s="18" t="str">
        <f t="shared" si="15"/>
        <v/>
      </c>
      <c r="L68" s="21"/>
      <c r="M68" s="21" t="str">
        <f>IF(SUBTOTAL(109,A68)=A68,"","")</f>
        <v/>
      </c>
      <c r="N68" s="21"/>
      <c r="O68" s="21"/>
      <c r="P68" s="21"/>
      <c r="Q68" s="21"/>
      <c r="R68" s="21" t="str">
        <f>IF(SUBTOTAL(109,A68)=A68,"",-48720)</f>
        <v/>
      </c>
      <c r="S68" s="21" t="str">
        <f>IF(SUBTOTAL(109,A68)=A68,"",-44405)</f>
        <v/>
      </c>
      <c r="T68" s="21" t="str">
        <f>IF(SUBTOTAL(109,A68)=A68,"",-38668)</f>
        <v/>
      </c>
      <c r="U68" s="21" t="str">
        <f>IF(SUBTOTAL(109,A68)=A68,"",-32819)</f>
        <v/>
      </c>
      <c r="V68" s="21" t="str">
        <f>IF(SUBTOTAL(109,A68)=A68,"",-26854)</f>
        <v/>
      </c>
      <c r="W68" s="21" t="str">
        <f>IF(SUBTOTAL(109,A68)=A68,"",-21286)</f>
        <v/>
      </c>
      <c r="X68" s="21" t="str">
        <f>IF(SUBTOTAL(109,A68)=A68,"",-18575)</f>
        <v/>
      </c>
      <c r="Y68" s="21" t="str">
        <f>IF(SUBTOTAL(109,A68)=A68,"",-15738)</f>
        <v/>
      </c>
      <c r="Z68" s="21" t="str">
        <f>IF(SUBTOTAL(109,A68)=A68,"",-12916)</f>
        <v/>
      </c>
      <c r="AA68" s="21" t="str">
        <f>IF(SUBTOTAL(109,A68)=A68,"",-10099)</f>
        <v/>
      </c>
      <c r="AB68" s="21" t="str">
        <f>IF(SUBTOTAL(109,A68)=A68,"",-7950)</f>
        <v/>
      </c>
      <c r="AC68" s="21" t="str">
        <f>IF(SUBTOTAL(109,A68)=A68,"","")</f>
        <v/>
      </c>
      <c r="AD68" s="21" t="str">
        <f>IF(SUBTOTAL(109,A68)=A68,"","")</f>
        <v/>
      </c>
      <c r="AE68" s="21" t="str">
        <f>IF(SUBTOTAL(109,A68)=A68,"","")</f>
        <v/>
      </c>
      <c r="AF68" s="21" t="str">
        <f>IF(SUBTOTAL(109,A68)=A68,"",-3603)</f>
        <v/>
      </c>
      <c r="AG68" s="21" t="str">
        <f>IF(SUBTOTAL(109,A68)=A68,"","")</f>
        <v/>
      </c>
      <c r="AH68" s="21" t="str">
        <f>IF(SUBTOTAL(109,A68)=A68,"","")</f>
        <v/>
      </c>
      <c r="AI68" s="21" t="str">
        <f>IF(SUBTOTAL(109,A68)=A68,"","")</f>
        <v/>
      </c>
      <c r="AJ68" s="21" t="str">
        <f>IF(SUBTOTAL(109,A68)=A68,"",-3039)</f>
        <v/>
      </c>
      <c r="AK68" s="21" t="str">
        <f>IF(SUBTOTAL(109,A68)=A68,"","")</f>
        <v/>
      </c>
      <c r="AL68" s="21" t="str">
        <f>IF(SUBTOTAL(109,A68)=A68,"","")</f>
        <v/>
      </c>
      <c r="AM68" s="21" t="str">
        <f>IF(SUBTOTAL(109,A68)=A68,"","")</f>
        <v/>
      </c>
      <c r="AN68" s="21" t="str">
        <f>IF(SUBTOTAL(109,A68)=A68,"",-2430)</f>
        <v/>
      </c>
      <c r="AO68" s="21" t="str">
        <f>IF(SUBTOTAL(109,A68)=A68,"",-2946)</f>
        <v/>
      </c>
      <c r="AP68" s="21" t="str">
        <f>IF(SUBTOTAL(109,A68)=A68,"",-2668)</f>
        <v/>
      </c>
      <c r="AQ68" s="21" t="str">
        <f>IF(SUBTOTAL(109,A68)=A68,"","")</f>
        <v/>
      </c>
      <c r="AR68" s="21" t="str">
        <f>IF(SUBTOTAL(109,A68)=A68,"",-4506)</f>
        <v/>
      </c>
      <c r="AS68" s="21" t="str">
        <f>IF(SUBTOTAL(109,A68)=A68,"","")</f>
        <v/>
      </c>
      <c r="AT68" s="21" t="str">
        <f>IF(SUBTOTAL(109,A68)=A68,"","")</f>
        <v/>
      </c>
      <c r="AU68" s="21" t="str">
        <f>IF(SUBTOTAL(109,A68)=A68,"","")</f>
        <v/>
      </c>
      <c r="AV68" s="21" t="str">
        <f>IF(SUBTOTAL(109,A68)=A68,"","")</f>
        <v/>
      </c>
      <c r="AW68" s="21" t="str">
        <f>IF(SUBTOTAL(109,A68)=A68,"","")</f>
        <v/>
      </c>
      <c r="AX68" s="21" t="str">
        <f>IF(SUBTOTAL(109,A68)=A68,"","")</f>
        <v/>
      </c>
      <c r="AY68" s="21" t="str">
        <f>IF(SUBTOTAL(109,A68)=A68,"","")</f>
        <v/>
      </c>
      <c r="AZ68" s="21" t="str">
        <f>IF(SUBTOTAL(109,A68)=A68,"","")</f>
        <v/>
      </c>
      <c r="BA68" s="21" t="str">
        <f>IF(SUBTOTAL(109,A68)=A68,"","")</f>
        <v/>
      </c>
      <c r="BB68" s="21" t="str">
        <f>IF(SUBTOTAL(109,A68)=A68,"","")</f>
        <v/>
      </c>
      <c r="BC68" s="21" t="str">
        <f>IF(SUBTOTAL(109,A68)=A68,"","")</f>
        <v/>
      </c>
      <c r="BD68" s="21" t="str">
        <f>IF(SUBTOTAL(109,A68)=A68,"","")</f>
        <v/>
      </c>
      <c r="BE68" s="21" t="str">
        <f>IF(SUBTOTAL(109,A68)=A68,"","")</f>
        <v/>
      </c>
      <c r="BF68" s="21" t="str">
        <f>IF(SUBTOTAL(109,A68)=A68,"","")</f>
        <v/>
      </c>
      <c r="BG68" s="21" t="str">
        <f>IF(SUBTOTAL(109,A68)=A68,"","")</f>
        <v/>
      </c>
      <c r="BH68" s="21" t="str">
        <f>IF(SUBTOTAL(109,A68)=A68,"","")</f>
        <v/>
      </c>
      <c r="BI68" s="21" t="str">
        <f>IF(SUBTOTAL(109,A68)=A68,"","")</f>
        <v/>
      </c>
      <c r="BJ68" s="21" t="str">
        <f>IF(SUBTOTAL(109,A68)=A68,"","")</f>
        <v/>
      </c>
      <c r="BK68" s="21" t="str">
        <f>IF(SUBTOTAL(109,A68)=A68,"","")</f>
        <v/>
      </c>
      <c r="BL68" s="21" t="str">
        <f>IF(SUBTOTAL(109,A68)=A68,"","")</f>
        <v/>
      </c>
      <c r="BM68" s="21" t="str">
        <f>IF(SUBTOTAL(109,A68)=A68,"","")</f>
        <v/>
      </c>
      <c r="BN68" s="21" t="str">
        <f>IF(SUBTOTAL(109,A68)=A68,"","")</f>
        <v/>
      </c>
      <c r="BO68" s="21" t="str">
        <f>IF(SUBTOTAL(109,A68)=A68,"","")</f>
        <v/>
      </c>
      <c r="BP68" s="21" t="str">
        <f>IF(SUBTOTAL(109,A68)=A68,"","")</f>
        <v/>
      </c>
      <c r="BQ68" s="21" t="str">
        <f>IF(SUBTOTAL(109,A68)=A68,"","")</f>
        <v/>
      </c>
      <c r="BR68" s="21" t="str">
        <f>IF(SUBTOTAL(109,A68)=A68,"","")</f>
        <v/>
      </c>
      <c r="BS68" s="21" t="str">
        <f>IF(SUBTOTAL(109,A68)=A68,"","")</f>
        <v/>
      </c>
      <c r="BT68" s="21" t="str">
        <f>IF(SUBTOTAL(109,A68)=A68,"","")</f>
        <v/>
      </c>
      <c r="BU68" s="21" t="str">
        <f>IF(SUBTOTAL(109,A68)=A68,"","")</f>
        <v/>
      </c>
      <c r="BV68" s="21" t="str">
        <f>IF(SUBTOTAL(109,A68)=A68,"","")</f>
        <v/>
      </c>
      <c r="BW68" s="21" t="str">
        <f>IF(SUBTOTAL(109,A68)=A68,"","")</f>
        <v/>
      </c>
      <c r="BX68" s="21" t="str">
        <f>IF(SUBTOTAL(109,A68)=A68,"","")</f>
        <v/>
      </c>
      <c r="BY68" s="21" t="str">
        <f>IF(SUBTOTAL(109,A68)=A68,"","")</f>
        <v/>
      </c>
      <c r="BZ68" s="21" t="str">
        <f>IF(SUBTOTAL(109,A68)=A68,"","")</f>
        <v/>
      </c>
      <c r="CA68" s="21" t="str">
        <f>IF(SUBTOTAL(109,A68)=A68,"","")</f>
        <v/>
      </c>
      <c r="CB68" s="21" t="str">
        <f>IF(SUBTOTAL(109,A68)=A68,"","")</f>
        <v/>
      </c>
      <c r="CC68" s="21" t="str">
        <f>IF(SUBTOTAL(109,A68)=A68,"","")</f>
        <v/>
      </c>
      <c r="CD68" s="21" t="str">
        <f>IF(SUBTOTAL(109,A68)=A68,"","")</f>
        <v/>
      </c>
      <c r="CE68" s="21" t="str">
        <f>IF(SUBTOTAL(109,A68)=A68,"","")</f>
        <v/>
      </c>
      <c r="CG68" s="15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</row>
    <row r="69" spans="1:106" outlineLevel="5" x14ac:dyDescent="0.2">
      <c r="A69" s="14">
        <v>1</v>
      </c>
      <c r="C69" s="9" t="str">
        <f>IF(SUBTOTAL(109,A69)=A69,"                    Accumulated Amortization of Intangibles other than Goodwill","                    Accumulated Amortization of Intangibles other than Goodwill")</f>
        <v xml:space="preserve">                    Accumulated Amortization of Intangibles other than Goodwill</v>
      </c>
      <c r="D69" s="17" t="str">
        <f t="shared" si="8"/>
        <v/>
      </c>
      <c r="E69" s="17" t="str">
        <f t="shared" si="9"/>
        <v/>
      </c>
      <c r="F69" s="17" t="str">
        <f t="shared" si="10"/>
        <v/>
      </c>
      <c r="G69" s="17" t="str">
        <f t="shared" si="11"/>
        <v/>
      </c>
      <c r="H69" s="17" t="str">
        <f t="shared" si="12"/>
        <v/>
      </c>
      <c r="I69" s="17" t="str">
        <f t="shared" si="13"/>
        <v/>
      </c>
      <c r="J69" s="17" t="str">
        <f t="shared" si="14"/>
        <v/>
      </c>
      <c r="K69" s="18" t="str">
        <f t="shared" si="15"/>
        <v/>
      </c>
      <c r="L69" s="21"/>
      <c r="M69" s="21" t="str">
        <f>IF(SUBTOTAL(109,A69)=A69,"","")</f>
        <v/>
      </c>
      <c r="N69" s="21"/>
      <c r="O69" s="21"/>
      <c r="P69" s="21"/>
      <c r="Q69" s="21"/>
      <c r="R69" s="21" t="str">
        <f>IF(SUBTOTAL(109,A69)=A69,"",-48720)</f>
        <v/>
      </c>
      <c r="S69" s="21" t="str">
        <f>IF(SUBTOTAL(109,A69)=A69,"",-44405)</f>
        <v/>
      </c>
      <c r="T69" s="21" t="str">
        <f>IF(SUBTOTAL(109,A69)=A69,"",-38668)</f>
        <v/>
      </c>
      <c r="U69" s="21" t="str">
        <f>IF(SUBTOTAL(109,A69)=A69,"",-32819)</f>
        <v/>
      </c>
      <c r="V69" s="21" t="str">
        <f>IF(SUBTOTAL(109,A69)=A69,"",-26854)</f>
        <v/>
      </c>
      <c r="W69" s="21" t="str">
        <f>IF(SUBTOTAL(109,A69)=A69,"",-21286)</f>
        <v/>
      </c>
      <c r="X69" s="21" t="str">
        <f>IF(SUBTOTAL(109,A69)=A69,"",-18575)</f>
        <v/>
      </c>
      <c r="Y69" s="21" t="str">
        <f>IF(SUBTOTAL(109,A69)=A69,"",-15738)</f>
        <v/>
      </c>
      <c r="Z69" s="21" t="str">
        <f>IF(SUBTOTAL(109,A69)=A69,"",-12916)</f>
        <v/>
      </c>
      <c r="AA69" s="21" t="str">
        <f>IF(SUBTOTAL(109,A69)=A69,"",-10099)</f>
        <v/>
      </c>
      <c r="AB69" s="21" t="str">
        <f>IF(SUBTOTAL(109,A69)=A69,"",-7950)</f>
        <v/>
      </c>
      <c r="AC69" s="21" t="str">
        <f>IF(SUBTOTAL(109,A69)=A69,"","")</f>
        <v/>
      </c>
      <c r="AD69" s="21" t="str">
        <f>IF(SUBTOTAL(109,A69)=A69,"","")</f>
        <v/>
      </c>
      <c r="AE69" s="21" t="str">
        <f>IF(SUBTOTAL(109,A69)=A69,"","")</f>
        <v/>
      </c>
      <c r="AF69" s="21" t="str">
        <f>IF(SUBTOTAL(109,A69)=A69,"",-3603)</f>
        <v/>
      </c>
      <c r="AG69" s="21" t="str">
        <f>IF(SUBTOTAL(109,A69)=A69,"","")</f>
        <v/>
      </c>
      <c r="AH69" s="21" t="str">
        <f>IF(SUBTOTAL(109,A69)=A69,"","")</f>
        <v/>
      </c>
      <c r="AI69" s="21" t="str">
        <f>IF(SUBTOTAL(109,A69)=A69,"","")</f>
        <v/>
      </c>
      <c r="AJ69" s="21" t="str">
        <f>IF(SUBTOTAL(109,A69)=A69,"",-3039)</f>
        <v/>
      </c>
      <c r="AK69" s="21" t="str">
        <f>IF(SUBTOTAL(109,A69)=A69,"","")</f>
        <v/>
      </c>
      <c r="AL69" s="21" t="str">
        <f>IF(SUBTOTAL(109,A69)=A69,"","")</f>
        <v/>
      </c>
      <c r="AM69" s="21" t="str">
        <f>IF(SUBTOTAL(109,A69)=A69,"","")</f>
        <v/>
      </c>
      <c r="AN69" s="21" t="str">
        <f>IF(SUBTOTAL(109,A69)=A69,"",-2430)</f>
        <v/>
      </c>
      <c r="AO69" s="21" t="str">
        <f>IF(SUBTOTAL(109,A69)=A69,"","")</f>
        <v/>
      </c>
      <c r="AP69" s="21" t="str">
        <f>IF(SUBTOTAL(109,A69)=A69,"","")</f>
        <v/>
      </c>
      <c r="AQ69" s="21" t="str">
        <f>IF(SUBTOTAL(109,A69)=A69,"","")</f>
        <v/>
      </c>
      <c r="AR69" s="21" t="str">
        <f>IF(SUBTOTAL(109,A69)=A69,"",-4506)</f>
        <v/>
      </c>
      <c r="AS69" s="21" t="str">
        <f>IF(SUBTOTAL(109,A69)=A69,"","")</f>
        <v/>
      </c>
      <c r="AT69" s="21" t="str">
        <f>IF(SUBTOTAL(109,A69)=A69,"","")</f>
        <v/>
      </c>
      <c r="AU69" s="21" t="str">
        <f>IF(SUBTOTAL(109,A69)=A69,"","")</f>
        <v/>
      </c>
      <c r="AV69" s="21" t="str">
        <f>IF(SUBTOTAL(109,A69)=A69,"","")</f>
        <v/>
      </c>
      <c r="AW69" s="21" t="str">
        <f>IF(SUBTOTAL(109,A69)=A69,"","")</f>
        <v/>
      </c>
      <c r="AX69" s="21" t="str">
        <f>IF(SUBTOTAL(109,A69)=A69,"","")</f>
        <v/>
      </c>
      <c r="AY69" s="21" t="str">
        <f>IF(SUBTOTAL(109,A69)=A69,"","")</f>
        <v/>
      </c>
      <c r="AZ69" s="21" t="str">
        <f>IF(SUBTOTAL(109,A69)=A69,"","")</f>
        <v/>
      </c>
      <c r="BA69" s="21" t="str">
        <f>IF(SUBTOTAL(109,A69)=A69,"","")</f>
        <v/>
      </c>
      <c r="BB69" s="21" t="str">
        <f>IF(SUBTOTAL(109,A69)=A69,"","")</f>
        <v/>
      </c>
      <c r="BC69" s="21" t="str">
        <f>IF(SUBTOTAL(109,A69)=A69,"","")</f>
        <v/>
      </c>
      <c r="BD69" s="21" t="str">
        <f>IF(SUBTOTAL(109,A69)=A69,"","")</f>
        <v/>
      </c>
      <c r="BE69" s="21" t="str">
        <f>IF(SUBTOTAL(109,A69)=A69,"","")</f>
        <v/>
      </c>
      <c r="BF69" s="21" t="str">
        <f>IF(SUBTOTAL(109,A69)=A69,"","")</f>
        <v/>
      </c>
      <c r="BG69" s="21" t="str">
        <f>IF(SUBTOTAL(109,A69)=A69,"","")</f>
        <v/>
      </c>
      <c r="BH69" s="21" t="str">
        <f>IF(SUBTOTAL(109,A69)=A69,"","")</f>
        <v/>
      </c>
      <c r="BI69" s="21" t="str">
        <f>IF(SUBTOTAL(109,A69)=A69,"","")</f>
        <v/>
      </c>
      <c r="BJ69" s="21" t="str">
        <f>IF(SUBTOTAL(109,A69)=A69,"","")</f>
        <v/>
      </c>
      <c r="BK69" s="21" t="str">
        <f>IF(SUBTOTAL(109,A69)=A69,"","")</f>
        <v/>
      </c>
      <c r="BL69" s="21" t="str">
        <f>IF(SUBTOTAL(109,A69)=A69,"","")</f>
        <v/>
      </c>
      <c r="BM69" s="21" t="str">
        <f>IF(SUBTOTAL(109,A69)=A69,"","")</f>
        <v/>
      </c>
      <c r="BN69" s="21" t="str">
        <f>IF(SUBTOTAL(109,A69)=A69,"","")</f>
        <v/>
      </c>
      <c r="BO69" s="21" t="str">
        <f>IF(SUBTOTAL(109,A69)=A69,"","")</f>
        <v/>
      </c>
      <c r="BP69" s="21" t="str">
        <f>IF(SUBTOTAL(109,A69)=A69,"","")</f>
        <v/>
      </c>
      <c r="BQ69" s="21" t="str">
        <f>IF(SUBTOTAL(109,A69)=A69,"","")</f>
        <v/>
      </c>
      <c r="BR69" s="21" t="str">
        <f>IF(SUBTOTAL(109,A69)=A69,"","")</f>
        <v/>
      </c>
      <c r="BS69" s="21" t="str">
        <f>IF(SUBTOTAL(109,A69)=A69,"","")</f>
        <v/>
      </c>
      <c r="BT69" s="21" t="str">
        <f>IF(SUBTOTAL(109,A69)=A69,"","")</f>
        <v/>
      </c>
      <c r="BU69" s="21" t="str">
        <f>IF(SUBTOTAL(109,A69)=A69,"","")</f>
        <v/>
      </c>
      <c r="BV69" s="21" t="str">
        <f>IF(SUBTOTAL(109,A69)=A69,"","")</f>
        <v/>
      </c>
      <c r="BW69" s="21" t="str">
        <f>IF(SUBTOTAL(109,A69)=A69,"","")</f>
        <v/>
      </c>
      <c r="BX69" s="21" t="str">
        <f>IF(SUBTOTAL(109,A69)=A69,"","")</f>
        <v/>
      </c>
      <c r="BY69" s="21" t="str">
        <f>IF(SUBTOTAL(109,A69)=A69,"","")</f>
        <v/>
      </c>
      <c r="BZ69" s="21" t="str">
        <f>IF(SUBTOTAL(109,A69)=A69,"","")</f>
        <v/>
      </c>
      <c r="CA69" s="21" t="str">
        <f>IF(SUBTOTAL(109,A69)=A69,"","")</f>
        <v/>
      </c>
      <c r="CB69" s="21" t="str">
        <f>IF(SUBTOTAL(109,A69)=A69,"","")</f>
        <v/>
      </c>
      <c r="CC69" s="21" t="str">
        <f>IF(SUBTOTAL(109,A69)=A69,"","")</f>
        <v/>
      </c>
      <c r="CD69" s="21" t="str">
        <f>IF(SUBTOTAL(109,A69)=A69,"","")</f>
        <v/>
      </c>
      <c r="CE69" s="21" t="str">
        <f>IF(SUBTOTAL(109,A69)=A69,"","")</f>
        <v/>
      </c>
      <c r="CG69" s="15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</row>
    <row r="70" spans="1:106" outlineLevel="6" x14ac:dyDescent="0.2">
      <c r="A70" s="14">
        <v>1</v>
      </c>
      <c r="C70" s="9" t="str">
        <f>"                        Accumulated Amortization of Trademarks and Patents"</f>
        <v xml:space="preserve">                        Accumulated Amortization of Trademarks and Patents</v>
      </c>
      <c r="D70" s="17">
        <f t="shared" si="8"/>
        <v>-12048</v>
      </c>
      <c r="E70" s="17">
        <f t="shared" si="9"/>
        <v>-13809.155555555555</v>
      </c>
      <c r="F70" s="17">
        <f t="shared" si="10"/>
        <v>-29193</v>
      </c>
      <c r="G70" s="17">
        <f t="shared" si="11"/>
        <v>-5303</v>
      </c>
      <c r="H70" s="17">
        <f t="shared" si="12"/>
        <v>-18135</v>
      </c>
      <c r="I70" s="17">
        <f t="shared" si="13"/>
        <v>-7616.5</v>
      </c>
      <c r="J70" s="17">
        <f t="shared" si="14"/>
        <v>7554.3417557695275</v>
      </c>
      <c r="K70" s="18">
        <f t="shared" si="15"/>
        <v>-0.54705312901847525</v>
      </c>
      <c r="L70" s="21"/>
      <c r="M70" s="21" t="s">
        <v>165</v>
      </c>
      <c r="N70" s="21">
        <v>-5367</v>
      </c>
      <c r="O70" s="21">
        <v>-24605.333333333332</v>
      </c>
      <c r="P70" s="21">
        <v>-29193</v>
      </c>
      <c r="Q70" s="21">
        <v>-22984</v>
      </c>
      <c r="R70" s="21">
        <v>-19031</v>
      </c>
      <c r="S70" s="21">
        <v>-17239</v>
      </c>
      <c r="T70" s="21">
        <v>-15619</v>
      </c>
      <c r="U70" s="21">
        <v>-14906</v>
      </c>
      <c r="V70" s="21">
        <v>-12048</v>
      </c>
      <c r="W70" s="21">
        <v>-10388</v>
      </c>
      <c r="X70" s="21">
        <v>-9262</v>
      </c>
      <c r="Y70" s="21">
        <v>-8171</v>
      </c>
      <c r="Z70" s="21">
        <v>-7062</v>
      </c>
      <c r="AA70" s="21">
        <v>-5959</v>
      </c>
      <c r="AB70" s="21">
        <v>-5303</v>
      </c>
      <c r="AC70" s="21" t="s">
        <v>165</v>
      </c>
      <c r="AD70" s="21" t="s">
        <v>165</v>
      </c>
      <c r="AE70" s="21" t="s">
        <v>165</v>
      </c>
      <c r="AF70" s="21" t="s">
        <v>165</v>
      </c>
      <c r="AG70" s="21" t="s">
        <v>165</v>
      </c>
      <c r="AH70" s="21" t="s">
        <v>165</v>
      </c>
      <c r="AI70" s="21" t="s">
        <v>165</v>
      </c>
      <c r="AJ70" s="21" t="s">
        <v>165</v>
      </c>
      <c r="AK70" s="21" t="s">
        <v>165</v>
      </c>
      <c r="AL70" s="21" t="s">
        <v>165</v>
      </c>
      <c r="AM70" s="21" t="s">
        <v>165</v>
      </c>
      <c r="AN70" s="21" t="s">
        <v>165</v>
      </c>
      <c r="AO70" s="21" t="s">
        <v>165</v>
      </c>
      <c r="AP70" s="21" t="s">
        <v>165</v>
      </c>
      <c r="AQ70" s="21" t="s">
        <v>165</v>
      </c>
      <c r="AR70" s="21" t="s">
        <v>165</v>
      </c>
      <c r="AS70" s="21" t="s">
        <v>165</v>
      </c>
      <c r="AT70" s="21" t="s">
        <v>165</v>
      </c>
      <c r="AU70" s="21" t="s">
        <v>165</v>
      </c>
      <c r="AV70" s="21" t="s">
        <v>165</v>
      </c>
      <c r="AW70" s="21" t="s">
        <v>165</v>
      </c>
      <c r="AX70" s="21" t="s">
        <v>165</v>
      </c>
      <c r="AY70" s="21" t="s">
        <v>165</v>
      </c>
      <c r="AZ70" s="21" t="s">
        <v>165</v>
      </c>
      <c r="BA70" s="21" t="s">
        <v>165</v>
      </c>
      <c r="BB70" s="21" t="s">
        <v>165</v>
      </c>
      <c r="BC70" s="21" t="s">
        <v>165</v>
      </c>
      <c r="BD70" s="21" t="s">
        <v>165</v>
      </c>
      <c r="BE70" s="21" t="s">
        <v>165</v>
      </c>
      <c r="BF70" s="21" t="s">
        <v>165</v>
      </c>
      <c r="BG70" s="21" t="s">
        <v>165</v>
      </c>
      <c r="BH70" s="21" t="s">
        <v>165</v>
      </c>
      <c r="BI70" s="21" t="s">
        <v>165</v>
      </c>
      <c r="BJ70" s="21" t="s">
        <v>165</v>
      </c>
      <c r="BK70" s="21" t="s">
        <v>165</v>
      </c>
      <c r="BL70" s="21" t="s">
        <v>165</v>
      </c>
      <c r="BM70" s="21" t="s">
        <v>165</v>
      </c>
      <c r="BN70" s="21" t="s">
        <v>165</v>
      </c>
      <c r="BO70" s="21" t="s">
        <v>165</v>
      </c>
      <c r="BP70" s="21" t="s">
        <v>165</v>
      </c>
      <c r="BQ70" s="21" t="s">
        <v>165</v>
      </c>
      <c r="BR70" s="21" t="s">
        <v>165</v>
      </c>
      <c r="BS70" s="21" t="s">
        <v>165</v>
      </c>
      <c r="BT70" s="21" t="s">
        <v>165</v>
      </c>
      <c r="BU70" s="21" t="s">
        <v>165</v>
      </c>
      <c r="BV70" s="21" t="s">
        <v>165</v>
      </c>
      <c r="BW70" s="21" t="s">
        <v>165</v>
      </c>
      <c r="BX70" s="21" t="s">
        <v>165</v>
      </c>
      <c r="BY70" s="21" t="s">
        <v>165</v>
      </c>
      <c r="BZ70" s="21" t="s">
        <v>165</v>
      </c>
      <c r="CA70" s="21" t="s">
        <v>165</v>
      </c>
      <c r="CB70" s="21" t="s">
        <v>165</v>
      </c>
      <c r="CC70" s="21" t="s">
        <v>165</v>
      </c>
      <c r="CD70" s="21" t="s">
        <v>165</v>
      </c>
      <c r="CE70" s="21" t="s">
        <v>165</v>
      </c>
      <c r="CG70" s="15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</row>
    <row r="71" spans="1:106" outlineLevel="6" x14ac:dyDescent="0.2">
      <c r="A71" s="14">
        <v>1</v>
      </c>
      <c r="C71" s="9" t="str">
        <f>"                        Accumulated Amortization of Software and Technology"</f>
        <v xml:space="preserve">                        Accumulated Amortization of Software and Technology</v>
      </c>
      <c r="D71" s="17">
        <f t="shared" si="8"/>
        <v>-4030</v>
      </c>
      <c r="E71" s="17">
        <f t="shared" si="9"/>
        <v>-4577.4722222222226</v>
      </c>
      <c r="F71" s="17">
        <f t="shared" si="10"/>
        <v>-11255.25</v>
      </c>
      <c r="G71" s="17">
        <f t="shared" si="11"/>
        <v>-194</v>
      </c>
      <c r="H71" s="17">
        <f t="shared" si="12"/>
        <v>-6377</v>
      </c>
      <c r="I71" s="17">
        <f t="shared" si="13"/>
        <v>-2108.5</v>
      </c>
      <c r="J71" s="17">
        <f t="shared" si="14"/>
        <v>3225.5964130540883</v>
      </c>
      <c r="K71" s="18">
        <f t="shared" si="15"/>
        <v>-0.70466761051979909</v>
      </c>
      <c r="L71" s="21"/>
      <c r="M71" s="21" t="s">
        <v>165</v>
      </c>
      <c r="N71" s="21">
        <v>-194</v>
      </c>
      <c r="O71" s="21">
        <v>-8447.3333333333339</v>
      </c>
      <c r="P71" s="21">
        <v>-11255.25</v>
      </c>
      <c r="Q71" s="21">
        <v>-8970.5</v>
      </c>
      <c r="R71" s="21">
        <v>-6696</v>
      </c>
      <c r="S71" s="21">
        <v>-6058</v>
      </c>
      <c r="T71" s="21">
        <v>-5436</v>
      </c>
      <c r="U71" s="21">
        <v>-4733</v>
      </c>
      <c r="V71" s="21">
        <v>-4030</v>
      </c>
      <c r="W71" s="21">
        <v>-3394</v>
      </c>
      <c r="X71" s="21">
        <v>-2890</v>
      </c>
      <c r="Y71" s="21">
        <v>-2369</v>
      </c>
      <c r="Z71" s="21">
        <v>-1848</v>
      </c>
      <c r="AA71" s="21">
        <v>-1327</v>
      </c>
      <c r="AB71" s="21">
        <v>-1014</v>
      </c>
      <c r="AC71" s="21" t="s">
        <v>165</v>
      </c>
      <c r="AD71" s="21" t="s">
        <v>165</v>
      </c>
      <c r="AE71" s="21" t="s">
        <v>165</v>
      </c>
      <c r="AF71" s="21" t="s">
        <v>165</v>
      </c>
      <c r="AG71" s="21" t="s">
        <v>165</v>
      </c>
      <c r="AH71" s="21" t="s">
        <v>165</v>
      </c>
      <c r="AI71" s="21" t="s">
        <v>165</v>
      </c>
      <c r="AJ71" s="21" t="s">
        <v>165</v>
      </c>
      <c r="AK71" s="21" t="s">
        <v>165</v>
      </c>
      <c r="AL71" s="21" t="s">
        <v>165</v>
      </c>
      <c r="AM71" s="21" t="s">
        <v>165</v>
      </c>
      <c r="AN71" s="21" t="s">
        <v>165</v>
      </c>
      <c r="AO71" s="21" t="s">
        <v>165</v>
      </c>
      <c r="AP71" s="21" t="s">
        <v>165</v>
      </c>
      <c r="AQ71" s="21" t="s">
        <v>165</v>
      </c>
      <c r="AR71" s="21" t="s">
        <v>165</v>
      </c>
      <c r="AS71" s="21" t="s">
        <v>165</v>
      </c>
      <c r="AT71" s="21" t="s">
        <v>165</v>
      </c>
      <c r="AU71" s="21" t="s">
        <v>165</v>
      </c>
      <c r="AV71" s="21" t="s">
        <v>165</v>
      </c>
      <c r="AW71" s="21" t="s">
        <v>165</v>
      </c>
      <c r="AX71" s="21" t="s">
        <v>165</v>
      </c>
      <c r="AY71" s="21" t="s">
        <v>165</v>
      </c>
      <c r="AZ71" s="21" t="s">
        <v>165</v>
      </c>
      <c r="BA71" s="21" t="s">
        <v>165</v>
      </c>
      <c r="BB71" s="21" t="s">
        <v>165</v>
      </c>
      <c r="BC71" s="21" t="s">
        <v>165</v>
      </c>
      <c r="BD71" s="21" t="s">
        <v>165</v>
      </c>
      <c r="BE71" s="21" t="s">
        <v>165</v>
      </c>
      <c r="BF71" s="21" t="s">
        <v>165</v>
      </c>
      <c r="BG71" s="21" t="s">
        <v>165</v>
      </c>
      <c r="BH71" s="21" t="s">
        <v>165</v>
      </c>
      <c r="BI71" s="21" t="s">
        <v>165</v>
      </c>
      <c r="BJ71" s="21" t="s">
        <v>165</v>
      </c>
      <c r="BK71" s="21" t="s">
        <v>165</v>
      </c>
      <c r="BL71" s="21" t="s">
        <v>165</v>
      </c>
      <c r="BM71" s="21" t="s">
        <v>165</v>
      </c>
      <c r="BN71" s="21" t="s">
        <v>165</v>
      </c>
      <c r="BO71" s="21" t="s">
        <v>165</v>
      </c>
      <c r="BP71" s="21" t="s">
        <v>165</v>
      </c>
      <c r="BQ71" s="21" t="s">
        <v>165</v>
      </c>
      <c r="BR71" s="21" t="s">
        <v>165</v>
      </c>
      <c r="BS71" s="21" t="s">
        <v>165</v>
      </c>
      <c r="BT71" s="21" t="s">
        <v>165</v>
      </c>
      <c r="BU71" s="21" t="s">
        <v>165</v>
      </c>
      <c r="BV71" s="21" t="s">
        <v>165</v>
      </c>
      <c r="BW71" s="21" t="s">
        <v>165</v>
      </c>
      <c r="BX71" s="21" t="s">
        <v>165</v>
      </c>
      <c r="BY71" s="21" t="s">
        <v>165</v>
      </c>
      <c r="BZ71" s="21" t="s">
        <v>165</v>
      </c>
      <c r="CA71" s="21" t="s">
        <v>165</v>
      </c>
      <c r="CB71" s="21" t="s">
        <v>165</v>
      </c>
      <c r="CC71" s="21" t="s">
        <v>165</v>
      </c>
      <c r="CD71" s="21" t="s">
        <v>165</v>
      </c>
      <c r="CE71" s="21" t="s">
        <v>165</v>
      </c>
      <c r="CG71" s="15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</row>
    <row r="72" spans="1:106" outlineLevel="6" x14ac:dyDescent="0.2">
      <c r="A72" s="14">
        <v>1</v>
      </c>
      <c r="C72" s="9" t="str">
        <f>"                        Accumulated Amortization of Customer Relationships"</f>
        <v xml:space="preserve">                        Accumulated Amortization of Customer Relationships</v>
      </c>
      <c r="D72" s="17">
        <f t="shared" si="8"/>
        <v>-10776</v>
      </c>
      <c r="E72" s="17">
        <f t="shared" si="9"/>
        <v>-15058.244444444445</v>
      </c>
      <c r="F72" s="17">
        <f t="shared" si="10"/>
        <v>-43484</v>
      </c>
      <c r="G72" s="17">
        <f t="shared" si="11"/>
        <v>-1633</v>
      </c>
      <c r="H72" s="17">
        <f t="shared" si="12"/>
        <v>-22050.5</v>
      </c>
      <c r="I72" s="17">
        <f t="shared" si="13"/>
        <v>-4602</v>
      </c>
      <c r="J72" s="17">
        <f t="shared" si="14"/>
        <v>13335.940129379387</v>
      </c>
      <c r="K72" s="18">
        <f t="shared" si="15"/>
        <v>-0.88562383075800843</v>
      </c>
      <c r="L72" s="21"/>
      <c r="M72" s="21" t="s">
        <v>165</v>
      </c>
      <c r="N72" s="21">
        <v>-2041</v>
      </c>
      <c r="O72" s="21">
        <v>-36656.666666666664</v>
      </c>
      <c r="P72" s="21">
        <v>-43484</v>
      </c>
      <c r="Q72" s="21">
        <v>-30445</v>
      </c>
      <c r="R72" s="21">
        <v>-22993</v>
      </c>
      <c r="S72" s="21">
        <v>-21108</v>
      </c>
      <c r="T72" s="21">
        <v>-17613</v>
      </c>
      <c r="U72" s="21">
        <v>-13180</v>
      </c>
      <c r="V72" s="21">
        <v>-10776</v>
      </c>
      <c r="W72" s="21">
        <v>-7504</v>
      </c>
      <c r="X72" s="21">
        <v>-6423</v>
      </c>
      <c r="Y72" s="21">
        <v>-5198</v>
      </c>
      <c r="Z72" s="21">
        <v>-4006</v>
      </c>
      <c r="AA72" s="21">
        <v>-2813</v>
      </c>
      <c r="AB72" s="21">
        <v>-1633</v>
      </c>
      <c r="AC72" s="21" t="s">
        <v>165</v>
      </c>
      <c r="AD72" s="21" t="s">
        <v>165</v>
      </c>
      <c r="AE72" s="21" t="s">
        <v>165</v>
      </c>
      <c r="AF72" s="21" t="s">
        <v>165</v>
      </c>
      <c r="AG72" s="21" t="s">
        <v>165</v>
      </c>
      <c r="AH72" s="21" t="s">
        <v>165</v>
      </c>
      <c r="AI72" s="21" t="s">
        <v>165</v>
      </c>
      <c r="AJ72" s="21" t="s">
        <v>165</v>
      </c>
      <c r="AK72" s="21" t="s">
        <v>165</v>
      </c>
      <c r="AL72" s="21" t="s">
        <v>165</v>
      </c>
      <c r="AM72" s="21" t="s">
        <v>165</v>
      </c>
      <c r="AN72" s="21" t="s">
        <v>165</v>
      </c>
      <c r="AO72" s="21" t="s">
        <v>165</v>
      </c>
      <c r="AP72" s="21" t="s">
        <v>165</v>
      </c>
      <c r="AQ72" s="21" t="s">
        <v>165</v>
      </c>
      <c r="AR72" s="21" t="s">
        <v>165</v>
      </c>
      <c r="AS72" s="21" t="s">
        <v>165</v>
      </c>
      <c r="AT72" s="21" t="s">
        <v>165</v>
      </c>
      <c r="AU72" s="21" t="s">
        <v>165</v>
      </c>
      <c r="AV72" s="21" t="s">
        <v>165</v>
      </c>
      <c r="AW72" s="21" t="s">
        <v>165</v>
      </c>
      <c r="AX72" s="21" t="s">
        <v>165</v>
      </c>
      <c r="AY72" s="21" t="s">
        <v>165</v>
      </c>
      <c r="AZ72" s="21" t="s">
        <v>165</v>
      </c>
      <c r="BA72" s="21" t="s">
        <v>165</v>
      </c>
      <c r="BB72" s="21" t="s">
        <v>165</v>
      </c>
      <c r="BC72" s="21" t="s">
        <v>165</v>
      </c>
      <c r="BD72" s="21" t="s">
        <v>165</v>
      </c>
      <c r="BE72" s="21" t="s">
        <v>165</v>
      </c>
      <c r="BF72" s="21" t="s">
        <v>165</v>
      </c>
      <c r="BG72" s="21" t="s">
        <v>165</v>
      </c>
      <c r="BH72" s="21" t="s">
        <v>165</v>
      </c>
      <c r="BI72" s="21" t="s">
        <v>165</v>
      </c>
      <c r="BJ72" s="21" t="s">
        <v>165</v>
      </c>
      <c r="BK72" s="21" t="s">
        <v>165</v>
      </c>
      <c r="BL72" s="21" t="s">
        <v>165</v>
      </c>
      <c r="BM72" s="21" t="s">
        <v>165</v>
      </c>
      <c r="BN72" s="21" t="s">
        <v>165</v>
      </c>
      <c r="BO72" s="21" t="s">
        <v>165</v>
      </c>
      <c r="BP72" s="21" t="s">
        <v>165</v>
      </c>
      <c r="BQ72" s="21" t="s">
        <v>165</v>
      </c>
      <c r="BR72" s="21" t="s">
        <v>165</v>
      </c>
      <c r="BS72" s="21" t="s">
        <v>165</v>
      </c>
      <c r="BT72" s="21" t="s">
        <v>165</v>
      </c>
      <c r="BU72" s="21" t="s">
        <v>165</v>
      </c>
      <c r="BV72" s="21" t="s">
        <v>165</v>
      </c>
      <c r="BW72" s="21" t="s">
        <v>165</v>
      </c>
      <c r="BX72" s="21" t="s">
        <v>165</v>
      </c>
      <c r="BY72" s="21" t="s">
        <v>165</v>
      </c>
      <c r="BZ72" s="21" t="s">
        <v>165</v>
      </c>
      <c r="CA72" s="21" t="s">
        <v>165</v>
      </c>
      <c r="CB72" s="21" t="s">
        <v>165</v>
      </c>
      <c r="CC72" s="21" t="s">
        <v>165</v>
      </c>
      <c r="CD72" s="21" t="s">
        <v>165</v>
      </c>
      <c r="CE72" s="21" t="s">
        <v>165</v>
      </c>
      <c r="CG72" s="15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</row>
    <row r="73" spans="1:106" outlineLevel="6" x14ac:dyDescent="0.2">
      <c r="A73" s="14">
        <v>1</v>
      </c>
      <c r="C73" s="10" t="str">
        <f>"                        Total Accumulated Amortization of Intangibles other than Goodwill"</f>
        <v xml:space="preserve">                        Total Accumulated Amortization of Intangibles other than Goodwill</v>
      </c>
      <c r="D73" s="29">
        <f t="shared" si="8"/>
        <v>-18575</v>
      </c>
      <c r="E73" s="29">
        <f t="shared" si="9"/>
        <v>-27118.478070175439</v>
      </c>
      <c r="F73" s="29">
        <f t="shared" si="10"/>
        <v>-83932.25</v>
      </c>
      <c r="G73" s="29">
        <f t="shared" si="11"/>
        <v>-2430</v>
      </c>
      <c r="H73" s="29">
        <f t="shared" si="12"/>
        <v>-41536.5</v>
      </c>
      <c r="I73" s="29">
        <f t="shared" si="13"/>
        <v>-7776</v>
      </c>
      <c r="J73" s="29">
        <f t="shared" si="14"/>
        <v>24661.945221649064</v>
      </c>
      <c r="K73" s="30">
        <f t="shared" si="15"/>
        <v>-0.9094147967238605</v>
      </c>
      <c r="L73" s="31"/>
      <c r="M73" s="31" t="s">
        <v>165</v>
      </c>
      <c r="N73" s="21">
        <v>-7602</v>
      </c>
      <c r="O73" s="21">
        <v>-69709.333333333328</v>
      </c>
      <c r="P73" s="21">
        <v>-83932.25</v>
      </c>
      <c r="Q73" s="21">
        <v>-62399.5</v>
      </c>
      <c r="R73" s="31">
        <v>-48720</v>
      </c>
      <c r="S73" s="31">
        <v>-44405</v>
      </c>
      <c r="T73" s="31">
        <v>-38668</v>
      </c>
      <c r="U73" s="31">
        <v>-32819</v>
      </c>
      <c r="V73" s="31">
        <v>-26854</v>
      </c>
      <c r="W73" s="31">
        <v>-21286</v>
      </c>
      <c r="X73" s="31">
        <v>-18575</v>
      </c>
      <c r="Y73" s="31">
        <v>-15738</v>
      </c>
      <c r="Z73" s="31">
        <v>-12916</v>
      </c>
      <c r="AA73" s="31">
        <v>-10099</v>
      </c>
      <c r="AB73" s="31">
        <v>-7950</v>
      </c>
      <c r="AC73" s="31" t="s">
        <v>165</v>
      </c>
      <c r="AD73" s="31" t="s">
        <v>165</v>
      </c>
      <c r="AE73" s="31" t="s">
        <v>165</v>
      </c>
      <c r="AF73" s="31">
        <v>-3603</v>
      </c>
      <c r="AG73" s="31" t="s">
        <v>165</v>
      </c>
      <c r="AH73" s="31" t="s">
        <v>165</v>
      </c>
      <c r="AI73" s="31" t="s">
        <v>165</v>
      </c>
      <c r="AJ73" s="31">
        <v>-3039</v>
      </c>
      <c r="AK73" s="31" t="s">
        <v>165</v>
      </c>
      <c r="AL73" s="31" t="s">
        <v>165</v>
      </c>
      <c r="AM73" s="31" t="s">
        <v>165</v>
      </c>
      <c r="AN73" s="31">
        <v>-2430</v>
      </c>
      <c r="AO73" s="31" t="s">
        <v>165</v>
      </c>
      <c r="AP73" s="31" t="s">
        <v>165</v>
      </c>
      <c r="AQ73" s="31" t="s">
        <v>165</v>
      </c>
      <c r="AR73" s="31">
        <v>-4506</v>
      </c>
      <c r="AS73" s="31" t="s">
        <v>165</v>
      </c>
      <c r="AT73" s="31" t="s">
        <v>165</v>
      </c>
      <c r="AU73" s="31" t="s">
        <v>165</v>
      </c>
      <c r="AV73" s="31" t="s">
        <v>165</v>
      </c>
      <c r="AW73" s="31" t="s">
        <v>165</v>
      </c>
      <c r="AX73" s="31" t="s">
        <v>165</v>
      </c>
      <c r="AY73" s="31" t="s">
        <v>165</v>
      </c>
      <c r="AZ73" s="31" t="s">
        <v>165</v>
      </c>
      <c r="BA73" s="31" t="s">
        <v>165</v>
      </c>
      <c r="BB73" s="31" t="s">
        <v>165</v>
      </c>
      <c r="BC73" s="31" t="s">
        <v>165</v>
      </c>
      <c r="BD73" s="31" t="s">
        <v>165</v>
      </c>
      <c r="BE73" s="31" t="s">
        <v>165</v>
      </c>
      <c r="BF73" s="31" t="s">
        <v>165</v>
      </c>
      <c r="BG73" s="31" t="s">
        <v>165</v>
      </c>
      <c r="BH73" s="31" t="s">
        <v>165</v>
      </c>
      <c r="BI73" s="31" t="s">
        <v>165</v>
      </c>
      <c r="BJ73" s="31" t="s">
        <v>165</v>
      </c>
      <c r="BK73" s="31" t="s">
        <v>165</v>
      </c>
      <c r="BL73" s="31" t="s">
        <v>165</v>
      </c>
      <c r="BM73" s="31" t="s">
        <v>165</v>
      </c>
      <c r="BN73" s="31" t="s">
        <v>165</v>
      </c>
      <c r="BO73" s="31" t="s">
        <v>165</v>
      </c>
      <c r="BP73" s="31" t="s">
        <v>165</v>
      </c>
      <c r="BQ73" s="31" t="s">
        <v>165</v>
      </c>
      <c r="BR73" s="31" t="s">
        <v>165</v>
      </c>
      <c r="BS73" s="31" t="s">
        <v>165</v>
      </c>
      <c r="BT73" s="31" t="s">
        <v>165</v>
      </c>
      <c r="BU73" s="31" t="s">
        <v>165</v>
      </c>
      <c r="BV73" s="31" t="s">
        <v>165</v>
      </c>
      <c r="BW73" s="31" t="s">
        <v>165</v>
      </c>
      <c r="BX73" s="31" t="s">
        <v>165</v>
      </c>
      <c r="BY73" s="31" t="s">
        <v>165</v>
      </c>
      <c r="BZ73" s="31" t="s">
        <v>165</v>
      </c>
      <c r="CA73" s="31" t="s">
        <v>165</v>
      </c>
      <c r="CB73" s="31" t="s">
        <v>165</v>
      </c>
      <c r="CC73" s="31" t="s">
        <v>165</v>
      </c>
      <c r="CD73" s="31" t="s">
        <v>165</v>
      </c>
      <c r="CE73" s="31" t="s">
        <v>165</v>
      </c>
      <c r="CG73" s="15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</row>
    <row r="74" spans="1:106" outlineLevel="5" x14ac:dyDescent="0.2">
      <c r="A74" s="14">
        <v>1</v>
      </c>
      <c r="C74" s="10" t="str">
        <f>"                    Total Accumulated Amortization of Intangible Assets"</f>
        <v xml:space="preserve">                    Total Accumulated Amortization of Intangible Assets</v>
      </c>
      <c r="D74" s="29">
        <f t="shared" si="8"/>
        <v>-15738</v>
      </c>
      <c r="E74" s="29">
        <f t="shared" si="9"/>
        <v>-24803.099206349205</v>
      </c>
      <c r="F74" s="29">
        <f t="shared" si="10"/>
        <v>-83932.25</v>
      </c>
      <c r="G74" s="29">
        <f t="shared" si="11"/>
        <v>-2430</v>
      </c>
      <c r="H74" s="29">
        <f t="shared" si="12"/>
        <v>-38668</v>
      </c>
      <c r="I74" s="29">
        <f t="shared" si="13"/>
        <v>-4506</v>
      </c>
      <c r="J74" s="29">
        <f t="shared" si="14"/>
        <v>24512.610802452546</v>
      </c>
      <c r="K74" s="30">
        <f t="shared" si="15"/>
        <v>-0.98828822150490381</v>
      </c>
      <c r="L74" s="31"/>
      <c r="M74" s="31" t="s">
        <v>165</v>
      </c>
      <c r="N74" s="21">
        <v>-7602</v>
      </c>
      <c r="O74" s="21">
        <v>-69709.333333333328</v>
      </c>
      <c r="P74" s="21">
        <v>-83932.25</v>
      </c>
      <c r="Q74" s="21">
        <v>-62399.5</v>
      </c>
      <c r="R74" s="31">
        <v>-48720</v>
      </c>
      <c r="S74" s="31">
        <v>-44405</v>
      </c>
      <c r="T74" s="31">
        <v>-38668</v>
      </c>
      <c r="U74" s="31">
        <v>-32819</v>
      </c>
      <c r="V74" s="31">
        <v>-26854</v>
      </c>
      <c r="W74" s="31">
        <v>-21286</v>
      </c>
      <c r="X74" s="31">
        <v>-18575</v>
      </c>
      <c r="Y74" s="31">
        <v>-15738</v>
      </c>
      <c r="Z74" s="31">
        <v>-12916</v>
      </c>
      <c r="AA74" s="31">
        <v>-10099</v>
      </c>
      <c r="AB74" s="31">
        <v>-7950</v>
      </c>
      <c r="AC74" s="31" t="s">
        <v>165</v>
      </c>
      <c r="AD74" s="31" t="s">
        <v>165</v>
      </c>
      <c r="AE74" s="31" t="s">
        <v>165</v>
      </c>
      <c r="AF74" s="31">
        <v>-3603</v>
      </c>
      <c r="AG74" s="31" t="s">
        <v>165</v>
      </c>
      <c r="AH74" s="31" t="s">
        <v>165</v>
      </c>
      <c r="AI74" s="31" t="s">
        <v>165</v>
      </c>
      <c r="AJ74" s="31">
        <v>-3039</v>
      </c>
      <c r="AK74" s="31" t="s">
        <v>165</v>
      </c>
      <c r="AL74" s="31" t="s">
        <v>165</v>
      </c>
      <c r="AM74" s="31" t="s">
        <v>165</v>
      </c>
      <c r="AN74" s="31">
        <v>-2430</v>
      </c>
      <c r="AO74" s="31">
        <v>-2946</v>
      </c>
      <c r="AP74" s="31">
        <v>-2668</v>
      </c>
      <c r="AQ74" s="31" t="s">
        <v>165</v>
      </c>
      <c r="AR74" s="31">
        <v>-4506</v>
      </c>
      <c r="AS74" s="31" t="s">
        <v>165</v>
      </c>
      <c r="AT74" s="31" t="s">
        <v>165</v>
      </c>
      <c r="AU74" s="31" t="s">
        <v>165</v>
      </c>
      <c r="AV74" s="31" t="s">
        <v>165</v>
      </c>
      <c r="AW74" s="31" t="s">
        <v>165</v>
      </c>
      <c r="AX74" s="31" t="s">
        <v>165</v>
      </c>
      <c r="AY74" s="31" t="s">
        <v>165</v>
      </c>
      <c r="AZ74" s="31" t="s">
        <v>165</v>
      </c>
      <c r="BA74" s="31" t="s">
        <v>165</v>
      </c>
      <c r="BB74" s="31" t="s">
        <v>165</v>
      </c>
      <c r="BC74" s="31" t="s">
        <v>165</v>
      </c>
      <c r="BD74" s="31" t="s">
        <v>165</v>
      </c>
      <c r="BE74" s="31" t="s">
        <v>165</v>
      </c>
      <c r="BF74" s="31" t="s">
        <v>165</v>
      </c>
      <c r="BG74" s="31" t="s">
        <v>165</v>
      </c>
      <c r="BH74" s="31" t="s">
        <v>165</v>
      </c>
      <c r="BI74" s="31" t="s">
        <v>165</v>
      </c>
      <c r="BJ74" s="31" t="s">
        <v>165</v>
      </c>
      <c r="BK74" s="31" t="s">
        <v>165</v>
      </c>
      <c r="BL74" s="31" t="s">
        <v>165</v>
      </c>
      <c r="BM74" s="31" t="s">
        <v>165</v>
      </c>
      <c r="BN74" s="31" t="s">
        <v>165</v>
      </c>
      <c r="BO74" s="31" t="s">
        <v>165</v>
      </c>
      <c r="BP74" s="31" t="s">
        <v>165</v>
      </c>
      <c r="BQ74" s="31" t="s">
        <v>165</v>
      </c>
      <c r="BR74" s="31" t="s">
        <v>165</v>
      </c>
      <c r="BS74" s="31" t="s">
        <v>165</v>
      </c>
      <c r="BT74" s="31" t="s">
        <v>165</v>
      </c>
      <c r="BU74" s="31" t="s">
        <v>165</v>
      </c>
      <c r="BV74" s="31" t="s">
        <v>165</v>
      </c>
      <c r="BW74" s="31" t="s">
        <v>165</v>
      </c>
      <c r="BX74" s="31" t="s">
        <v>165</v>
      </c>
      <c r="BY74" s="31" t="s">
        <v>165</v>
      </c>
      <c r="BZ74" s="31" t="s">
        <v>165</v>
      </c>
      <c r="CA74" s="31" t="s">
        <v>165</v>
      </c>
      <c r="CB74" s="31" t="s">
        <v>165</v>
      </c>
      <c r="CC74" s="31" t="s">
        <v>165</v>
      </c>
      <c r="CD74" s="31" t="s">
        <v>165</v>
      </c>
      <c r="CE74" s="31" t="s">
        <v>165</v>
      </c>
      <c r="CG74" s="15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</row>
    <row r="75" spans="1:106" outlineLevel="4" x14ac:dyDescent="0.2">
      <c r="A75" s="14">
        <v>1</v>
      </c>
      <c r="C75" s="9" t="str">
        <f>IF(SUBTOTAL(109,A75)=A75,"                Accumulated Impairment of Intangible Assets","                Accumulated Impairment of Intangible Assets")</f>
        <v xml:space="preserve">                Accumulated Impairment of Intangible Assets</v>
      </c>
      <c r="D75" s="17" t="str">
        <f t="shared" ref="D75:D106" si="16">IF(COUNT(M75:CE75)&gt;0,MEDIAN(M75:CE75),"")</f>
        <v/>
      </c>
      <c r="E75" s="17" t="str">
        <f t="shared" ref="E75:E106" si="17">IF(COUNT(M75:CE75)&gt;0,AVERAGE(M75:CE75),"")</f>
        <v/>
      </c>
      <c r="F75" s="17" t="str">
        <f t="shared" ref="F75:F106" si="18">IF(COUNT(M75:CE75)&gt;0,MIN(M75:CE75),"")</f>
        <v/>
      </c>
      <c r="G75" s="17" t="str">
        <f t="shared" ref="G75:G106" si="19">IF(COUNT(M75:CE75)&gt;0,MAX(M75:CE75),"")</f>
        <v/>
      </c>
      <c r="H75" s="17" t="str">
        <f t="shared" ref="H75:H106" si="20">IF(COUNT(M75:CE75)&gt;0,QUARTILE(M75:CE75,1),"")</f>
        <v/>
      </c>
      <c r="I75" s="17" t="str">
        <f t="shared" ref="I75:I106" si="21">IF(COUNT(M75:CE75)&gt;0,QUARTILE(M75:CE75,3),"")</f>
        <v/>
      </c>
      <c r="J75" s="17" t="str">
        <f t="shared" ref="J75:J106" si="22">IF(COUNT(M75:CE75)&gt;1,STDEV(M75:CE75),"")</f>
        <v/>
      </c>
      <c r="K75" s="18" t="str">
        <f t="shared" ref="K75:K106" si="23">IF(COUNT(M75:CE75)&gt;1,STDEV(M75:CE75)/AVERAGE(M75:CE75),"")</f>
        <v/>
      </c>
      <c r="L75" s="21"/>
      <c r="M75" s="21" t="str">
        <f>IF(SUBTOTAL(109,A75)=A75,"","")</f>
        <v/>
      </c>
      <c r="N75" s="21"/>
      <c r="O75" s="21"/>
      <c r="P75" s="21"/>
      <c r="Q75" s="21"/>
      <c r="R75" s="21" t="str">
        <f>IF(SUBTOTAL(109,A75)=A75,"",0)</f>
        <v/>
      </c>
      <c r="S75" s="21" t="str">
        <f>IF(SUBTOTAL(109,A75)=A75,"",0)</f>
        <v/>
      </c>
      <c r="T75" s="21" t="str">
        <f>IF(SUBTOTAL(109,A75)=A75,"",0)</f>
        <v/>
      </c>
      <c r="U75" s="21" t="str">
        <f>IF(SUBTOTAL(109,A75)=A75,"",0)</f>
        <v/>
      </c>
      <c r="V75" s="21" t="str">
        <f>IF(SUBTOTAL(109,A75)=A75,"",0)</f>
        <v/>
      </c>
      <c r="W75" s="21" t="str">
        <f>IF(SUBTOTAL(109,A75)=A75,"","")</f>
        <v/>
      </c>
      <c r="X75" s="21" t="str">
        <f>IF(SUBTOTAL(109,A75)=A75,"",0)</f>
        <v/>
      </c>
      <c r="Y75" s="21" t="str">
        <f>IF(SUBTOTAL(109,A75)=A75,"","")</f>
        <v/>
      </c>
      <c r="Z75" s="21" t="str">
        <f>IF(SUBTOTAL(109,A75)=A75,"","")</f>
        <v/>
      </c>
      <c r="AA75" s="21" t="str">
        <f>IF(SUBTOTAL(109,A75)=A75,"","")</f>
        <v/>
      </c>
      <c r="AB75" s="21" t="str">
        <f>IF(SUBTOTAL(109,A75)=A75,"","")</f>
        <v/>
      </c>
      <c r="AC75" s="21" t="str">
        <f>IF(SUBTOTAL(109,A75)=A75,"","")</f>
        <v/>
      </c>
      <c r="AD75" s="21" t="str">
        <f>IF(SUBTOTAL(109,A75)=A75,"","")</f>
        <v/>
      </c>
      <c r="AE75" s="21" t="str">
        <f>IF(SUBTOTAL(109,A75)=A75,"","")</f>
        <v/>
      </c>
      <c r="AF75" s="21" t="str">
        <f>IF(SUBTOTAL(109,A75)=A75,"","")</f>
        <v/>
      </c>
      <c r="AG75" s="21" t="str">
        <f>IF(SUBTOTAL(109,A75)=A75,"","")</f>
        <v/>
      </c>
      <c r="AH75" s="21" t="str">
        <f>IF(SUBTOTAL(109,A75)=A75,"","")</f>
        <v/>
      </c>
      <c r="AI75" s="21" t="str">
        <f>IF(SUBTOTAL(109,A75)=A75,"","")</f>
        <v/>
      </c>
      <c r="AJ75" s="21" t="str">
        <f>IF(SUBTOTAL(109,A75)=A75,"","")</f>
        <v/>
      </c>
      <c r="AK75" s="21" t="str">
        <f>IF(SUBTOTAL(109,A75)=A75,"","")</f>
        <v/>
      </c>
      <c r="AL75" s="21" t="str">
        <f>IF(SUBTOTAL(109,A75)=A75,"","")</f>
        <v/>
      </c>
      <c r="AM75" s="21" t="str">
        <f>IF(SUBTOTAL(109,A75)=A75,"","")</f>
        <v/>
      </c>
      <c r="AN75" s="21" t="str">
        <f>IF(SUBTOTAL(109,A75)=A75,"","")</f>
        <v/>
      </c>
      <c r="AO75" s="21" t="str">
        <f>IF(SUBTOTAL(109,A75)=A75,"","")</f>
        <v/>
      </c>
      <c r="AP75" s="21" t="str">
        <f>IF(SUBTOTAL(109,A75)=A75,"","")</f>
        <v/>
      </c>
      <c r="AQ75" s="21" t="str">
        <f>IF(SUBTOTAL(109,A75)=A75,"","")</f>
        <v/>
      </c>
      <c r="AR75" s="21" t="str">
        <f>IF(SUBTOTAL(109,A75)=A75,"","")</f>
        <v/>
      </c>
      <c r="AS75" s="21" t="str">
        <f>IF(SUBTOTAL(109,A75)=A75,"","")</f>
        <v/>
      </c>
      <c r="AT75" s="21" t="str">
        <f>IF(SUBTOTAL(109,A75)=A75,"","")</f>
        <v/>
      </c>
      <c r="AU75" s="21" t="str">
        <f>IF(SUBTOTAL(109,A75)=A75,"","")</f>
        <v/>
      </c>
      <c r="AV75" s="21" t="str">
        <f>IF(SUBTOTAL(109,A75)=A75,"","")</f>
        <v/>
      </c>
      <c r="AW75" s="21" t="str">
        <f>IF(SUBTOTAL(109,A75)=A75,"","")</f>
        <v/>
      </c>
      <c r="AX75" s="21" t="str">
        <f>IF(SUBTOTAL(109,A75)=A75,"","")</f>
        <v/>
      </c>
      <c r="AY75" s="21" t="str">
        <f>IF(SUBTOTAL(109,A75)=A75,"","")</f>
        <v/>
      </c>
      <c r="AZ75" s="21" t="str">
        <f>IF(SUBTOTAL(109,A75)=A75,"","")</f>
        <v/>
      </c>
      <c r="BA75" s="21" t="str">
        <f>IF(SUBTOTAL(109,A75)=A75,"","")</f>
        <v/>
      </c>
      <c r="BB75" s="21" t="str">
        <f>IF(SUBTOTAL(109,A75)=A75,"","")</f>
        <v/>
      </c>
      <c r="BC75" s="21" t="str">
        <f>IF(SUBTOTAL(109,A75)=A75,"","")</f>
        <v/>
      </c>
      <c r="BD75" s="21" t="str">
        <f>IF(SUBTOTAL(109,A75)=A75,"","")</f>
        <v/>
      </c>
      <c r="BE75" s="21" t="str">
        <f>IF(SUBTOTAL(109,A75)=A75,"","")</f>
        <v/>
      </c>
      <c r="BF75" s="21" t="str">
        <f>IF(SUBTOTAL(109,A75)=A75,"","")</f>
        <v/>
      </c>
      <c r="BG75" s="21" t="str">
        <f>IF(SUBTOTAL(109,A75)=A75,"","")</f>
        <v/>
      </c>
      <c r="BH75" s="21" t="str">
        <f>IF(SUBTOTAL(109,A75)=A75,"","")</f>
        <v/>
      </c>
      <c r="BI75" s="21" t="str">
        <f>IF(SUBTOTAL(109,A75)=A75,"","")</f>
        <v/>
      </c>
      <c r="BJ75" s="21" t="str">
        <f>IF(SUBTOTAL(109,A75)=A75,"","")</f>
        <v/>
      </c>
      <c r="BK75" s="21" t="str">
        <f>IF(SUBTOTAL(109,A75)=A75,"","")</f>
        <v/>
      </c>
      <c r="BL75" s="21" t="str">
        <f>IF(SUBTOTAL(109,A75)=A75,"","")</f>
        <v/>
      </c>
      <c r="BM75" s="21" t="str">
        <f>IF(SUBTOTAL(109,A75)=A75,"","")</f>
        <v/>
      </c>
      <c r="BN75" s="21" t="str">
        <f>IF(SUBTOTAL(109,A75)=A75,"","")</f>
        <v/>
      </c>
      <c r="BO75" s="21" t="str">
        <f>IF(SUBTOTAL(109,A75)=A75,"","")</f>
        <v/>
      </c>
      <c r="BP75" s="21" t="str">
        <f>IF(SUBTOTAL(109,A75)=A75,"","")</f>
        <v/>
      </c>
      <c r="BQ75" s="21" t="str">
        <f>IF(SUBTOTAL(109,A75)=A75,"","")</f>
        <v/>
      </c>
      <c r="BR75" s="21" t="str">
        <f>IF(SUBTOTAL(109,A75)=A75,"","")</f>
        <v/>
      </c>
      <c r="BS75" s="21" t="str">
        <f>IF(SUBTOTAL(109,A75)=A75,"","")</f>
        <v/>
      </c>
      <c r="BT75" s="21" t="str">
        <f>IF(SUBTOTAL(109,A75)=A75,"","")</f>
        <v/>
      </c>
      <c r="BU75" s="21" t="str">
        <f>IF(SUBTOTAL(109,A75)=A75,"","")</f>
        <v/>
      </c>
      <c r="BV75" s="21" t="str">
        <f>IF(SUBTOTAL(109,A75)=A75,"","")</f>
        <v/>
      </c>
      <c r="BW75" s="21" t="str">
        <f>IF(SUBTOTAL(109,A75)=A75,"","")</f>
        <v/>
      </c>
      <c r="BX75" s="21" t="str">
        <f>IF(SUBTOTAL(109,A75)=A75,"","")</f>
        <v/>
      </c>
      <c r="BY75" s="21" t="str">
        <f>IF(SUBTOTAL(109,A75)=A75,"","")</f>
        <v/>
      </c>
      <c r="BZ75" s="21" t="str">
        <f>IF(SUBTOTAL(109,A75)=A75,"","")</f>
        <v/>
      </c>
      <c r="CA75" s="21" t="str">
        <f>IF(SUBTOTAL(109,A75)=A75,"","")</f>
        <v/>
      </c>
      <c r="CB75" s="21" t="str">
        <f>IF(SUBTOTAL(109,A75)=A75,"","")</f>
        <v/>
      </c>
      <c r="CC75" s="21" t="str">
        <f>IF(SUBTOTAL(109,A75)=A75,"","")</f>
        <v/>
      </c>
      <c r="CD75" s="21" t="str">
        <f>IF(SUBTOTAL(109,A75)=A75,"","")</f>
        <v/>
      </c>
      <c r="CE75" s="21" t="str">
        <f>IF(SUBTOTAL(109,A75)=A75,"","")</f>
        <v/>
      </c>
      <c r="CG75" s="15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</row>
    <row r="76" spans="1:106" outlineLevel="5" x14ac:dyDescent="0.2">
      <c r="A76" s="14">
        <v>1</v>
      </c>
      <c r="C76" s="9" t="str">
        <f>"                    Accumulated Impairment of Other Intangible Assets"</f>
        <v xml:space="preserve">                    Accumulated Impairment of Other Intangible Assets</v>
      </c>
      <c r="D76" s="17">
        <f t="shared" si="16"/>
        <v>0</v>
      </c>
      <c r="E76" s="17">
        <f t="shared" si="17"/>
        <v>0</v>
      </c>
      <c r="F76" s="17">
        <f t="shared" si="18"/>
        <v>0</v>
      </c>
      <c r="G76" s="17">
        <f t="shared" si="19"/>
        <v>0</v>
      </c>
      <c r="H76" s="17">
        <f t="shared" si="20"/>
        <v>0</v>
      </c>
      <c r="I76" s="17">
        <f t="shared" si="21"/>
        <v>0</v>
      </c>
      <c r="J76" s="17">
        <f t="shared" si="22"/>
        <v>0</v>
      </c>
      <c r="K76" s="18" t="e">
        <f t="shared" si="23"/>
        <v>#DIV/0!</v>
      </c>
      <c r="L76" s="21"/>
      <c r="M76" s="21" t="s">
        <v>165</v>
      </c>
      <c r="N76" s="21"/>
      <c r="O76" s="21"/>
      <c r="P76" s="21"/>
      <c r="Q76" s="21"/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 t="s">
        <v>165</v>
      </c>
      <c r="X76" s="21">
        <v>0</v>
      </c>
      <c r="Y76" s="21" t="s">
        <v>165</v>
      </c>
      <c r="Z76" s="21" t="s">
        <v>165</v>
      </c>
      <c r="AA76" s="21" t="s">
        <v>165</v>
      </c>
      <c r="AB76" s="21" t="s">
        <v>165</v>
      </c>
      <c r="AC76" s="21" t="s">
        <v>165</v>
      </c>
      <c r="AD76" s="21" t="s">
        <v>165</v>
      </c>
      <c r="AE76" s="21" t="s">
        <v>165</v>
      </c>
      <c r="AF76" s="21" t="s">
        <v>165</v>
      </c>
      <c r="AG76" s="21" t="s">
        <v>165</v>
      </c>
      <c r="AH76" s="21" t="s">
        <v>165</v>
      </c>
      <c r="AI76" s="21" t="s">
        <v>165</v>
      </c>
      <c r="AJ76" s="21" t="s">
        <v>165</v>
      </c>
      <c r="AK76" s="21" t="s">
        <v>165</v>
      </c>
      <c r="AL76" s="21" t="s">
        <v>165</v>
      </c>
      <c r="AM76" s="21" t="s">
        <v>165</v>
      </c>
      <c r="AN76" s="21" t="s">
        <v>165</v>
      </c>
      <c r="AO76" s="21" t="s">
        <v>165</v>
      </c>
      <c r="AP76" s="21" t="s">
        <v>165</v>
      </c>
      <c r="AQ76" s="21" t="s">
        <v>165</v>
      </c>
      <c r="AR76" s="21" t="s">
        <v>165</v>
      </c>
      <c r="AS76" s="21" t="s">
        <v>165</v>
      </c>
      <c r="AT76" s="21" t="s">
        <v>165</v>
      </c>
      <c r="AU76" s="21" t="s">
        <v>165</v>
      </c>
      <c r="AV76" s="21" t="s">
        <v>165</v>
      </c>
      <c r="AW76" s="21" t="s">
        <v>165</v>
      </c>
      <c r="AX76" s="21" t="s">
        <v>165</v>
      </c>
      <c r="AY76" s="21" t="s">
        <v>165</v>
      </c>
      <c r="AZ76" s="21" t="s">
        <v>165</v>
      </c>
      <c r="BA76" s="21" t="s">
        <v>165</v>
      </c>
      <c r="BB76" s="21" t="s">
        <v>165</v>
      </c>
      <c r="BC76" s="21" t="s">
        <v>165</v>
      </c>
      <c r="BD76" s="21" t="s">
        <v>165</v>
      </c>
      <c r="BE76" s="21" t="s">
        <v>165</v>
      </c>
      <c r="BF76" s="21" t="s">
        <v>165</v>
      </c>
      <c r="BG76" s="21" t="s">
        <v>165</v>
      </c>
      <c r="BH76" s="21" t="s">
        <v>165</v>
      </c>
      <c r="BI76" s="21" t="s">
        <v>165</v>
      </c>
      <c r="BJ76" s="21" t="s">
        <v>165</v>
      </c>
      <c r="BK76" s="21" t="s">
        <v>165</v>
      </c>
      <c r="BL76" s="21" t="s">
        <v>165</v>
      </c>
      <c r="BM76" s="21" t="s">
        <v>165</v>
      </c>
      <c r="BN76" s="21" t="s">
        <v>165</v>
      </c>
      <c r="BO76" s="21" t="s">
        <v>165</v>
      </c>
      <c r="BP76" s="21" t="s">
        <v>165</v>
      </c>
      <c r="BQ76" s="21" t="s">
        <v>165</v>
      </c>
      <c r="BR76" s="21" t="s">
        <v>165</v>
      </c>
      <c r="BS76" s="21" t="s">
        <v>165</v>
      </c>
      <c r="BT76" s="21" t="s">
        <v>165</v>
      </c>
      <c r="BU76" s="21" t="s">
        <v>165</v>
      </c>
      <c r="BV76" s="21" t="s">
        <v>165</v>
      </c>
      <c r="BW76" s="21" t="s">
        <v>165</v>
      </c>
      <c r="BX76" s="21" t="s">
        <v>165</v>
      </c>
      <c r="BY76" s="21" t="s">
        <v>165</v>
      </c>
      <c r="BZ76" s="21" t="s">
        <v>165</v>
      </c>
      <c r="CA76" s="21" t="s">
        <v>165</v>
      </c>
      <c r="CB76" s="21" t="s">
        <v>165</v>
      </c>
      <c r="CC76" s="21" t="s">
        <v>165</v>
      </c>
      <c r="CD76" s="21" t="s">
        <v>165</v>
      </c>
      <c r="CE76" s="21" t="s">
        <v>165</v>
      </c>
      <c r="CG76" s="15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</row>
    <row r="77" spans="1:106" outlineLevel="5" x14ac:dyDescent="0.2">
      <c r="A77" s="14">
        <v>1</v>
      </c>
      <c r="C77" s="10" t="str">
        <f>"                    Total Accumulated Impairment of Intangible Assets"</f>
        <v xml:space="preserve">                    Total Accumulated Impairment of Intangible Assets</v>
      </c>
      <c r="D77" s="29">
        <f t="shared" si="16"/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H77" s="29">
        <f t="shared" si="20"/>
        <v>0</v>
      </c>
      <c r="I77" s="29">
        <f t="shared" si="21"/>
        <v>0</v>
      </c>
      <c r="J77" s="29">
        <f t="shared" si="22"/>
        <v>0</v>
      </c>
      <c r="K77" s="30" t="e">
        <f t="shared" si="23"/>
        <v>#DIV/0!</v>
      </c>
      <c r="L77" s="31"/>
      <c r="M77" s="31" t="s">
        <v>165</v>
      </c>
      <c r="N77" s="21"/>
      <c r="O77" s="21"/>
      <c r="P77" s="21"/>
      <c r="Q77" s="21"/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 t="s">
        <v>165</v>
      </c>
      <c r="X77" s="31">
        <v>0</v>
      </c>
      <c r="Y77" s="31" t="s">
        <v>165</v>
      </c>
      <c r="Z77" s="31" t="s">
        <v>165</v>
      </c>
      <c r="AA77" s="31" t="s">
        <v>165</v>
      </c>
      <c r="AB77" s="31" t="s">
        <v>165</v>
      </c>
      <c r="AC77" s="31" t="s">
        <v>165</v>
      </c>
      <c r="AD77" s="31" t="s">
        <v>165</v>
      </c>
      <c r="AE77" s="31" t="s">
        <v>165</v>
      </c>
      <c r="AF77" s="31" t="s">
        <v>165</v>
      </c>
      <c r="AG77" s="31" t="s">
        <v>165</v>
      </c>
      <c r="AH77" s="31" t="s">
        <v>165</v>
      </c>
      <c r="AI77" s="31" t="s">
        <v>165</v>
      </c>
      <c r="AJ77" s="31" t="s">
        <v>165</v>
      </c>
      <c r="AK77" s="31" t="s">
        <v>165</v>
      </c>
      <c r="AL77" s="31" t="s">
        <v>165</v>
      </c>
      <c r="AM77" s="31" t="s">
        <v>165</v>
      </c>
      <c r="AN77" s="31" t="s">
        <v>165</v>
      </c>
      <c r="AO77" s="31" t="s">
        <v>165</v>
      </c>
      <c r="AP77" s="31" t="s">
        <v>165</v>
      </c>
      <c r="AQ77" s="31" t="s">
        <v>165</v>
      </c>
      <c r="AR77" s="31" t="s">
        <v>165</v>
      </c>
      <c r="AS77" s="31" t="s">
        <v>165</v>
      </c>
      <c r="AT77" s="31" t="s">
        <v>165</v>
      </c>
      <c r="AU77" s="31" t="s">
        <v>165</v>
      </c>
      <c r="AV77" s="31" t="s">
        <v>165</v>
      </c>
      <c r="AW77" s="31" t="s">
        <v>165</v>
      </c>
      <c r="AX77" s="31" t="s">
        <v>165</v>
      </c>
      <c r="AY77" s="31" t="s">
        <v>165</v>
      </c>
      <c r="AZ77" s="31" t="s">
        <v>165</v>
      </c>
      <c r="BA77" s="31" t="s">
        <v>165</v>
      </c>
      <c r="BB77" s="31" t="s">
        <v>165</v>
      </c>
      <c r="BC77" s="31" t="s">
        <v>165</v>
      </c>
      <c r="BD77" s="31" t="s">
        <v>165</v>
      </c>
      <c r="BE77" s="31" t="s">
        <v>165</v>
      </c>
      <c r="BF77" s="31" t="s">
        <v>165</v>
      </c>
      <c r="BG77" s="31" t="s">
        <v>165</v>
      </c>
      <c r="BH77" s="31" t="s">
        <v>165</v>
      </c>
      <c r="BI77" s="31" t="s">
        <v>165</v>
      </c>
      <c r="BJ77" s="31" t="s">
        <v>165</v>
      </c>
      <c r="BK77" s="31" t="s">
        <v>165</v>
      </c>
      <c r="BL77" s="31" t="s">
        <v>165</v>
      </c>
      <c r="BM77" s="31" t="s">
        <v>165</v>
      </c>
      <c r="BN77" s="31" t="s">
        <v>165</v>
      </c>
      <c r="BO77" s="31" t="s">
        <v>165</v>
      </c>
      <c r="BP77" s="31" t="s">
        <v>165</v>
      </c>
      <c r="BQ77" s="31" t="s">
        <v>165</v>
      </c>
      <c r="BR77" s="31" t="s">
        <v>165</v>
      </c>
      <c r="BS77" s="31" t="s">
        <v>165</v>
      </c>
      <c r="BT77" s="31" t="s">
        <v>165</v>
      </c>
      <c r="BU77" s="31" t="s">
        <v>165</v>
      </c>
      <c r="BV77" s="31" t="s">
        <v>165</v>
      </c>
      <c r="BW77" s="31" t="s">
        <v>165</v>
      </c>
      <c r="BX77" s="31" t="s">
        <v>165</v>
      </c>
      <c r="BY77" s="31" t="s">
        <v>165</v>
      </c>
      <c r="BZ77" s="31" t="s">
        <v>165</v>
      </c>
      <c r="CA77" s="31" t="s">
        <v>165</v>
      </c>
      <c r="CB77" s="31" t="s">
        <v>165</v>
      </c>
      <c r="CC77" s="31" t="s">
        <v>165</v>
      </c>
      <c r="CD77" s="31" t="s">
        <v>165</v>
      </c>
      <c r="CE77" s="31" t="s">
        <v>165</v>
      </c>
      <c r="CG77" s="15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</row>
    <row r="78" spans="1:106" outlineLevel="4" x14ac:dyDescent="0.2">
      <c r="A78" s="14">
        <v>1</v>
      </c>
      <c r="C78" s="10" t="str">
        <f>"                Total Accumulated Amortization and Impairment"</f>
        <v xml:space="preserve">                Total Accumulated Amortization and Impairment</v>
      </c>
      <c r="D78" s="29">
        <f t="shared" si="16"/>
        <v>-15738</v>
      </c>
      <c r="E78" s="29">
        <f t="shared" si="17"/>
        <v>-24803.099206349205</v>
      </c>
      <c r="F78" s="29">
        <f t="shared" si="18"/>
        <v>-83932.25</v>
      </c>
      <c r="G78" s="29">
        <f t="shared" si="19"/>
        <v>-2430</v>
      </c>
      <c r="H78" s="29">
        <f t="shared" si="20"/>
        <v>-38668</v>
      </c>
      <c r="I78" s="29">
        <f t="shared" si="21"/>
        <v>-4506</v>
      </c>
      <c r="J78" s="29">
        <f t="shared" si="22"/>
        <v>24512.610802452546</v>
      </c>
      <c r="K78" s="30">
        <f t="shared" si="23"/>
        <v>-0.98828822150490381</v>
      </c>
      <c r="L78" s="31"/>
      <c r="M78" s="31" t="s">
        <v>165</v>
      </c>
      <c r="N78" s="21">
        <v>-7602</v>
      </c>
      <c r="O78" s="21">
        <v>-69709.333333333328</v>
      </c>
      <c r="P78" s="21">
        <v>-83932.25</v>
      </c>
      <c r="Q78" s="21">
        <v>-62399.5</v>
      </c>
      <c r="R78" s="31">
        <v>-48720</v>
      </c>
      <c r="S78" s="31">
        <v>-44405</v>
      </c>
      <c r="T78" s="31">
        <v>-38668</v>
      </c>
      <c r="U78" s="31">
        <v>-32819</v>
      </c>
      <c r="V78" s="31">
        <v>-26854</v>
      </c>
      <c r="W78" s="31">
        <v>-21286</v>
      </c>
      <c r="X78" s="31">
        <v>-18575</v>
      </c>
      <c r="Y78" s="31">
        <v>-15738</v>
      </c>
      <c r="Z78" s="31">
        <v>-12916</v>
      </c>
      <c r="AA78" s="31">
        <v>-10099</v>
      </c>
      <c r="AB78" s="31">
        <v>-7950</v>
      </c>
      <c r="AC78" s="31" t="s">
        <v>165</v>
      </c>
      <c r="AD78" s="31" t="s">
        <v>165</v>
      </c>
      <c r="AE78" s="31" t="s">
        <v>165</v>
      </c>
      <c r="AF78" s="31">
        <v>-3603</v>
      </c>
      <c r="AG78" s="31" t="s">
        <v>165</v>
      </c>
      <c r="AH78" s="31" t="s">
        <v>165</v>
      </c>
      <c r="AI78" s="31" t="s">
        <v>165</v>
      </c>
      <c r="AJ78" s="31">
        <v>-3039</v>
      </c>
      <c r="AK78" s="31" t="s">
        <v>165</v>
      </c>
      <c r="AL78" s="31" t="s">
        <v>165</v>
      </c>
      <c r="AM78" s="31" t="s">
        <v>165</v>
      </c>
      <c r="AN78" s="31">
        <v>-2430</v>
      </c>
      <c r="AO78" s="31">
        <v>-2946</v>
      </c>
      <c r="AP78" s="31">
        <v>-2668</v>
      </c>
      <c r="AQ78" s="31" t="s">
        <v>165</v>
      </c>
      <c r="AR78" s="31">
        <v>-4506</v>
      </c>
      <c r="AS78" s="31" t="s">
        <v>165</v>
      </c>
      <c r="AT78" s="31" t="s">
        <v>165</v>
      </c>
      <c r="AU78" s="31" t="s">
        <v>165</v>
      </c>
      <c r="AV78" s="31" t="s">
        <v>165</v>
      </c>
      <c r="AW78" s="31" t="s">
        <v>165</v>
      </c>
      <c r="AX78" s="31" t="s">
        <v>165</v>
      </c>
      <c r="AY78" s="31" t="s">
        <v>165</v>
      </c>
      <c r="AZ78" s="31" t="s">
        <v>165</v>
      </c>
      <c r="BA78" s="31" t="s">
        <v>165</v>
      </c>
      <c r="BB78" s="31" t="s">
        <v>165</v>
      </c>
      <c r="BC78" s="31" t="s">
        <v>165</v>
      </c>
      <c r="BD78" s="31" t="s">
        <v>165</v>
      </c>
      <c r="BE78" s="31" t="s">
        <v>165</v>
      </c>
      <c r="BF78" s="31" t="s">
        <v>165</v>
      </c>
      <c r="BG78" s="31" t="s">
        <v>165</v>
      </c>
      <c r="BH78" s="31" t="s">
        <v>165</v>
      </c>
      <c r="BI78" s="31" t="s">
        <v>165</v>
      </c>
      <c r="BJ78" s="31" t="s">
        <v>165</v>
      </c>
      <c r="BK78" s="31" t="s">
        <v>165</v>
      </c>
      <c r="BL78" s="31" t="s">
        <v>165</v>
      </c>
      <c r="BM78" s="31" t="s">
        <v>165</v>
      </c>
      <c r="BN78" s="31" t="s">
        <v>165</v>
      </c>
      <c r="BO78" s="31" t="s">
        <v>165</v>
      </c>
      <c r="BP78" s="31" t="s">
        <v>165</v>
      </c>
      <c r="BQ78" s="31" t="s">
        <v>165</v>
      </c>
      <c r="BR78" s="31" t="s">
        <v>165</v>
      </c>
      <c r="BS78" s="31" t="s">
        <v>165</v>
      </c>
      <c r="BT78" s="31" t="s">
        <v>165</v>
      </c>
      <c r="BU78" s="31" t="s">
        <v>165</v>
      </c>
      <c r="BV78" s="31" t="s">
        <v>165</v>
      </c>
      <c r="BW78" s="31" t="s">
        <v>165</v>
      </c>
      <c r="BX78" s="31" t="s">
        <v>165</v>
      </c>
      <c r="BY78" s="31" t="s">
        <v>165</v>
      </c>
      <c r="BZ78" s="31" t="s">
        <v>165</v>
      </c>
      <c r="CA78" s="31" t="s">
        <v>165</v>
      </c>
      <c r="CB78" s="31" t="s">
        <v>165</v>
      </c>
      <c r="CC78" s="31" t="s">
        <v>165</v>
      </c>
      <c r="CD78" s="31" t="s">
        <v>165</v>
      </c>
      <c r="CE78" s="31" t="s">
        <v>165</v>
      </c>
      <c r="CG78" s="15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</row>
    <row r="79" spans="1:106" outlineLevel="3" x14ac:dyDescent="0.2">
      <c r="A79" s="14">
        <v>1</v>
      </c>
      <c r="C79" s="10" t="str">
        <f>"            Total Net Intangible Assets"</f>
        <v xml:space="preserve">            Total Net Intangible Assets</v>
      </c>
      <c r="D79" s="29">
        <f t="shared" si="16"/>
        <v>8338</v>
      </c>
      <c r="E79" s="29">
        <f t="shared" si="17"/>
        <v>67828.152671428557</v>
      </c>
      <c r="F79" s="29">
        <f t="shared" si="18"/>
        <v>309.15300000000002</v>
      </c>
      <c r="G79" s="29">
        <f t="shared" si="19"/>
        <v>315874</v>
      </c>
      <c r="H79" s="29">
        <f t="shared" si="20"/>
        <v>1566.0464999999999</v>
      </c>
      <c r="I79" s="29">
        <f t="shared" si="21"/>
        <v>108886.3875</v>
      </c>
      <c r="J79" s="29">
        <f t="shared" si="22"/>
        <v>94371.948440756401</v>
      </c>
      <c r="K79" s="30">
        <f t="shared" si="23"/>
        <v>1.3913389164217789</v>
      </c>
      <c r="L79" s="31"/>
      <c r="M79" s="31">
        <v>22632</v>
      </c>
      <c r="N79" s="21">
        <v>23407.75</v>
      </c>
      <c r="O79" s="21">
        <v>115235.25</v>
      </c>
      <c r="P79" s="21">
        <v>271906.75</v>
      </c>
      <c r="Q79" s="21">
        <v>301460</v>
      </c>
      <c r="R79" s="31">
        <v>314517</v>
      </c>
      <c r="S79" s="31">
        <v>304778</v>
      </c>
      <c r="T79" s="31">
        <v>310334</v>
      </c>
      <c r="U79" s="31">
        <v>315874</v>
      </c>
      <c r="V79" s="31">
        <v>296402</v>
      </c>
      <c r="W79" s="31">
        <v>136703</v>
      </c>
      <c r="X79" s="31">
        <v>139281</v>
      </c>
      <c r="Y79" s="31">
        <v>141178</v>
      </c>
      <c r="Z79" s="31">
        <v>143860</v>
      </c>
      <c r="AA79" s="31">
        <v>146593</v>
      </c>
      <c r="AB79" s="31">
        <v>149194</v>
      </c>
      <c r="AC79" s="31">
        <v>152117</v>
      </c>
      <c r="AD79" s="31">
        <v>18001</v>
      </c>
      <c r="AE79" s="31">
        <v>18272</v>
      </c>
      <c r="AF79" s="31">
        <v>3425</v>
      </c>
      <c r="AG79" s="31">
        <v>3511</v>
      </c>
      <c r="AH79" s="31">
        <v>3631</v>
      </c>
      <c r="AI79" s="31">
        <v>3759</v>
      </c>
      <c r="AJ79" s="31">
        <v>3965</v>
      </c>
      <c r="AK79" s="31">
        <v>4075</v>
      </c>
      <c r="AL79" s="31">
        <v>4225</v>
      </c>
      <c r="AM79" s="31">
        <v>4374</v>
      </c>
      <c r="AN79" s="31">
        <v>4532</v>
      </c>
      <c r="AO79" s="31">
        <v>8045</v>
      </c>
      <c r="AP79" s="31">
        <v>8239</v>
      </c>
      <c r="AQ79" s="31">
        <v>8437</v>
      </c>
      <c r="AR79" s="31">
        <v>8692</v>
      </c>
      <c r="AS79" s="31">
        <v>8859</v>
      </c>
      <c r="AT79" s="31">
        <v>60079</v>
      </c>
      <c r="AU79" s="31">
        <v>99881</v>
      </c>
      <c r="AV79" s="31">
        <v>100084</v>
      </c>
      <c r="AW79" s="31">
        <v>96714</v>
      </c>
      <c r="AX79" s="31">
        <v>97817</v>
      </c>
      <c r="AY79" s="31">
        <v>98734</v>
      </c>
      <c r="AZ79" s="31">
        <v>5940</v>
      </c>
      <c r="BA79" s="31">
        <v>6083.1210000000001</v>
      </c>
      <c r="BB79" s="31">
        <v>6293.61</v>
      </c>
      <c r="BC79" s="31">
        <v>105608.21</v>
      </c>
      <c r="BD79" s="31">
        <v>106674.158</v>
      </c>
      <c r="BE79" s="31">
        <v>107494.68399999999</v>
      </c>
      <c r="BF79" s="31">
        <v>108160.86</v>
      </c>
      <c r="BG79" s="31">
        <v>109128.23</v>
      </c>
      <c r="BH79" s="31">
        <v>111503.19899999999</v>
      </c>
      <c r="BI79" s="31">
        <v>111163.288</v>
      </c>
      <c r="BJ79" s="31">
        <v>424.505</v>
      </c>
      <c r="BK79" s="31">
        <v>413.3</v>
      </c>
      <c r="BL79" s="31">
        <v>406.988</v>
      </c>
      <c r="BM79" s="31">
        <v>348.53</v>
      </c>
      <c r="BN79" s="31">
        <v>354.60300000000001</v>
      </c>
      <c r="BO79" s="31">
        <v>358.553</v>
      </c>
      <c r="BP79" s="31">
        <v>364.90800000000002</v>
      </c>
      <c r="BQ79" s="31">
        <v>325.37799999999999</v>
      </c>
      <c r="BR79" s="31">
        <v>323.11799999999999</v>
      </c>
      <c r="BS79" s="31">
        <v>363.14400000000001</v>
      </c>
      <c r="BT79" s="31">
        <v>351.90800000000002</v>
      </c>
      <c r="BU79" s="31">
        <v>309.15300000000002</v>
      </c>
      <c r="BV79" s="31">
        <v>313.88299999999998</v>
      </c>
      <c r="BW79" s="31">
        <v>316.226</v>
      </c>
      <c r="BX79" s="31">
        <v>310.33300000000003</v>
      </c>
      <c r="BY79" s="31">
        <v>3304.962</v>
      </c>
      <c r="BZ79" s="31">
        <v>3350.6759999999999</v>
      </c>
      <c r="CA79" s="31">
        <v>3372.567</v>
      </c>
      <c r="CB79" s="31">
        <v>986.40800000000002</v>
      </c>
      <c r="CC79" s="31">
        <v>393.74799999999999</v>
      </c>
      <c r="CD79" s="31">
        <v>404.68599999999998</v>
      </c>
      <c r="CE79" s="31" t="s">
        <v>165</v>
      </c>
      <c r="CG79" s="15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</row>
    <row r="80" spans="1:106" outlineLevel="2" x14ac:dyDescent="0.2">
      <c r="A80" s="14">
        <v>1</v>
      </c>
      <c r="C80" s="9" t="str">
        <f>"        Total Long Term Investments"</f>
        <v xml:space="preserve">        Total Long Term Investments</v>
      </c>
      <c r="D80" s="17">
        <f t="shared" si="16"/>
        <v>5.3719999999999999</v>
      </c>
      <c r="E80" s="17">
        <f t="shared" si="17"/>
        <v>5.3719999999999999</v>
      </c>
      <c r="F80" s="17">
        <f t="shared" si="18"/>
        <v>5.3719999999999999</v>
      </c>
      <c r="G80" s="17">
        <f t="shared" si="19"/>
        <v>5.3719999999999999</v>
      </c>
      <c r="H80" s="17">
        <f t="shared" si="20"/>
        <v>5.3719999999999999</v>
      </c>
      <c r="I80" s="17">
        <f t="shared" si="21"/>
        <v>5.3719999999999999</v>
      </c>
      <c r="J80" s="17" t="str">
        <f t="shared" si="22"/>
        <v/>
      </c>
      <c r="K80" s="18" t="str">
        <f t="shared" si="23"/>
        <v/>
      </c>
      <c r="L80" s="21"/>
      <c r="M80" s="21" t="s">
        <v>165</v>
      </c>
      <c r="N80" s="21"/>
      <c r="O80" s="21"/>
      <c r="P80" s="21"/>
      <c r="Q80" s="21"/>
      <c r="R80" s="21" t="s">
        <v>165</v>
      </c>
      <c r="S80" s="21" t="s">
        <v>165</v>
      </c>
      <c r="T80" s="21" t="s">
        <v>165</v>
      </c>
      <c r="U80" s="21" t="s">
        <v>165</v>
      </c>
      <c r="V80" s="21" t="s">
        <v>165</v>
      </c>
      <c r="W80" s="21" t="s">
        <v>165</v>
      </c>
      <c r="X80" s="21" t="s">
        <v>165</v>
      </c>
      <c r="Y80" s="21" t="s">
        <v>165</v>
      </c>
      <c r="Z80" s="21" t="s">
        <v>165</v>
      </c>
      <c r="AA80" s="21" t="s">
        <v>165</v>
      </c>
      <c r="AB80" s="21" t="s">
        <v>165</v>
      </c>
      <c r="AC80" s="21" t="s">
        <v>165</v>
      </c>
      <c r="AD80" s="21" t="s">
        <v>165</v>
      </c>
      <c r="AE80" s="21" t="s">
        <v>165</v>
      </c>
      <c r="AF80" s="21" t="s">
        <v>165</v>
      </c>
      <c r="AG80" s="21" t="s">
        <v>165</v>
      </c>
      <c r="AH80" s="21" t="s">
        <v>165</v>
      </c>
      <c r="AI80" s="21" t="s">
        <v>165</v>
      </c>
      <c r="AJ80" s="21" t="s">
        <v>165</v>
      </c>
      <c r="AK80" s="21" t="s">
        <v>165</v>
      </c>
      <c r="AL80" s="21" t="s">
        <v>165</v>
      </c>
      <c r="AM80" s="21" t="s">
        <v>165</v>
      </c>
      <c r="AN80" s="21" t="s">
        <v>165</v>
      </c>
      <c r="AO80" s="21" t="s">
        <v>165</v>
      </c>
      <c r="AP80" s="21" t="s">
        <v>165</v>
      </c>
      <c r="AQ80" s="21" t="s">
        <v>165</v>
      </c>
      <c r="AR80" s="21" t="s">
        <v>165</v>
      </c>
      <c r="AS80" s="21" t="s">
        <v>165</v>
      </c>
      <c r="AT80" s="21" t="s">
        <v>165</v>
      </c>
      <c r="AU80" s="21" t="s">
        <v>165</v>
      </c>
      <c r="AV80" s="21" t="s">
        <v>165</v>
      </c>
      <c r="AW80" s="21" t="s">
        <v>165</v>
      </c>
      <c r="AX80" s="21" t="s">
        <v>165</v>
      </c>
      <c r="AY80" s="21" t="s">
        <v>165</v>
      </c>
      <c r="AZ80" s="21" t="s">
        <v>165</v>
      </c>
      <c r="BA80" s="21" t="s">
        <v>165</v>
      </c>
      <c r="BB80" s="21" t="s">
        <v>165</v>
      </c>
      <c r="BC80" s="21" t="s">
        <v>165</v>
      </c>
      <c r="BD80" s="21" t="s">
        <v>165</v>
      </c>
      <c r="BE80" s="21" t="s">
        <v>165</v>
      </c>
      <c r="BF80" s="21" t="s">
        <v>165</v>
      </c>
      <c r="BG80" s="21" t="s">
        <v>165</v>
      </c>
      <c r="BH80" s="21" t="s">
        <v>165</v>
      </c>
      <c r="BI80" s="21" t="s">
        <v>165</v>
      </c>
      <c r="BJ80" s="21" t="s">
        <v>165</v>
      </c>
      <c r="BK80" s="21" t="s">
        <v>165</v>
      </c>
      <c r="BL80" s="21" t="s">
        <v>165</v>
      </c>
      <c r="BM80" s="21" t="s">
        <v>165</v>
      </c>
      <c r="BN80" s="21" t="s">
        <v>165</v>
      </c>
      <c r="BO80" s="21" t="s">
        <v>165</v>
      </c>
      <c r="BP80" s="21" t="s">
        <v>165</v>
      </c>
      <c r="BQ80" s="21" t="s">
        <v>165</v>
      </c>
      <c r="BR80" s="21" t="s">
        <v>165</v>
      </c>
      <c r="BS80" s="21" t="s">
        <v>165</v>
      </c>
      <c r="BT80" s="21" t="s">
        <v>165</v>
      </c>
      <c r="BU80" s="21" t="s">
        <v>165</v>
      </c>
      <c r="BV80" s="21" t="s">
        <v>165</v>
      </c>
      <c r="BW80" s="21" t="s">
        <v>165</v>
      </c>
      <c r="BX80" s="21" t="s">
        <v>165</v>
      </c>
      <c r="BY80" s="21" t="s">
        <v>165</v>
      </c>
      <c r="BZ80" s="21" t="s">
        <v>165</v>
      </c>
      <c r="CA80" s="21" t="s">
        <v>165</v>
      </c>
      <c r="CB80" s="21" t="s">
        <v>165</v>
      </c>
      <c r="CC80" s="21" t="s">
        <v>165</v>
      </c>
      <c r="CD80" s="21">
        <v>5.3719999999999999</v>
      </c>
      <c r="CE80" s="21" t="s">
        <v>165</v>
      </c>
      <c r="CG80" s="15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</row>
    <row r="81" spans="1:106" outlineLevel="2" x14ac:dyDescent="0.2">
      <c r="A81" s="14">
        <v>1</v>
      </c>
      <c r="C81" s="9" t="str">
        <f>IF(SUBTOTAL(109,A81)=A81,"        Trade and Other Receivables, Non-Current","        Trade and Other Receivables, Non-Current")</f>
        <v xml:space="preserve">        Trade and Other Receivables, Non-Current</v>
      </c>
      <c r="D81" s="17" t="str">
        <f t="shared" si="16"/>
        <v/>
      </c>
      <c r="E81" s="17" t="str">
        <f t="shared" si="17"/>
        <v/>
      </c>
      <c r="F81" s="17" t="str">
        <f t="shared" si="18"/>
        <v/>
      </c>
      <c r="G81" s="17" t="str">
        <f t="shared" si="19"/>
        <v/>
      </c>
      <c r="H81" s="17" t="str">
        <f t="shared" si="20"/>
        <v/>
      </c>
      <c r="I81" s="17" t="str">
        <f t="shared" si="21"/>
        <v/>
      </c>
      <c r="J81" s="17" t="str">
        <f t="shared" si="22"/>
        <v/>
      </c>
      <c r="K81" s="18" t="str">
        <f t="shared" si="23"/>
        <v/>
      </c>
      <c r="L81" s="21"/>
      <c r="M81" s="21" t="str">
        <f>IF(SUBTOTAL(109,A81)=A81,"","")</f>
        <v/>
      </c>
      <c r="N81" s="21"/>
      <c r="O81" s="21"/>
      <c r="P81" s="21"/>
      <c r="Q81" s="21"/>
      <c r="R81" s="21" t="str">
        <f>IF(SUBTOTAL(109,A81)=A81,"","")</f>
        <v/>
      </c>
      <c r="S81" s="21" t="str">
        <f>IF(SUBTOTAL(109,A81)=A81,"","")</f>
        <v/>
      </c>
      <c r="T81" s="21" t="str">
        <f>IF(SUBTOTAL(109,A81)=A81,"","")</f>
        <v/>
      </c>
      <c r="U81" s="21" t="str">
        <f>IF(SUBTOTAL(109,A81)=A81,"","")</f>
        <v/>
      </c>
      <c r="V81" s="21" t="str">
        <f>IF(SUBTOTAL(109,A81)=A81,"","")</f>
        <v/>
      </c>
      <c r="W81" s="21" t="str">
        <f>IF(SUBTOTAL(109,A81)=A81,"","")</f>
        <v/>
      </c>
      <c r="X81" s="21" t="str">
        <f>IF(SUBTOTAL(109,A81)=A81,"","")</f>
        <v/>
      </c>
      <c r="Y81" s="21" t="str">
        <f>IF(SUBTOTAL(109,A81)=A81,"","")</f>
        <v/>
      </c>
      <c r="Z81" s="21" t="str">
        <f>IF(SUBTOTAL(109,A81)=A81,"","")</f>
        <v/>
      </c>
      <c r="AA81" s="21" t="str">
        <f>IF(SUBTOTAL(109,A81)=A81,"","")</f>
        <v/>
      </c>
      <c r="AB81" s="21" t="str">
        <f>IF(SUBTOTAL(109,A81)=A81,"","")</f>
        <v/>
      </c>
      <c r="AC81" s="21" t="str">
        <f>IF(SUBTOTAL(109,A81)=A81,"","")</f>
        <v/>
      </c>
      <c r="AD81" s="21" t="str">
        <f>IF(SUBTOTAL(109,A81)=A81,"","")</f>
        <v/>
      </c>
      <c r="AE81" s="21" t="str">
        <f>IF(SUBTOTAL(109,A81)=A81,"","")</f>
        <v/>
      </c>
      <c r="AF81" s="21" t="str">
        <f>IF(SUBTOTAL(109,A81)=A81,"","")</f>
        <v/>
      </c>
      <c r="AG81" s="21" t="str">
        <f>IF(SUBTOTAL(109,A81)=A81,"",1855)</f>
        <v/>
      </c>
      <c r="AH81" s="21" t="str">
        <f>IF(SUBTOTAL(109,A81)=A81,"","")</f>
        <v/>
      </c>
      <c r="AI81" s="21" t="str">
        <f>IF(SUBTOTAL(109,A81)=A81,"","")</f>
        <v/>
      </c>
      <c r="AJ81" s="21" t="str">
        <f>IF(SUBTOTAL(109,A81)=A81,"","")</f>
        <v/>
      </c>
      <c r="AK81" s="21" t="str">
        <f>IF(SUBTOTAL(109,A81)=A81,"","")</f>
        <v/>
      </c>
      <c r="AL81" s="21" t="str">
        <f>IF(SUBTOTAL(109,A81)=A81,"","")</f>
        <v/>
      </c>
      <c r="AM81" s="21" t="str">
        <f>IF(SUBTOTAL(109,A81)=A81,"","")</f>
        <v/>
      </c>
      <c r="AN81" s="21" t="str">
        <f>IF(SUBTOTAL(109,A81)=A81,"","")</f>
        <v/>
      </c>
      <c r="AO81" s="21" t="str">
        <f>IF(SUBTOTAL(109,A81)=A81,"","")</f>
        <v/>
      </c>
      <c r="AP81" s="21" t="str">
        <f>IF(SUBTOTAL(109,A81)=A81,"","")</f>
        <v/>
      </c>
      <c r="AQ81" s="21" t="str">
        <f>IF(SUBTOTAL(109,A81)=A81,"","")</f>
        <v/>
      </c>
      <c r="AR81" s="21" t="str">
        <f>IF(SUBTOTAL(109,A81)=A81,"","")</f>
        <v/>
      </c>
      <c r="AS81" s="21" t="str">
        <f>IF(SUBTOTAL(109,A81)=A81,"","")</f>
        <v/>
      </c>
      <c r="AT81" s="21" t="str">
        <f>IF(SUBTOTAL(109,A81)=A81,"","")</f>
        <v/>
      </c>
      <c r="AU81" s="21" t="str">
        <f>IF(SUBTOTAL(109,A81)=A81,"","")</f>
        <v/>
      </c>
      <c r="AV81" s="21" t="str">
        <f>IF(SUBTOTAL(109,A81)=A81,"","")</f>
        <v/>
      </c>
      <c r="AW81" s="21" t="str">
        <f>IF(SUBTOTAL(109,A81)=A81,"","")</f>
        <v/>
      </c>
      <c r="AX81" s="21" t="str">
        <f>IF(SUBTOTAL(109,A81)=A81,"","")</f>
        <v/>
      </c>
      <c r="AY81" s="21" t="str">
        <f>IF(SUBTOTAL(109,A81)=A81,"","")</f>
        <v/>
      </c>
      <c r="AZ81" s="21" t="str">
        <f>IF(SUBTOTAL(109,A81)=A81,"","")</f>
        <v/>
      </c>
      <c r="BA81" s="21" t="str">
        <f>IF(SUBTOTAL(109,A81)=A81,"","")</f>
        <v/>
      </c>
      <c r="BB81" s="21" t="str">
        <f>IF(SUBTOTAL(109,A81)=A81,"","")</f>
        <v/>
      </c>
      <c r="BC81" s="21" t="str">
        <f>IF(SUBTOTAL(109,A81)=A81,"","")</f>
        <v/>
      </c>
      <c r="BD81" s="21" t="str">
        <f>IF(SUBTOTAL(109,A81)=A81,"","")</f>
        <v/>
      </c>
      <c r="BE81" s="21" t="str">
        <f>IF(SUBTOTAL(109,A81)=A81,"","")</f>
        <v/>
      </c>
      <c r="BF81" s="21" t="str">
        <f>IF(SUBTOTAL(109,A81)=A81,"","")</f>
        <v/>
      </c>
      <c r="BG81" s="21" t="str">
        <f>IF(SUBTOTAL(109,A81)=A81,"","")</f>
        <v/>
      </c>
      <c r="BH81" s="21" t="str">
        <f>IF(SUBTOTAL(109,A81)=A81,"","")</f>
        <v/>
      </c>
      <c r="BI81" s="21" t="str">
        <f>IF(SUBTOTAL(109,A81)=A81,"","")</f>
        <v/>
      </c>
      <c r="BJ81" s="21" t="str">
        <f>IF(SUBTOTAL(109,A81)=A81,"","")</f>
        <v/>
      </c>
      <c r="BK81" s="21" t="str">
        <f>IF(SUBTOTAL(109,A81)=A81,"","")</f>
        <v/>
      </c>
      <c r="BL81" s="21" t="str">
        <f>IF(SUBTOTAL(109,A81)=A81,"","")</f>
        <v/>
      </c>
      <c r="BM81" s="21" t="str">
        <f>IF(SUBTOTAL(109,A81)=A81,"","")</f>
        <v/>
      </c>
      <c r="BN81" s="21" t="str">
        <f>IF(SUBTOTAL(109,A81)=A81,"","")</f>
        <v/>
      </c>
      <c r="BO81" s="21" t="str">
        <f>IF(SUBTOTAL(109,A81)=A81,"","")</f>
        <v/>
      </c>
      <c r="BP81" s="21" t="str">
        <f>IF(SUBTOTAL(109,A81)=A81,"","")</f>
        <v/>
      </c>
      <c r="BQ81" s="21" t="str">
        <f>IF(SUBTOTAL(109,A81)=A81,"","")</f>
        <v/>
      </c>
      <c r="BR81" s="21" t="str">
        <f>IF(SUBTOTAL(109,A81)=A81,"","")</f>
        <v/>
      </c>
      <c r="BS81" s="21" t="str">
        <f>IF(SUBTOTAL(109,A81)=A81,"","")</f>
        <v/>
      </c>
      <c r="BT81" s="21" t="str">
        <f>IF(SUBTOTAL(109,A81)=A81,"","")</f>
        <v/>
      </c>
      <c r="BU81" s="21" t="str">
        <f>IF(SUBTOTAL(109,A81)=A81,"","")</f>
        <v/>
      </c>
      <c r="BV81" s="21" t="str">
        <f>IF(SUBTOTAL(109,A81)=A81,"","")</f>
        <v/>
      </c>
      <c r="BW81" s="21" t="str">
        <f>IF(SUBTOTAL(109,A81)=A81,"","")</f>
        <v/>
      </c>
      <c r="BX81" s="21" t="str">
        <f>IF(SUBTOTAL(109,A81)=A81,"","")</f>
        <v/>
      </c>
      <c r="BY81" s="21" t="str">
        <f>IF(SUBTOTAL(109,A81)=A81,"","")</f>
        <v/>
      </c>
      <c r="BZ81" s="21" t="str">
        <f>IF(SUBTOTAL(109,A81)=A81,"","")</f>
        <v/>
      </c>
      <c r="CA81" s="21" t="str">
        <f>IF(SUBTOTAL(109,A81)=A81,"","")</f>
        <v/>
      </c>
      <c r="CB81" s="21" t="str">
        <f>IF(SUBTOTAL(109,A81)=A81,"","")</f>
        <v/>
      </c>
      <c r="CC81" s="21" t="str">
        <f>IF(SUBTOTAL(109,A81)=A81,"","")</f>
        <v/>
      </c>
      <c r="CD81" s="21" t="str">
        <f>IF(SUBTOTAL(109,A81)=A81,"","")</f>
        <v/>
      </c>
      <c r="CE81" s="21" t="str">
        <f>IF(SUBTOTAL(109,A81)=A81,"","")</f>
        <v/>
      </c>
      <c r="CG81" s="15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</row>
    <row r="82" spans="1:106" outlineLevel="3" x14ac:dyDescent="0.2">
      <c r="A82" s="14">
        <v>1</v>
      </c>
      <c r="C82" s="9" t="str">
        <f>"            Other Receivables, Non-Current"</f>
        <v xml:space="preserve">            Other Receivables, Non-Current</v>
      </c>
      <c r="D82" s="17">
        <f t="shared" si="16"/>
        <v>1855</v>
      </c>
      <c r="E82" s="17">
        <f t="shared" si="17"/>
        <v>1855</v>
      </c>
      <c r="F82" s="17">
        <f t="shared" si="18"/>
        <v>1855</v>
      </c>
      <c r="G82" s="17">
        <f t="shared" si="19"/>
        <v>1855</v>
      </c>
      <c r="H82" s="17">
        <f t="shared" si="20"/>
        <v>1855</v>
      </c>
      <c r="I82" s="17">
        <f t="shared" si="21"/>
        <v>1855</v>
      </c>
      <c r="J82" s="17" t="str">
        <f t="shared" si="22"/>
        <v/>
      </c>
      <c r="K82" s="18" t="str">
        <f t="shared" si="23"/>
        <v/>
      </c>
      <c r="L82" s="21"/>
      <c r="M82" s="21" t="s">
        <v>165</v>
      </c>
      <c r="N82" s="21"/>
      <c r="O82" s="21"/>
      <c r="P82" s="21"/>
      <c r="Q82" s="21"/>
      <c r="R82" s="21" t="s">
        <v>165</v>
      </c>
      <c r="S82" s="21" t="s">
        <v>165</v>
      </c>
      <c r="T82" s="21" t="s">
        <v>165</v>
      </c>
      <c r="U82" s="21" t="s">
        <v>165</v>
      </c>
      <c r="V82" s="21" t="s">
        <v>165</v>
      </c>
      <c r="W82" s="21" t="s">
        <v>165</v>
      </c>
      <c r="X82" s="21" t="s">
        <v>165</v>
      </c>
      <c r="Y82" s="21" t="s">
        <v>165</v>
      </c>
      <c r="Z82" s="21" t="s">
        <v>165</v>
      </c>
      <c r="AA82" s="21" t="s">
        <v>165</v>
      </c>
      <c r="AB82" s="21" t="s">
        <v>165</v>
      </c>
      <c r="AC82" s="21" t="s">
        <v>165</v>
      </c>
      <c r="AD82" s="21" t="s">
        <v>165</v>
      </c>
      <c r="AE82" s="21" t="s">
        <v>165</v>
      </c>
      <c r="AF82" s="21" t="s">
        <v>165</v>
      </c>
      <c r="AG82" s="21">
        <v>1855</v>
      </c>
      <c r="AH82" s="21" t="s">
        <v>165</v>
      </c>
      <c r="AI82" s="21" t="s">
        <v>165</v>
      </c>
      <c r="AJ82" s="21" t="s">
        <v>165</v>
      </c>
      <c r="AK82" s="21" t="s">
        <v>165</v>
      </c>
      <c r="AL82" s="21" t="s">
        <v>165</v>
      </c>
      <c r="AM82" s="21" t="s">
        <v>165</v>
      </c>
      <c r="AN82" s="21" t="s">
        <v>165</v>
      </c>
      <c r="AO82" s="21" t="s">
        <v>165</v>
      </c>
      <c r="AP82" s="21" t="s">
        <v>165</v>
      </c>
      <c r="AQ82" s="21" t="s">
        <v>165</v>
      </c>
      <c r="AR82" s="21" t="s">
        <v>165</v>
      </c>
      <c r="AS82" s="21" t="s">
        <v>165</v>
      </c>
      <c r="AT82" s="21" t="s">
        <v>165</v>
      </c>
      <c r="AU82" s="21" t="s">
        <v>165</v>
      </c>
      <c r="AV82" s="21" t="s">
        <v>165</v>
      </c>
      <c r="AW82" s="21" t="s">
        <v>165</v>
      </c>
      <c r="AX82" s="21" t="s">
        <v>165</v>
      </c>
      <c r="AY82" s="21" t="s">
        <v>165</v>
      </c>
      <c r="AZ82" s="21" t="s">
        <v>165</v>
      </c>
      <c r="BA82" s="21" t="s">
        <v>165</v>
      </c>
      <c r="BB82" s="21" t="s">
        <v>165</v>
      </c>
      <c r="BC82" s="21" t="s">
        <v>165</v>
      </c>
      <c r="BD82" s="21" t="s">
        <v>165</v>
      </c>
      <c r="BE82" s="21" t="s">
        <v>165</v>
      </c>
      <c r="BF82" s="21" t="s">
        <v>165</v>
      </c>
      <c r="BG82" s="21" t="s">
        <v>165</v>
      </c>
      <c r="BH82" s="21" t="s">
        <v>165</v>
      </c>
      <c r="BI82" s="21" t="s">
        <v>165</v>
      </c>
      <c r="BJ82" s="21" t="s">
        <v>165</v>
      </c>
      <c r="BK82" s="21" t="s">
        <v>165</v>
      </c>
      <c r="BL82" s="21" t="s">
        <v>165</v>
      </c>
      <c r="BM82" s="21" t="s">
        <v>165</v>
      </c>
      <c r="BN82" s="21" t="s">
        <v>165</v>
      </c>
      <c r="BO82" s="21" t="s">
        <v>165</v>
      </c>
      <c r="BP82" s="21" t="s">
        <v>165</v>
      </c>
      <c r="BQ82" s="21" t="s">
        <v>165</v>
      </c>
      <c r="BR82" s="21" t="s">
        <v>165</v>
      </c>
      <c r="BS82" s="21" t="s">
        <v>165</v>
      </c>
      <c r="BT82" s="21" t="s">
        <v>165</v>
      </c>
      <c r="BU82" s="21" t="s">
        <v>165</v>
      </c>
      <c r="BV82" s="21" t="s">
        <v>165</v>
      </c>
      <c r="BW82" s="21" t="s">
        <v>165</v>
      </c>
      <c r="BX82" s="21" t="s">
        <v>165</v>
      </c>
      <c r="BY82" s="21" t="s">
        <v>165</v>
      </c>
      <c r="BZ82" s="21" t="s">
        <v>165</v>
      </c>
      <c r="CA82" s="21" t="s">
        <v>165</v>
      </c>
      <c r="CB82" s="21" t="s">
        <v>165</v>
      </c>
      <c r="CC82" s="21" t="s">
        <v>165</v>
      </c>
      <c r="CD82" s="21" t="s">
        <v>165</v>
      </c>
      <c r="CE82" s="21" t="s">
        <v>165</v>
      </c>
      <c r="CG82" s="15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</row>
    <row r="83" spans="1:106" outlineLevel="3" x14ac:dyDescent="0.2">
      <c r="A83" s="14">
        <v>1</v>
      </c>
      <c r="C83" s="10" t="str">
        <f>"            Total Trade and Other Receivables, Non-Current"</f>
        <v xml:space="preserve">            Total Trade and Other Receivables, Non-Current</v>
      </c>
      <c r="D83" s="29">
        <f t="shared" si="16"/>
        <v>1855</v>
      </c>
      <c r="E83" s="29">
        <f t="shared" si="17"/>
        <v>1855</v>
      </c>
      <c r="F83" s="29">
        <f t="shared" si="18"/>
        <v>1855</v>
      </c>
      <c r="G83" s="29">
        <f t="shared" si="19"/>
        <v>1855</v>
      </c>
      <c r="H83" s="29">
        <f t="shared" si="20"/>
        <v>1855</v>
      </c>
      <c r="I83" s="29">
        <f t="shared" si="21"/>
        <v>1855</v>
      </c>
      <c r="J83" s="29" t="str">
        <f t="shared" si="22"/>
        <v/>
      </c>
      <c r="K83" s="30" t="str">
        <f t="shared" si="23"/>
        <v/>
      </c>
      <c r="L83" s="31"/>
      <c r="M83" s="31" t="s">
        <v>165</v>
      </c>
      <c r="N83" s="21"/>
      <c r="O83" s="21"/>
      <c r="P83" s="21"/>
      <c r="Q83" s="21"/>
      <c r="R83" s="31" t="s">
        <v>165</v>
      </c>
      <c r="S83" s="31" t="s">
        <v>165</v>
      </c>
      <c r="T83" s="31" t="s">
        <v>165</v>
      </c>
      <c r="U83" s="31" t="s">
        <v>165</v>
      </c>
      <c r="V83" s="31" t="s">
        <v>165</v>
      </c>
      <c r="W83" s="31" t="s">
        <v>165</v>
      </c>
      <c r="X83" s="31" t="s">
        <v>165</v>
      </c>
      <c r="Y83" s="31" t="s">
        <v>165</v>
      </c>
      <c r="Z83" s="31" t="s">
        <v>165</v>
      </c>
      <c r="AA83" s="31" t="s">
        <v>165</v>
      </c>
      <c r="AB83" s="31" t="s">
        <v>165</v>
      </c>
      <c r="AC83" s="31" t="s">
        <v>165</v>
      </c>
      <c r="AD83" s="31" t="s">
        <v>165</v>
      </c>
      <c r="AE83" s="31" t="s">
        <v>165</v>
      </c>
      <c r="AF83" s="31" t="s">
        <v>165</v>
      </c>
      <c r="AG83" s="31">
        <v>1855</v>
      </c>
      <c r="AH83" s="31" t="s">
        <v>165</v>
      </c>
      <c r="AI83" s="31" t="s">
        <v>165</v>
      </c>
      <c r="AJ83" s="31" t="s">
        <v>165</v>
      </c>
      <c r="AK83" s="31" t="s">
        <v>165</v>
      </c>
      <c r="AL83" s="31" t="s">
        <v>165</v>
      </c>
      <c r="AM83" s="31" t="s">
        <v>165</v>
      </c>
      <c r="AN83" s="31" t="s">
        <v>165</v>
      </c>
      <c r="AO83" s="31" t="s">
        <v>165</v>
      </c>
      <c r="AP83" s="31" t="s">
        <v>165</v>
      </c>
      <c r="AQ83" s="31" t="s">
        <v>165</v>
      </c>
      <c r="AR83" s="31" t="s">
        <v>165</v>
      </c>
      <c r="AS83" s="31" t="s">
        <v>165</v>
      </c>
      <c r="AT83" s="31" t="s">
        <v>165</v>
      </c>
      <c r="AU83" s="31" t="s">
        <v>165</v>
      </c>
      <c r="AV83" s="31" t="s">
        <v>165</v>
      </c>
      <c r="AW83" s="31" t="s">
        <v>165</v>
      </c>
      <c r="AX83" s="31" t="s">
        <v>165</v>
      </c>
      <c r="AY83" s="31" t="s">
        <v>165</v>
      </c>
      <c r="AZ83" s="31" t="s">
        <v>165</v>
      </c>
      <c r="BA83" s="31" t="s">
        <v>165</v>
      </c>
      <c r="BB83" s="31" t="s">
        <v>165</v>
      </c>
      <c r="BC83" s="31" t="s">
        <v>165</v>
      </c>
      <c r="BD83" s="31" t="s">
        <v>165</v>
      </c>
      <c r="BE83" s="31" t="s">
        <v>165</v>
      </c>
      <c r="BF83" s="31" t="s">
        <v>165</v>
      </c>
      <c r="BG83" s="31" t="s">
        <v>165</v>
      </c>
      <c r="BH83" s="31" t="s">
        <v>165</v>
      </c>
      <c r="BI83" s="31" t="s">
        <v>165</v>
      </c>
      <c r="BJ83" s="31" t="s">
        <v>165</v>
      </c>
      <c r="BK83" s="31" t="s">
        <v>165</v>
      </c>
      <c r="BL83" s="31" t="s">
        <v>165</v>
      </c>
      <c r="BM83" s="31" t="s">
        <v>165</v>
      </c>
      <c r="BN83" s="31" t="s">
        <v>165</v>
      </c>
      <c r="BO83" s="31" t="s">
        <v>165</v>
      </c>
      <c r="BP83" s="31" t="s">
        <v>165</v>
      </c>
      <c r="BQ83" s="31" t="s">
        <v>165</v>
      </c>
      <c r="BR83" s="31" t="s">
        <v>165</v>
      </c>
      <c r="BS83" s="31" t="s">
        <v>165</v>
      </c>
      <c r="BT83" s="31" t="s">
        <v>165</v>
      </c>
      <c r="BU83" s="31" t="s">
        <v>165</v>
      </c>
      <c r="BV83" s="31" t="s">
        <v>165</v>
      </c>
      <c r="BW83" s="31" t="s">
        <v>165</v>
      </c>
      <c r="BX83" s="31" t="s">
        <v>165</v>
      </c>
      <c r="BY83" s="31" t="s">
        <v>165</v>
      </c>
      <c r="BZ83" s="31" t="s">
        <v>165</v>
      </c>
      <c r="CA83" s="31" t="s">
        <v>165</v>
      </c>
      <c r="CB83" s="31" t="s">
        <v>165</v>
      </c>
      <c r="CC83" s="31" t="s">
        <v>165</v>
      </c>
      <c r="CD83" s="31" t="s">
        <v>165</v>
      </c>
      <c r="CE83" s="31" t="s">
        <v>165</v>
      </c>
      <c r="CG83" s="15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</row>
    <row r="84" spans="1:106" outlineLevel="2" x14ac:dyDescent="0.2">
      <c r="A84" s="14">
        <v>1</v>
      </c>
      <c r="C84" s="9" t="str">
        <f>IF(SUBTOTAL(109,A84)=A84,"        Prepayments and Deposits, Non-Current","        Prepayments and Deposits, Non-Current")</f>
        <v xml:space="preserve">        Prepayments and Deposits, Non-Current</v>
      </c>
      <c r="D84" s="17" t="str">
        <f t="shared" si="16"/>
        <v/>
      </c>
      <c r="E84" s="17" t="str">
        <f t="shared" si="17"/>
        <v/>
      </c>
      <c r="F84" s="17" t="str">
        <f t="shared" si="18"/>
        <v/>
      </c>
      <c r="G84" s="17" t="str">
        <f t="shared" si="19"/>
        <v/>
      </c>
      <c r="H84" s="17" t="str">
        <f t="shared" si="20"/>
        <v/>
      </c>
      <c r="I84" s="17" t="str">
        <f t="shared" si="21"/>
        <v/>
      </c>
      <c r="J84" s="17" t="str">
        <f t="shared" si="22"/>
        <v/>
      </c>
      <c r="K84" s="18" t="str">
        <f t="shared" si="23"/>
        <v/>
      </c>
      <c r="L84" s="21"/>
      <c r="M84" s="21" t="str">
        <f>IF(SUBTOTAL(109,A84)=A84,"","")</f>
        <v/>
      </c>
      <c r="N84" s="21"/>
      <c r="O84" s="21"/>
      <c r="P84" s="21"/>
      <c r="Q84" s="21"/>
      <c r="R84" s="21" t="str">
        <f>IF(SUBTOTAL(109,A84)=A84,"","")</f>
        <v/>
      </c>
      <c r="S84" s="21" t="str">
        <f>IF(SUBTOTAL(109,A84)=A84,"","")</f>
        <v/>
      </c>
      <c r="T84" s="21" t="str">
        <f>IF(SUBTOTAL(109,A84)=A84,"","")</f>
        <v/>
      </c>
      <c r="U84" s="21" t="str">
        <f>IF(SUBTOTAL(109,A84)=A84,"","")</f>
        <v/>
      </c>
      <c r="V84" s="21" t="str">
        <f>IF(SUBTOTAL(109,A84)=A84,"","")</f>
        <v/>
      </c>
      <c r="W84" s="21" t="str">
        <f>IF(SUBTOTAL(109,A84)=A84,"","")</f>
        <v/>
      </c>
      <c r="X84" s="21" t="str">
        <f>IF(SUBTOTAL(109,A84)=A84,"","")</f>
        <v/>
      </c>
      <c r="Y84" s="21" t="str">
        <f>IF(SUBTOTAL(109,A84)=A84,"","")</f>
        <v/>
      </c>
      <c r="Z84" s="21" t="str">
        <f>IF(SUBTOTAL(109,A84)=A84,"","")</f>
        <v/>
      </c>
      <c r="AA84" s="21" t="str">
        <f>IF(SUBTOTAL(109,A84)=A84,"","")</f>
        <v/>
      </c>
      <c r="AB84" s="21" t="str">
        <f>IF(SUBTOTAL(109,A84)=A84,"","")</f>
        <v/>
      </c>
      <c r="AC84" s="21" t="str">
        <f>IF(SUBTOTAL(109,A84)=A84,"","")</f>
        <v/>
      </c>
      <c r="AD84" s="21" t="str">
        <f>IF(SUBTOTAL(109,A84)=A84,"","")</f>
        <v/>
      </c>
      <c r="AE84" s="21" t="str">
        <f>IF(SUBTOTAL(109,A84)=A84,"","")</f>
        <v/>
      </c>
      <c r="AF84" s="21" t="str">
        <f>IF(SUBTOTAL(109,A84)=A84,"","")</f>
        <v/>
      </c>
      <c r="AG84" s="21" t="str">
        <f>IF(SUBTOTAL(109,A84)=A84,"",14227)</f>
        <v/>
      </c>
      <c r="AH84" s="21" t="str">
        <f>IF(SUBTOTAL(109,A84)=A84,"","")</f>
        <v/>
      </c>
      <c r="AI84" s="21" t="str">
        <f>IF(SUBTOTAL(109,A84)=A84,"","")</f>
        <v/>
      </c>
      <c r="AJ84" s="21" t="str">
        <f>IF(SUBTOTAL(109,A84)=A84,"","")</f>
        <v/>
      </c>
      <c r="AK84" s="21" t="str">
        <f>IF(SUBTOTAL(109,A84)=A84,"","")</f>
        <v/>
      </c>
      <c r="AL84" s="21" t="str">
        <f>IF(SUBTOTAL(109,A84)=A84,"","")</f>
        <v/>
      </c>
      <c r="AM84" s="21" t="str">
        <f>IF(SUBTOTAL(109,A84)=A84,"","")</f>
        <v/>
      </c>
      <c r="AN84" s="21" t="str">
        <f>IF(SUBTOTAL(109,A84)=A84,"","")</f>
        <v/>
      </c>
      <c r="AO84" s="21" t="str">
        <f>IF(SUBTOTAL(109,A84)=A84,"","")</f>
        <v/>
      </c>
      <c r="AP84" s="21" t="str">
        <f>IF(SUBTOTAL(109,A84)=A84,"","")</f>
        <v/>
      </c>
      <c r="AQ84" s="21" t="str">
        <f>IF(SUBTOTAL(109,A84)=A84,"","")</f>
        <v/>
      </c>
      <c r="AR84" s="21" t="str">
        <f>IF(SUBTOTAL(109,A84)=A84,"","")</f>
        <v/>
      </c>
      <c r="AS84" s="21" t="str">
        <f>IF(SUBTOTAL(109,A84)=A84,"","")</f>
        <v/>
      </c>
      <c r="AT84" s="21" t="str">
        <f>IF(SUBTOTAL(109,A84)=A84,"","")</f>
        <v/>
      </c>
      <c r="AU84" s="21" t="str">
        <f>IF(SUBTOTAL(109,A84)=A84,"","")</f>
        <v/>
      </c>
      <c r="AV84" s="21" t="str">
        <f>IF(SUBTOTAL(109,A84)=A84,"","")</f>
        <v/>
      </c>
      <c r="AW84" s="21" t="str">
        <f>IF(SUBTOTAL(109,A84)=A84,"","")</f>
        <v/>
      </c>
      <c r="AX84" s="21" t="str">
        <f>IF(SUBTOTAL(109,A84)=A84,"","")</f>
        <v/>
      </c>
      <c r="AY84" s="21" t="str">
        <f>IF(SUBTOTAL(109,A84)=A84,"","")</f>
        <v/>
      </c>
      <c r="AZ84" s="21" t="str">
        <f>IF(SUBTOTAL(109,A84)=A84,"","")</f>
        <v/>
      </c>
      <c r="BA84" s="21" t="str">
        <f>IF(SUBTOTAL(109,A84)=A84,"","")</f>
        <v/>
      </c>
      <c r="BB84" s="21" t="str">
        <f>IF(SUBTOTAL(109,A84)=A84,"","")</f>
        <v/>
      </c>
      <c r="BC84" s="21" t="str">
        <f>IF(SUBTOTAL(109,A84)=A84,"","")</f>
        <v/>
      </c>
      <c r="BD84" s="21" t="str">
        <f>IF(SUBTOTAL(109,A84)=A84,"","")</f>
        <v/>
      </c>
      <c r="BE84" s="21" t="str">
        <f>IF(SUBTOTAL(109,A84)=A84,"","")</f>
        <v/>
      </c>
      <c r="BF84" s="21" t="str">
        <f>IF(SUBTOTAL(109,A84)=A84,"","")</f>
        <v/>
      </c>
      <c r="BG84" s="21" t="str">
        <f>IF(SUBTOTAL(109,A84)=A84,"","")</f>
        <v/>
      </c>
      <c r="BH84" s="21" t="str">
        <f>IF(SUBTOTAL(109,A84)=A84,"","")</f>
        <v/>
      </c>
      <c r="BI84" s="21" t="str">
        <f>IF(SUBTOTAL(109,A84)=A84,"","")</f>
        <v/>
      </c>
      <c r="BJ84" s="21" t="str">
        <f>IF(SUBTOTAL(109,A84)=A84,"","")</f>
        <v/>
      </c>
      <c r="BK84" s="21" t="str">
        <f>IF(SUBTOTAL(109,A84)=A84,"","")</f>
        <v/>
      </c>
      <c r="BL84" s="21" t="str">
        <f>IF(SUBTOTAL(109,A84)=A84,"","")</f>
        <v/>
      </c>
      <c r="BM84" s="21" t="str">
        <f>IF(SUBTOTAL(109,A84)=A84,"","")</f>
        <v/>
      </c>
      <c r="BN84" s="21" t="str">
        <f>IF(SUBTOTAL(109,A84)=A84,"","")</f>
        <v/>
      </c>
      <c r="BO84" s="21" t="str">
        <f>IF(SUBTOTAL(109,A84)=A84,"","")</f>
        <v/>
      </c>
      <c r="BP84" s="21" t="str">
        <f>IF(SUBTOTAL(109,A84)=A84,"","")</f>
        <v/>
      </c>
      <c r="BQ84" s="21" t="str">
        <f>IF(SUBTOTAL(109,A84)=A84,"","")</f>
        <v/>
      </c>
      <c r="BR84" s="21" t="str">
        <f>IF(SUBTOTAL(109,A84)=A84,"","")</f>
        <v/>
      </c>
      <c r="BS84" s="21" t="str">
        <f>IF(SUBTOTAL(109,A84)=A84,"","")</f>
        <v/>
      </c>
      <c r="BT84" s="21" t="str">
        <f>IF(SUBTOTAL(109,A84)=A84,"","")</f>
        <v/>
      </c>
      <c r="BU84" s="21" t="str">
        <f>IF(SUBTOTAL(109,A84)=A84,"","")</f>
        <v/>
      </c>
      <c r="BV84" s="21" t="str">
        <f>IF(SUBTOTAL(109,A84)=A84,"","")</f>
        <v/>
      </c>
      <c r="BW84" s="21" t="str">
        <f>IF(SUBTOTAL(109,A84)=A84,"","")</f>
        <v/>
      </c>
      <c r="BX84" s="21" t="str">
        <f>IF(SUBTOTAL(109,A84)=A84,"","")</f>
        <v/>
      </c>
      <c r="BY84" s="21" t="str">
        <f>IF(SUBTOTAL(109,A84)=A84,"","")</f>
        <v/>
      </c>
      <c r="BZ84" s="21" t="str">
        <f>IF(SUBTOTAL(109,A84)=A84,"","")</f>
        <v/>
      </c>
      <c r="CA84" s="21" t="str">
        <f>IF(SUBTOTAL(109,A84)=A84,"","")</f>
        <v/>
      </c>
      <c r="CB84" s="21" t="str">
        <f>IF(SUBTOTAL(109,A84)=A84,"","")</f>
        <v/>
      </c>
      <c r="CC84" s="21" t="str">
        <f>IF(SUBTOTAL(109,A84)=A84,"","")</f>
        <v/>
      </c>
      <c r="CD84" s="21" t="str">
        <f>IF(SUBTOTAL(109,A84)=A84,"","")</f>
        <v/>
      </c>
      <c r="CE84" s="21" t="str">
        <f>IF(SUBTOTAL(109,A84)=A84,"","")</f>
        <v/>
      </c>
      <c r="CG84" s="15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</row>
    <row r="85" spans="1:106" outlineLevel="3" x14ac:dyDescent="0.2">
      <c r="A85" s="14">
        <v>1</v>
      </c>
      <c r="C85" s="9" t="str">
        <f>"            Deposits Paid for Business and Fixed Assets, Non-Current"</f>
        <v xml:space="preserve">            Deposits Paid for Business and Fixed Assets, Non-Current</v>
      </c>
      <c r="D85" s="17">
        <f t="shared" si="16"/>
        <v>14227</v>
      </c>
      <c r="E85" s="17">
        <f t="shared" si="17"/>
        <v>14227</v>
      </c>
      <c r="F85" s="17">
        <f t="shared" si="18"/>
        <v>14227</v>
      </c>
      <c r="G85" s="17">
        <f t="shared" si="19"/>
        <v>14227</v>
      </c>
      <c r="H85" s="17">
        <f t="shared" si="20"/>
        <v>14227</v>
      </c>
      <c r="I85" s="17">
        <f t="shared" si="21"/>
        <v>14227</v>
      </c>
      <c r="J85" s="17" t="str">
        <f t="shared" si="22"/>
        <v/>
      </c>
      <c r="K85" s="18" t="str">
        <f t="shared" si="23"/>
        <v/>
      </c>
      <c r="L85" s="21"/>
      <c r="M85" s="21" t="s">
        <v>165</v>
      </c>
      <c r="N85" s="21"/>
      <c r="O85" s="21"/>
      <c r="P85" s="21"/>
      <c r="Q85" s="21"/>
      <c r="R85" s="21" t="s">
        <v>165</v>
      </c>
      <c r="S85" s="21" t="s">
        <v>165</v>
      </c>
      <c r="T85" s="21" t="s">
        <v>165</v>
      </c>
      <c r="U85" s="21" t="s">
        <v>165</v>
      </c>
      <c r="V85" s="21" t="s">
        <v>165</v>
      </c>
      <c r="W85" s="21" t="s">
        <v>165</v>
      </c>
      <c r="X85" s="21" t="s">
        <v>165</v>
      </c>
      <c r="Y85" s="21" t="s">
        <v>165</v>
      </c>
      <c r="Z85" s="21" t="s">
        <v>165</v>
      </c>
      <c r="AA85" s="21" t="s">
        <v>165</v>
      </c>
      <c r="AB85" s="21" t="s">
        <v>165</v>
      </c>
      <c r="AC85" s="21" t="s">
        <v>165</v>
      </c>
      <c r="AD85" s="21" t="s">
        <v>165</v>
      </c>
      <c r="AE85" s="21" t="s">
        <v>165</v>
      </c>
      <c r="AF85" s="21" t="s">
        <v>165</v>
      </c>
      <c r="AG85" s="21">
        <v>14227</v>
      </c>
      <c r="AH85" s="21" t="s">
        <v>165</v>
      </c>
      <c r="AI85" s="21" t="s">
        <v>165</v>
      </c>
      <c r="AJ85" s="21" t="s">
        <v>165</v>
      </c>
      <c r="AK85" s="21" t="s">
        <v>165</v>
      </c>
      <c r="AL85" s="21" t="s">
        <v>165</v>
      </c>
      <c r="AM85" s="21" t="s">
        <v>165</v>
      </c>
      <c r="AN85" s="21" t="s">
        <v>165</v>
      </c>
      <c r="AO85" s="21" t="s">
        <v>165</v>
      </c>
      <c r="AP85" s="21" t="s">
        <v>165</v>
      </c>
      <c r="AQ85" s="21" t="s">
        <v>165</v>
      </c>
      <c r="AR85" s="21" t="s">
        <v>165</v>
      </c>
      <c r="AS85" s="21" t="s">
        <v>165</v>
      </c>
      <c r="AT85" s="21" t="s">
        <v>165</v>
      </c>
      <c r="AU85" s="21" t="s">
        <v>165</v>
      </c>
      <c r="AV85" s="21" t="s">
        <v>165</v>
      </c>
      <c r="AW85" s="21" t="s">
        <v>165</v>
      </c>
      <c r="AX85" s="21" t="s">
        <v>165</v>
      </c>
      <c r="AY85" s="21" t="s">
        <v>165</v>
      </c>
      <c r="AZ85" s="21" t="s">
        <v>165</v>
      </c>
      <c r="BA85" s="21" t="s">
        <v>165</v>
      </c>
      <c r="BB85" s="21" t="s">
        <v>165</v>
      </c>
      <c r="BC85" s="21" t="s">
        <v>165</v>
      </c>
      <c r="BD85" s="21" t="s">
        <v>165</v>
      </c>
      <c r="BE85" s="21" t="s">
        <v>165</v>
      </c>
      <c r="BF85" s="21" t="s">
        <v>165</v>
      </c>
      <c r="BG85" s="21" t="s">
        <v>165</v>
      </c>
      <c r="BH85" s="21" t="s">
        <v>165</v>
      </c>
      <c r="BI85" s="21" t="s">
        <v>165</v>
      </c>
      <c r="BJ85" s="21" t="s">
        <v>165</v>
      </c>
      <c r="BK85" s="21" t="s">
        <v>165</v>
      </c>
      <c r="BL85" s="21" t="s">
        <v>165</v>
      </c>
      <c r="BM85" s="21" t="s">
        <v>165</v>
      </c>
      <c r="BN85" s="21" t="s">
        <v>165</v>
      </c>
      <c r="BO85" s="21" t="s">
        <v>165</v>
      </c>
      <c r="BP85" s="21" t="s">
        <v>165</v>
      </c>
      <c r="BQ85" s="21" t="s">
        <v>165</v>
      </c>
      <c r="BR85" s="21" t="s">
        <v>165</v>
      </c>
      <c r="BS85" s="21" t="s">
        <v>165</v>
      </c>
      <c r="BT85" s="21" t="s">
        <v>165</v>
      </c>
      <c r="BU85" s="21" t="s">
        <v>165</v>
      </c>
      <c r="BV85" s="21" t="s">
        <v>165</v>
      </c>
      <c r="BW85" s="21" t="s">
        <v>165</v>
      </c>
      <c r="BX85" s="21" t="s">
        <v>165</v>
      </c>
      <c r="BY85" s="21" t="s">
        <v>165</v>
      </c>
      <c r="BZ85" s="21" t="s">
        <v>165</v>
      </c>
      <c r="CA85" s="21" t="s">
        <v>165</v>
      </c>
      <c r="CB85" s="21" t="s">
        <v>165</v>
      </c>
      <c r="CC85" s="21" t="s">
        <v>165</v>
      </c>
      <c r="CD85" s="21" t="s">
        <v>165</v>
      </c>
      <c r="CE85" s="21" t="s">
        <v>165</v>
      </c>
      <c r="CG85" s="15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</row>
    <row r="86" spans="1:106" outlineLevel="3" x14ac:dyDescent="0.2">
      <c r="A86" s="14">
        <v>1</v>
      </c>
      <c r="C86" s="10" t="str">
        <f>"            Total Prepayments and Deposits, Non-Current"</f>
        <v xml:space="preserve">            Total Prepayments and Deposits, Non-Current</v>
      </c>
      <c r="D86" s="29">
        <f t="shared" si="16"/>
        <v>14227</v>
      </c>
      <c r="E86" s="29">
        <f t="shared" si="17"/>
        <v>14227</v>
      </c>
      <c r="F86" s="29">
        <f t="shared" si="18"/>
        <v>14227</v>
      </c>
      <c r="G86" s="29">
        <f t="shared" si="19"/>
        <v>14227</v>
      </c>
      <c r="H86" s="29">
        <f t="shared" si="20"/>
        <v>14227</v>
      </c>
      <c r="I86" s="29">
        <f t="shared" si="21"/>
        <v>14227</v>
      </c>
      <c r="J86" s="29" t="str">
        <f t="shared" si="22"/>
        <v/>
      </c>
      <c r="K86" s="30" t="str">
        <f t="shared" si="23"/>
        <v/>
      </c>
      <c r="L86" s="31"/>
      <c r="M86" s="31" t="s">
        <v>165</v>
      </c>
      <c r="N86" s="21"/>
      <c r="O86" s="21"/>
      <c r="P86" s="21"/>
      <c r="Q86" s="21"/>
      <c r="R86" s="31" t="s">
        <v>165</v>
      </c>
      <c r="S86" s="31" t="s">
        <v>165</v>
      </c>
      <c r="T86" s="31" t="s">
        <v>165</v>
      </c>
      <c r="U86" s="31" t="s">
        <v>165</v>
      </c>
      <c r="V86" s="31" t="s">
        <v>165</v>
      </c>
      <c r="W86" s="31" t="s">
        <v>165</v>
      </c>
      <c r="X86" s="31" t="s">
        <v>165</v>
      </c>
      <c r="Y86" s="31" t="s">
        <v>165</v>
      </c>
      <c r="Z86" s="31" t="s">
        <v>165</v>
      </c>
      <c r="AA86" s="31" t="s">
        <v>165</v>
      </c>
      <c r="AB86" s="31" t="s">
        <v>165</v>
      </c>
      <c r="AC86" s="31" t="s">
        <v>165</v>
      </c>
      <c r="AD86" s="31" t="s">
        <v>165</v>
      </c>
      <c r="AE86" s="31" t="s">
        <v>165</v>
      </c>
      <c r="AF86" s="31" t="s">
        <v>165</v>
      </c>
      <c r="AG86" s="31">
        <v>14227</v>
      </c>
      <c r="AH86" s="31" t="s">
        <v>165</v>
      </c>
      <c r="AI86" s="31" t="s">
        <v>165</v>
      </c>
      <c r="AJ86" s="31" t="s">
        <v>165</v>
      </c>
      <c r="AK86" s="31" t="s">
        <v>165</v>
      </c>
      <c r="AL86" s="31" t="s">
        <v>165</v>
      </c>
      <c r="AM86" s="31" t="s">
        <v>165</v>
      </c>
      <c r="AN86" s="31" t="s">
        <v>165</v>
      </c>
      <c r="AO86" s="31" t="s">
        <v>165</v>
      </c>
      <c r="AP86" s="31" t="s">
        <v>165</v>
      </c>
      <c r="AQ86" s="31" t="s">
        <v>165</v>
      </c>
      <c r="AR86" s="31" t="s">
        <v>165</v>
      </c>
      <c r="AS86" s="31" t="s">
        <v>165</v>
      </c>
      <c r="AT86" s="31" t="s">
        <v>165</v>
      </c>
      <c r="AU86" s="31" t="s">
        <v>165</v>
      </c>
      <c r="AV86" s="31" t="s">
        <v>165</v>
      </c>
      <c r="AW86" s="31" t="s">
        <v>165</v>
      </c>
      <c r="AX86" s="31" t="s">
        <v>165</v>
      </c>
      <c r="AY86" s="31" t="s">
        <v>165</v>
      </c>
      <c r="AZ86" s="31" t="s">
        <v>165</v>
      </c>
      <c r="BA86" s="31" t="s">
        <v>165</v>
      </c>
      <c r="BB86" s="31" t="s">
        <v>165</v>
      </c>
      <c r="BC86" s="31" t="s">
        <v>165</v>
      </c>
      <c r="BD86" s="31" t="s">
        <v>165</v>
      </c>
      <c r="BE86" s="31" t="s">
        <v>165</v>
      </c>
      <c r="BF86" s="31" t="s">
        <v>165</v>
      </c>
      <c r="BG86" s="31" t="s">
        <v>165</v>
      </c>
      <c r="BH86" s="31" t="s">
        <v>165</v>
      </c>
      <c r="BI86" s="31" t="s">
        <v>165</v>
      </c>
      <c r="BJ86" s="31" t="s">
        <v>165</v>
      </c>
      <c r="BK86" s="31" t="s">
        <v>165</v>
      </c>
      <c r="BL86" s="31" t="s">
        <v>165</v>
      </c>
      <c r="BM86" s="31" t="s">
        <v>165</v>
      </c>
      <c r="BN86" s="31" t="s">
        <v>165</v>
      </c>
      <c r="BO86" s="31" t="s">
        <v>165</v>
      </c>
      <c r="BP86" s="31" t="s">
        <v>165</v>
      </c>
      <c r="BQ86" s="31" t="s">
        <v>165</v>
      </c>
      <c r="BR86" s="31" t="s">
        <v>165</v>
      </c>
      <c r="BS86" s="31" t="s">
        <v>165</v>
      </c>
      <c r="BT86" s="31" t="s">
        <v>165</v>
      </c>
      <c r="BU86" s="31" t="s">
        <v>165</v>
      </c>
      <c r="BV86" s="31" t="s">
        <v>165</v>
      </c>
      <c r="BW86" s="31" t="s">
        <v>165</v>
      </c>
      <c r="BX86" s="31" t="s">
        <v>165</v>
      </c>
      <c r="BY86" s="31" t="s">
        <v>165</v>
      </c>
      <c r="BZ86" s="31" t="s">
        <v>165</v>
      </c>
      <c r="CA86" s="31" t="s">
        <v>165</v>
      </c>
      <c r="CB86" s="31" t="s">
        <v>165</v>
      </c>
      <c r="CC86" s="31" t="s">
        <v>165</v>
      </c>
      <c r="CD86" s="31" t="s">
        <v>165</v>
      </c>
      <c r="CE86" s="31" t="s">
        <v>165</v>
      </c>
      <c r="CG86" s="15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</row>
    <row r="87" spans="1:106" outlineLevel="2" x14ac:dyDescent="0.2">
      <c r="A87" s="14">
        <v>1</v>
      </c>
      <c r="C87" s="9" t="str">
        <f>"        Deferred Tax Assets, Non-Current"</f>
        <v xml:space="preserve">        Deferred Tax Assets, Non-Current</v>
      </c>
      <c r="D87" s="17">
        <f t="shared" si="16"/>
        <v>7079.884</v>
      </c>
      <c r="E87" s="17">
        <f t="shared" si="17"/>
        <v>5490.7397999999994</v>
      </c>
      <c r="F87" s="17">
        <f t="shared" si="18"/>
        <v>0</v>
      </c>
      <c r="G87" s="17">
        <f t="shared" si="19"/>
        <v>13045.388000000001</v>
      </c>
      <c r="H87" s="17">
        <f t="shared" si="20"/>
        <v>1143</v>
      </c>
      <c r="I87" s="17">
        <f t="shared" si="21"/>
        <v>7806.7020000000002</v>
      </c>
      <c r="J87" s="17">
        <f t="shared" si="22"/>
        <v>3945.3927603758179</v>
      </c>
      <c r="K87" s="18">
        <f t="shared" si="23"/>
        <v>0.71855394793536176</v>
      </c>
      <c r="L87" s="21"/>
      <c r="M87" s="21">
        <v>1221</v>
      </c>
      <c r="N87" s="21">
        <v>0</v>
      </c>
      <c r="O87" s="21">
        <v>2396</v>
      </c>
      <c r="P87" s="21" t="s">
        <v>165</v>
      </c>
      <c r="Q87" s="21" t="s">
        <v>165</v>
      </c>
      <c r="R87" s="21" t="s">
        <v>165</v>
      </c>
      <c r="S87" s="21" t="s">
        <v>165</v>
      </c>
      <c r="T87" s="21" t="s">
        <v>165</v>
      </c>
      <c r="U87" s="21" t="s">
        <v>165</v>
      </c>
      <c r="V87" s="21" t="s">
        <v>165</v>
      </c>
      <c r="W87" s="21" t="s">
        <v>165</v>
      </c>
      <c r="X87" s="21" t="s">
        <v>165</v>
      </c>
      <c r="Y87" s="21" t="s">
        <v>165</v>
      </c>
      <c r="Z87" s="21" t="s">
        <v>165</v>
      </c>
      <c r="AA87" s="21" t="s">
        <v>165</v>
      </c>
      <c r="AB87" s="21" t="s">
        <v>165</v>
      </c>
      <c r="AC87" s="21" t="s">
        <v>165</v>
      </c>
      <c r="AD87" s="21" t="s">
        <v>165</v>
      </c>
      <c r="AE87" s="21" t="s">
        <v>165</v>
      </c>
      <c r="AF87" s="21" t="s">
        <v>165</v>
      </c>
      <c r="AG87" s="21" t="s">
        <v>165</v>
      </c>
      <c r="AH87" s="21" t="s">
        <v>165</v>
      </c>
      <c r="AI87" s="21" t="s">
        <v>165</v>
      </c>
      <c r="AJ87" s="21" t="s">
        <v>165</v>
      </c>
      <c r="AK87" s="21" t="s">
        <v>165</v>
      </c>
      <c r="AL87" s="21" t="s">
        <v>165</v>
      </c>
      <c r="AM87" s="21" t="s">
        <v>165</v>
      </c>
      <c r="AN87" s="21" t="s">
        <v>165</v>
      </c>
      <c r="AO87" s="21" t="s">
        <v>165</v>
      </c>
      <c r="AP87" s="21" t="s">
        <v>165</v>
      </c>
      <c r="AQ87" s="21" t="s">
        <v>165</v>
      </c>
      <c r="AR87" s="21" t="s">
        <v>165</v>
      </c>
      <c r="AS87" s="21" t="s">
        <v>165</v>
      </c>
      <c r="AT87" s="21" t="s">
        <v>165</v>
      </c>
      <c r="AU87" s="21" t="s">
        <v>165</v>
      </c>
      <c r="AV87" s="21" t="s">
        <v>165</v>
      </c>
      <c r="AW87" s="21">
        <v>0</v>
      </c>
      <c r="AX87" s="21">
        <v>0</v>
      </c>
      <c r="AY87" s="21">
        <v>0</v>
      </c>
      <c r="AZ87" s="21">
        <v>1143</v>
      </c>
      <c r="BA87" s="21">
        <v>949.61300000000006</v>
      </c>
      <c r="BB87" s="21">
        <v>409.77100000000002</v>
      </c>
      <c r="BC87" s="21" t="s">
        <v>165</v>
      </c>
      <c r="BD87" s="21" t="s">
        <v>165</v>
      </c>
      <c r="BE87" s="21" t="s">
        <v>165</v>
      </c>
      <c r="BF87" s="21" t="s">
        <v>165</v>
      </c>
      <c r="BG87" s="21" t="s">
        <v>165</v>
      </c>
      <c r="BH87" s="21" t="s">
        <v>165</v>
      </c>
      <c r="BI87" s="21">
        <v>7358.1940000000004</v>
      </c>
      <c r="BJ87" s="21">
        <v>7358.1940000000004</v>
      </c>
      <c r="BK87" s="21">
        <v>7358.1940000000004</v>
      </c>
      <c r="BL87" s="21">
        <v>7358.1940000000004</v>
      </c>
      <c r="BM87" s="21">
        <v>6688.268</v>
      </c>
      <c r="BN87" s="21">
        <v>6478.0079999999998</v>
      </c>
      <c r="BO87" s="21">
        <v>6644.9390000000003</v>
      </c>
      <c r="BP87" s="21">
        <v>7806.7020000000002</v>
      </c>
      <c r="BQ87" s="21">
        <v>7079.884</v>
      </c>
      <c r="BR87" s="21">
        <v>7544.8509999999997</v>
      </c>
      <c r="BS87" s="21">
        <v>9076.2160000000003</v>
      </c>
      <c r="BT87" s="21">
        <v>13045.388000000001</v>
      </c>
      <c r="BU87" s="21">
        <v>10112.394</v>
      </c>
      <c r="BV87" s="21">
        <v>8836.2669999999998</v>
      </c>
      <c r="BW87" s="21">
        <v>9094.5249999999996</v>
      </c>
      <c r="BX87" s="21">
        <v>9308.893</v>
      </c>
      <c r="BY87" s="21" t="s">
        <v>165</v>
      </c>
      <c r="BZ87" s="21" t="s">
        <v>165</v>
      </c>
      <c r="CA87" s="21" t="s">
        <v>165</v>
      </c>
      <c r="CB87" s="21" t="s">
        <v>165</v>
      </c>
      <c r="CC87" s="21" t="s">
        <v>165</v>
      </c>
      <c r="CD87" s="21" t="s">
        <v>165</v>
      </c>
      <c r="CE87" s="21" t="s">
        <v>165</v>
      </c>
      <c r="CG87" s="15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</row>
    <row r="88" spans="1:106" outlineLevel="2" x14ac:dyDescent="0.2">
      <c r="A88" s="14">
        <v>1</v>
      </c>
      <c r="C88" s="9" t="str">
        <f>"        Deferred Costs/Assets, Non-Current"</f>
        <v xml:space="preserve">        Deferred Costs/Assets, Non-Current</v>
      </c>
      <c r="D88" s="17">
        <f t="shared" si="16"/>
        <v>0</v>
      </c>
      <c r="E88" s="17">
        <f t="shared" si="17"/>
        <v>0</v>
      </c>
      <c r="F88" s="17">
        <f t="shared" si="18"/>
        <v>0</v>
      </c>
      <c r="G88" s="17">
        <f t="shared" si="19"/>
        <v>0</v>
      </c>
      <c r="H88" s="17">
        <f t="shared" si="20"/>
        <v>0</v>
      </c>
      <c r="I88" s="17">
        <f t="shared" si="21"/>
        <v>0</v>
      </c>
      <c r="J88" s="17">
        <f t="shared" si="22"/>
        <v>0</v>
      </c>
      <c r="K88" s="18" t="e">
        <f t="shared" si="23"/>
        <v>#DIV/0!</v>
      </c>
      <c r="L88" s="21"/>
      <c r="M88" s="21" t="s">
        <v>165</v>
      </c>
      <c r="N88" s="21"/>
      <c r="O88" s="21"/>
      <c r="P88" s="21" t="s">
        <v>165</v>
      </c>
      <c r="Q88" s="21" t="s">
        <v>165</v>
      </c>
      <c r="R88" s="21" t="s">
        <v>165</v>
      </c>
      <c r="S88" s="21" t="s">
        <v>165</v>
      </c>
      <c r="T88" s="21" t="s">
        <v>165</v>
      </c>
      <c r="U88" s="21" t="s">
        <v>165</v>
      </c>
      <c r="V88" s="21" t="s">
        <v>165</v>
      </c>
      <c r="W88" s="21" t="s">
        <v>165</v>
      </c>
      <c r="X88" s="21" t="s">
        <v>165</v>
      </c>
      <c r="Y88" s="21" t="s">
        <v>165</v>
      </c>
      <c r="Z88" s="21" t="s">
        <v>165</v>
      </c>
      <c r="AA88" s="21" t="s">
        <v>165</v>
      </c>
      <c r="AB88" s="21" t="s">
        <v>165</v>
      </c>
      <c r="AC88" s="21" t="s">
        <v>165</v>
      </c>
      <c r="AD88" s="21" t="s">
        <v>165</v>
      </c>
      <c r="AE88" s="21" t="s">
        <v>165</v>
      </c>
      <c r="AF88" s="21" t="s">
        <v>165</v>
      </c>
      <c r="AG88" s="21" t="s">
        <v>165</v>
      </c>
      <c r="AH88" s="21" t="s">
        <v>165</v>
      </c>
      <c r="AI88" s="21" t="s">
        <v>165</v>
      </c>
      <c r="AJ88" s="21" t="s">
        <v>165</v>
      </c>
      <c r="AK88" s="21" t="s">
        <v>165</v>
      </c>
      <c r="AL88" s="21" t="s">
        <v>165</v>
      </c>
      <c r="AM88" s="21" t="s">
        <v>165</v>
      </c>
      <c r="AN88" s="21" t="s">
        <v>165</v>
      </c>
      <c r="AO88" s="21" t="s">
        <v>165</v>
      </c>
      <c r="AP88" s="21" t="s">
        <v>165</v>
      </c>
      <c r="AQ88" s="21" t="s">
        <v>165</v>
      </c>
      <c r="AR88" s="21" t="s">
        <v>165</v>
      </c>
      <c r="AS88" s="21" t="s">
        <v>165</v>
      </c>
      <c r="AT88" s="21" t="s">
        <v>165</v>
      </c>
      <c r="AU88" s="21" t="s">
        <v>165</v>
      </c>
      <c r="AV88" s="21" t="s">
        <v>165</v>
      </c>
      <c r="AW88" s="21">
        <v>0</v>
      </c>
      <c r="AX88" s="21">
        <v>0</v>
      </c>
      <c r="AY88" s="21">
        <v>0</v>
      </c>
      <c r="AZ88" s="21">
        <v>0</v>
      </c>
      <c r="BA88" s="21">
        <v>0</v>
      </c>
      <c r="BB88" s="21">
        <v>0</v>
      </c>
      <c r="BC88" s="21" t="s">
        <v>165</v>
      </c>
      <c r="BD88" s="21" t="s">
        <v>165</v>
      </c>
      <c r="BE88" s="21" t="s">
        <v>165</v>
      </c>
      <c r="BF88" s="21" t="s">
        <v>165</v>
      </c>
      <c r="BG88" s="21" t="s">
        <v>165</v>
      </c>
      <c r="BH88" s="21" t="s">
        <v>165</v>
      </c>
      <c r="BI88" s="21">
        <v>0</v>
      </c>
      <c r="BJ88" s="21"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</v>
      </c>
      <c r="BP88" s="21">
        <v>0</v>
      </c>
      <c r="BQ88" s="21">
        <v>0</v>
      </c>
      <c r="BR88" s="21">
        <v>0</v>
      </c>
      <c r="BS88" s="21">
        <v>0</v>
      </c>
      <c r="BT88" s="21">
        <v>0</v>
      </c>
      <c r="BU88" s="21">
        <v>0</v>
      </c>
      <c r="BV88" s="21">
        <v>0</v>
      </c>
      <c r="BW88" s="21">
        <v>0</v>
      </c>
      <c r="BX88" s="21">
        <v>0</v>
      </c>
      <c r="BY88" s="21" t="s">
        <v>165</v>
      </c>
      <c r="BZ88" s="21" t="s">
        <v>165</v>
      </c>
      <c r="CA88" s="21" t="s">
        <v>165</v>
      </c>
      <c r="CB88" s="21" t="s">
        <v>165</v>
      </c>
      <c r="CC88" s="21" t="s">
        <v>165</v>
      </c>
      <c r="CD88" s="21" t="s">
        <v>165</v>
      </c>
      <c r="CE88" s="21" t="s">
        <v>165</v>
      </c>
      <c r="CG88" s="15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</row>
    <row r="89" spans="1:106" outlineLevel="2" x14ac:dyDescent="0.2">
      <c r="A89" s="14">
        <v>1</v>
      </c>
      <c r="C89" s="9" t="str">
        <f>"        Assets Held for Sale/Discontinued Operations, Non-Current"</f>
        <v xml:space="preserve">        Assets Held for Sale/Discontinued Operations, Non-Current</v>
      </c>
      <c r="D89" s="17">
        <f t="shared" si="16"/>
        <v>37121.25</v>
      </c>
      <c r="E89" s="17">
        <f t="shared" si="17"/>
        <v>37121.25</v>
      </c>
      <c r="F89" s="17">
        <f t="shared" si="18"/>
        <v>0</v>
      </c>
      <c r="G89" s="17">
        <f t="shared" si="19"/>
        <v>74242.5</v>
      </c>
      <c r="H89" s="17">
        <f t="shared" si="20"/>
        <v>18560.625</v>
      </c>
      <c r="I89" s="17">
        <f t="shared" si="21"/>
        <v>55681.875</v>
      </c>
      <c r="J89" s="17">
        <f t="shared" si="22"/>
        <v>52497.375202242256</v>
      </c>
      <c r="K89" s="18">
        <f t="shared" si="23"/>
        <v>1.4142135623730951</v>
      </c>
      <c r="L89" s="21"/>
      <c r="M89" s="21" t="s">
        <v>165</v>
      </c>
      <c r="N89" s="21">
        <v>0</v>
      </c>
      <c r="O89" s="21">
        <v>74242.5</v>
      </c>
      <c r="P89" s="21" t="s">
        <v>165</v>
      </c>
      <c r="Q89" s="21" t="s">
        <v>165</v>
      </c>
      <c r="R89" s="21" t="s">
        <v>165</v>
      </c>
      <c r="S89" s="21" t="s">
        <v>165</v>
      </c>
      <c r="T89" s="21" t="s">
        <v>165</v>
      </c>
      <c r="U89" s="21" t="s">
        <v>165</v>
      </c>
      <c r="V89" s="21" t="s">
        <v>165</v>
      </c>
      <c r="W89" s="21" t="s">
        <v>165</v>
      </c>
      <c r="X89" s="21" t="s">
        <v>165</v>
      </c>
      <c r="Y89" s="21" t="s">
        <v>165</v>
      </c>
      <c r="Z89" s="21" t="s">
        <v>165</v>
      </c>
      <c r="AA89" s="21" t="s">
        <v>165</v>
      </c>
      <c r="AB89" s="21" t="s">
        <v>165</v>
      </c>
      <c r="AC89" s="21" t="s">
        <v>165</v>
      </c>
      <c r="AD89" s="21" t="s">
        <v>165</v>
      </c>
      <c r="AE89" s="21" t="s">
        <v>165</v>
      </c>
      <c r="AF89" s="21" t="s">
        <v>165</v>
      </c>
      <c r="AG89" s="21" t="s">
        <v>165</v>
      </c>
      <c r="AH89" s="21" t="s">
        <v>165</v>
      </c>
      <c r="AI89" s="21" t="s">
        <v>165</v>
      </c>
      <c r="AJ89" s="21" t="s">
        <v>165</v>
      </c>
      <c r="AK89" s="21" t="s">
        <v>165</v>
      </c>
      <c r="AL89" s="21" t="s">
        <v>165</v>
      </c>
      <c r="AM89" s="21" t="s">
        <v>165</v>
      </c>
      <c r="AN89" s="21" t="s">
        <v>165</v>
      </c>
      <c r="AO89" s="21" t="s">
        <v>165</v>
      </c>
      <c r="AP89" s="21" t="s">
        <v>165</v>
      </c>
      <c r="AQ89" s="21" t="s">
        <v>165</v>
      </c>
      <c r="AR89" s="21" t="s">
        <v>165</v>
      </c>
      <c r="AS89" s="21" t="s">
        <v>165</v>
      </c>
      <c r="AT89" s="21" t="s">
        <v>165</v>
      </c>
      <c r="AU89" s="21" t="s">
        <v>165</v>
      </c>
      <c r="AV89" s="21" t="s">
        <v>165</v>
      </c>
      <c r="AW89" s="21" t="s">
        <v>165</v>
      </c>
      <c r="AX89" s="21" t="s">
        <v>165</v>
      </c>
      <c r="AY89" s="21" t="s">
        <v>165</v>
      </c>
      <c r="AZ89" s="21" t="s">
        <v>165</v>
      </c>
      <c r="BA89" s="21" t="s">
        <v>165</v>
      </c>
      <c r="BB89" s="21" t="s">
        <v>165</v>
      </c>
      <c r="BC89" s="21" t="s">
        <v>165</v>
      </c>
      <c r="BD89" s="21" t="s">
        <v>165</v>
      </c>
      <c r="BE89" s="21" t="s">
        <v>165</v>
      </c>
      <c r="BF89" s="21" t="s">
        <v>165</v>
      </c>
      <c r="BG89" s="21" t="s">
        <v>165</v>
      </c>
      <c r="BH89" s="21" t="s">
        <v>165</v>
      </c>
      <c r="BI89" s="21" t="s">
        <v>165</v>
      </c>
      <c r="BJ89" s="21" t="s">
        <v>165</v>
      </c>
      <c r="BK89" s="21" t="s">
        <v>165</v>
      </c>
      <c r="BL89" s="21" t="s">
        <v>165</v>
      </c>
      <c r="BM89" s="21" t="s">
        <v>165</v>
      </c>
      <c r="BN89" s="21" t="s">
        <v>165</v>
      </c>
      <c r="BO89" s="21" t="s">
        <v>165</v>
      </c>
      <c r="BP89" s="21" t="s">
        <v>165</v>
      </c>
      <c r="BQ89" s="21" t="s">
        <v>165</v>
      </c>
      <c r="BR89" s="21" t="s">
        <v>165</v>
      </c>
      <c r="BS89" s="21" t="s">
        <v>165</v>
      </c>
      <c r="BT89" s="21" t="s">
        <v>165</v>
      </c>
      <c r="BU89" s="21" t="s">
        <v>165</v>
      </c>
      <c r="BV89" s="21" t="s">
        <v>165</v>
      </c>
      <c r="BW89" s="21" t="s">
        <v>165</v>
      </c>
      <c r="BX89" s="21" t="s">
        <v>165</v>
      </c>
      <c r="BY89" s="21" t="s">
        <v>165</v>
      </c>
      <c r="BZ89" s="21" t="s">
        <v>165</v>
      </c>
      <c r="CA89" s="21" t="s">
        <v>165</v>
      </c>
      <c r="CB89" s="21" t="s">
        <v>165</v>
      </c>
      <c r="CC89" s="21" t="s">
        <v>165</v>
      </c>
      <c r="CD89" s="21" t="s">
        <v>165</v>
      </c>
      <c r="CE89" s="21" t="s">
        <v>165</v>
      </c>
      <c r="CG89" s="15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</row>
    <row r="90" spans="1:106" outlineLevel="2" x14ac:dyDescent="0.2">
      <c r="A90" s="14">
        <v>1</v>
      </c>
      <c r="C90" s="9" t="str">
        <f>"        Other Non-Current Assets"</f>
        <v xml:space="preserve">        Other Non-Current Assets</v>
      </c>
      <c r="D90" s="17">
        <f t="shared" si="16"/>
        <v>9608.5580000000009</v>
      </c>
      <c r="E90" s="17">
        <f t="shared" si="17"/>
        <v>12170.902191176472</v>
      </c>
      <c r="F90" s="17">
        <f t="shared" si="18"/>
        <v>4662.1610000000001</v>
      </c>
      <c r="G90" s="17">
        <f t="shared" si="19"/>
        <v>37130.425000000003</v>
      </c>
      <c r="H90" s="17">
        <f t="shared" si="20"/>
        <v>6171.7934999999998</v>
      </c>
      <c r="I90" s="17">
        <f t="shared" si="21"/>
        <v>14454.875</v>
      </c>
      <c r="J90" s="17">
        <f t="shared" si="22"/>
        <v>8525.8297387672919</v>
      </c>
      <c r="K90" s="18">
        <f t="shared" si="23"/>
        <v>0.70050926421446846</v>
      </c>
      <c r="L90" s="21"/>
      <c r="M90" s="21">
        <v>10435</v>
      </c>
      <c r="N90" s="134">
        <v>12227.25</v>
      </c>
      <c r="O90" s="134">
        <v>16957.5</v>
      </c>
      <c r="P90" s="134">
        <v>15654.5</v>
      </c>
      <c r="Q90" s="134">
        <v>11350.5</v>
      </c>
      <c r="R90" s="21">
        <v>10174</v>
      </c>
      <c r="S90" s="21">
        <v>9674</v>
      </c>
      <c r="T90" s="21">
        <v>9576</v>
      </c>
      <c r="U90" s="21">
        <v>9623</v>
      </c>
      <c r="V90" s="21">
        <v>6643</v>
      </c>
      <c r="W90" s="21">
        <v>6937</v>
      </c>
      <c r="X90" s="21">
        <v>11586</v>
      </c>
      <c r="Y90" s="21">
        <v>6652</v>
      </c>
      <c r="Z90" s="21">
        <v>6704</v>
      </c>
      <c r="AA90" s="21">
        <v>10092</v>
      </c>
      <c r="AB90" s="21">
        <v>10811</v>
      </c>
      <c r="AC90" s="21">
        <v>16681</v>
      </c>
      <c r="AD90" s="21">
        <v>19043</v>
      </c>
      <c r="AE90" s="21">
        <v>20635</v>
      </c>
      <c r="AF90" s="21">
        <v>18467</v>
      </c>
      <c r="AG90" s="21">
        <v>5574</v>
      </c>
      <c r="AH90" s="21">
        <v>10124</v>
      </c>
      <c r="AI90" s="21">
        <v>14055</v>
      </c>
      <c r="AJ90" s="21">
        <v>7076</v>
      </c>
      <c r="AK90" s="21">
        <v>5333</v>
      </c>
      <c r="AL90" s="21">
        <v>5470</v>
      </c>
      <c r="AM90" s="21">
        <v>5496</v>
      </c>
      <c r="AN90" s="21">
        <v>5900</v>
      </c>
      <c r="AO90" s="21">
        <v>5952</v>
      </c>
      <c r="AP90" s="21">
        <v>5838</v>
      </c>
      <c r="AQ90" s="21">
        <v>6558</v>
      </c>
      <c r="AR90" s="21">
        <v>6804</v>
      </c>
      <c r="AS90" s="21">
        <v>6741</v>
      </c>
      <c r="AT90" s="21">
        <v>5166</v>
      </c>
      <c r="AU90" s="21">
        <v>5279</v>
      </c>
      <c r="AV90" s="21">
        <v>5696</v>
      </c>
      <c r="AW90" s="21">
        <v>5982</v>
      </c>
      <c r="AX90" s="21">
        <v>6298</v>
      </c>
      <c r="AY90" s="21">
        <v>6537</v>
      </c>
      <c r="AZ90" s="21">
        <v>6632</v>
      </c>
      <c r="BA90" s="21">
        <v>9147.3220000000001</v>
      </c>
      <c r="BB90" s="21">
        <v>9357.6859999999997</v>
      </c>
      <c r="BC90" s="21">
        <v>9594.116</v>
      </c>
      <c r="BD90" s="21">
        <v>10261.975</v>
      </c>
      <c r="BE90" s="21">
        <v>10462.777</v>
      </c>
      <c r="BF90" s="21">
        <v>10278.450000000001</v>
      </c>
      <c r="BG90" s="21">
        <v>10469.635</v>
      </c>
      <c r="BH90" s="21">
        <v>10066.996999999999</v>
      </c>
      <c r="BI90" s="21">
        <v>10065.977999999999</v>
      </c>
      <c r="BJ90" s="21">
        <v>4662.1610000000001</v>
      </c>
      <c r="BK90" s="21">
        <v>5535.9859999999999</v>
      </c>
      <c r="BL90" s="21">
        <v>5587.3010000000004</v>
      </c>
      <c r="BM90" s="21">
        <v>5332.8779999999997</v>
      </c>
      <c r="BN90" s="21">
        <v>5537.0720000000001</v>
      </c>
      <c r="BO90" s="21">
        <v>5709.0690000000004</v>
      </c>
      <c r="BP90" s="21">
        <v>6235.058</v>
      </c>
      <c r="BQ90" s="21">
        <v>7685.7719999999999</v>
      </c>
      <c r="BR90" s="21">
        <v>29449.940999999999</v>
      </c>
      <c r="BS90" s="21">
        <v>30740.09</v>
      </c>
      <c r="BT90" s="21">
        <v>31540.117999999999</v>
      </c>
      <c r="BU90" s="21">
        <v>33345.885999999999</v>
      </c>
      <c r="BV90" s="21">
        <v>29542.616000000002</v>
      </c>
      <c r="BW90" s="21">
        <v>31145.768</v>
      </c>
      <c r="BX90" s="21">
        <v>33302.521999999997</v>
      </c>
      <c r="BY90" s="21">
        <v>21000</v>
      </c>
      <c r="BZ90" s="21">
        <v>21000</v>
      </c>
      <c r="CA90" s="21">
        <v>21000</v>
      </c>
      <c r="CB90" s="21">
        <v>37130.425000000003</v>
      </c>
      <c r="CC90" s="21" t="s">
        <v>165</v>
      </c>
      <c r="CD90" s="21" t="s">
        <v>165</v>
      </c>
      <c r="CE90" s="21" t="s">
        <v>165</v>
      </c>
      <c r="CG90" s="15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</row>
    <row r="91" spans="1:106" outlineLevel="2" x14ac:dyDescent="0.2">
      <c r="A91" s="14">
        <v>1</v>
      </c>
      <c r="C91" s="10" t="str">
        <f>"        Total Non-Current Assets"</f>
        <v xml:space="preserve">        Total Non-Current Assets</v>
      </c>
      <c r="D91" s="29">
        <f t="shared" si="16"/>
        <v>114269</v>
      </c>
      <c r="E91" s="29">
        <f t="shared" si="17"/>
        <v>152916.34989999991</v>
      </c>
      <c r="F91" s="29">
        <f t="shared" si="18"/>
        <v>21.212</v>
      </c>
      <c r="G91" s="29">
        <f t="shared" si="19"/>
        <v>479092.75</v>
      </c>
      <c r="H91" s="29">
        <f t="shared" si="20"/>
        <v>51204.25275</v>
      </c>
      <c r="I91" s="29">
        <f t="shared" si="21"/>
        <v>170773</v>
      </c>
      <c r="J91" s="29">
        <f t="shared" si="22"/>
        <v>133368.58252967091</v>
      </c>
      <c r="K91" s="30">
        <f t="shared" si="23"/>
        <v>0.87216692405284113</v>
      </c>
      <c r="L91" s="31"/>
      <c r="M91" s="31">
        <v>169879</v>
      </c>
      <c r="N91" s="133">
        <v>176527</v>
      </c>
      <c r="O91" s="133">
        <v>324106</v>
      </c>
      <c r="P91" s="133">
        <v>465953.75</v>
      </c>
      <c r="Q91" s="133">
        <v>479092.75</v>
      </c>
      <c r="R91" s="31">
        <v>468465</v>
      </c>
      <c r="S91" s="31">
        <v>460374</v>
      </c>
      <c r="T91" s="31">
        <v>469595</v>
      </c>
      <c r="U91" s="31">
        <v>477142</v>
      </c>
      <c r="V91" s="31">
        <v>454544</v>
      </c>
      <c r="W91" s="31">
        <v>288894</v>
      </c>
      <c r="X91" s="31">
        <v>286272</v>
      </c>
      <c r="Y91" s="31">
        <v>284032</v>
      </c>
      <c r="Z91" s="31">
        <v>288960</v>
      </c>
      <c r="AA91" s="31">
        <v>290869</v>
      </c>
      <c r="AB91" s="31">
        <v>293849</v>
      </c>
      <c r="AC91" s="31">
        <v>304276</v>
      </c>
      <c r="AD91" s="31">
        <v>171071</v>
      </c>
      <c r="AE91" s="31">
        <v>172492</v>
      </c>
      <c r="AF91" s="31">
        <v>142332</v>
      </c>
      <c r="AG91" s="31">
        <v>133907</v>
      </c>
      <c r="AH91" s="31">
        <v>116848</v>
      </c>
      <c r="AI91" s="31">
        <v>111690</v>
      </c>
      <c r="AJ91" s="31">
        <v>97423</v>
      </c>
      <c r="AK91" s="31">
        <v>87215</v>
      </c>
      <c r="AL91" s="31">
        <v>78649</v>
      </c>
      <c r="AM91" s="31">
        <v>73060</v>
      </c>
      <c r="AN91" s="31">
        <v>70960</v>
      </c>
      <c r="AO91" s="31">
        <v>76248</v>
      </c>
      <c r="AP91" s="31">
        <v>79011</v>
      </c>
      <c r="AQ91" s="31">
        <v>78465</v>
      </c>
      <c r="AR91" s="31">
        <v>77886</v>
      </c>
      <c r="AS91" s="31">
        <v>71850</v>
      </c>
      <c r="AT91" s="31">
        <v>122701</v>
      </c>
      <c r="AU91" s="31">
        <v>163194</v>
      </c>
      <c r="AV91" s="31">
        <v>164498</v>
      </c>
      <c r="AW91" s="31">
        <v>158409</v>
      </c>
      <c r="AX91" s="31">
        <v>158471</v>
      </c>
      <c r="AY91" s="31">
        <v>159097</v>
      </c>
      <c r="AZ91" s="31">
        <v>64850</v>
      </c>
      <c r="BA91" s="31">
        <v>64596.370999999999</v>
      </c>
      <c r="BB91" s="31">
        <v>65310.012999999999</v>
      </c>
      <c r="BC91" s="31">
        <v>164735.304</v>
      </c>
      <c r="BD91" s="31">
        <v>167579.08600000001</v>
      </c>
      <c r="BE91" s="31">
        <v>167434.114</v>
      </c>
      <c r="BF91" s="31">
        <v>167614.43599999999</v>
      </c>
      <c r="BG91" s="31">
        <v>168497.68900000001</v>
      </c>
      <c r="BH91" s="31">
        <v>165994.495</v>
      </c>
      <c r="BI91" s="31">
        <v>168200.084</v>
      </c>
      <c r="BJ91" s="31">
        <v>44056.192999999999</v>
      </c>
      <c r="BK91" s="31">
        <v>43696.930999999997</v>
      </c>
      <c r="BL91" s="31">
        <v>41534.347000000002</v>
      </c>
      <c r="BM91" s="31">
        <v>35144.841999999997</v>
      </c>
      <c r="BN91" s="31">
        <v>33296.682000000001</v>
      </c>
      <c r="BO91" s="31">
        <v>30846.506000000001</v>
      </c>
      <c r="BP91" s="31">
        <v>31133.028999999999</v>
      </c>
      <c r="BQ91" s="31">
        <v>31782.376</v>
      </c>
      <c r="BR91" s="31">
        <v>51153.510999999999</v>
      </c>
      <c r="BS91" s="31">
        <v>51356.478000000003</v>
      </c>
      <c r="BT91" s="31">
        <v>55958.588000000003</v>
      </c>
      <c r="BU91" s="31">
        <v>52692.307000000001</v>
      </c>
      <c r="BV91" s="31">
        <v>47178.158000000003</v>
      </c>
      <c r="BW91" s="31">
        <v>48031.701000000001</v>
      </c>
      <c r="BX91" s="31">
        <v>50056.821000000004</v>
      </c>
      <c r="BY91" s="31">
        <v>34385.644999999997</v>
      </c>
      <c r="BZ91" s="31">
        <v>33474.523999999998</v>
      </c>
      <c r="CA91" s="31">
        <v>32465.22</v>
      </c>
      <c r="CB91" s="31">
        <v>42316.04</v>
      </c>
      <c r="CC91" s="31" t="s">
        <v>165</v>
      </c>
      <c r="CD91" s="31">
        <v>444.29</v>
      </c>
      <c r="CE91" s="31">
        <v>21.212</v>
      </c>
      <c r="CG91" s="15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</row>
    <row r="92" spans="1:106" outlineLevel="1" x14ac:dyDescent="0.2">
      <c r="A92" s="14">
        <v>1</v>
      </c>
      <c r="C92" s="91" t="str">
        <f>"    Total Assets"</f>
        <v xml:space="preserve">    Total Assets</v>
      </c>
      <c r="D92" s="29">
        <f t="shared" si="16"/>
        <v>281541</v>
      </c>
      <c r="E92" s="29">
        <f t="shared" si="17"/>
        <v>313922.31636619725</v>
      </c>
      <c r="F92" s="29">
        <f t="shared" si="18"/>
        <v>22.212</v>
      </c>
      <c r="G92" s="29">
        <f t="shared" si="19"/>
        <v>816263</v>
      </c>
      <c r="H92" s="29">
        <f t="shared" si="20"/>
        <v>101073.8365</v>
      </c>
      <c r="I92" s="29">
        <f t="shared" si="21"/>
        <v>425872</v>
      </c>
      <c r="J92" s="29">
        <f t="shared" si="22"/>
        <v>220813.19656564019</v>
      </c>
      <c r="K92" s="30">
        <f t="shared" si="23"/>
        <v>0.70340076207916602</v>
      </c>
      <c r="L92" s="29"/>
      <c r="M92" s="29">
        <v>497476</v>
      </c>
      <c r="N92" s="29">
        <v>462521.25</v>
      </c>
      <c r="O92" s="29">
        <v>649229</v>
      </c>
      <c r="P92" s="29">
        <v>780219.5</v>
      </c>
      <c r="Q92" s="29">
        <v>751739</v>
      </c>
      <c r="R92" s="29">
        <v>816263</v>
      </c>
      <c r="S92" s="29">
        <v>778122</v>
      </c>
      <c r="T92" s="29">
        <v>788036</v>
      </c>
      <c r="U92" s="29">
        <v>739720</v>
      </c>
      <c r="V92" s="29">
        <v>728256</v>
      </c>
      <c r="W92" s="29">
        <v>654683</v>
      </c>
      <c r="X92" s="29">
        <v>619503</v>
      </c>
      <c r="Y92" s="29">
        <v>577030</v>
      </c>
      <c r="Z92" s="29">
        <v>523816</v>
      </c>
      <c r="AA92" s="29">
        <v>514095</v>
      </c>
      <c r="AB92" s="29">
        <v>490925</v>
      </c>
      <c r="AC92" s="29">
        <v>547217</v>
      </c>
      <c r="AD92" s="29">
        <v>415989</v>
      </c>
      <c r="AE92" s="29">
        <v>435755</v>
      </c>
      <c r="AF92" s="29">
        <v>381503</v>
      </c>
      <c r="AG92" s="29">
        <v>346102</v>
      </c>
      <c r="AH92" s="29">
        <v>342480</v>
      </c>
      <c r="AI92" s="29">
        <v>398871</v>
      </c>
      <c r="AJ92" s="29">
        <v>326989</v>
      </c>
      <c r="AK92" s="29">
        <v>281541</v>
      </c>
      <c r="AL92" s="29">
        <v>288609</v>
      </c>
      <c r="AM92" s="29">
        <v>272935</v>
      </c>
      <c r="AN92" s="29">
        <v>261674</v>
      </c>
      <c r="AO92" s="29">
        <v>237793</v>
      </c>
      <c r="AP92" s="29">
        <v>271663</v>
      </c>
      <c r="AQ92" s="29">
        <v>272972</v>
      </c>
      <c r="AR92" s="29">
        <v>281497</v>
      </c>
      <c r="AS92" s="29">
        <v>249345</v>
      </c>
      <c r="AT92" s="29">
        <v>314698</v>
      </c>
      <c r="AU92" s="29">
        <v>343101</v>
      </c>
      <c r="AV92" s="29">
        <v>349051</v>
      </c>
      <c r="AW92" s="29">
        <v>323353</v>
      </c>
      <c r="AX92" s="29">
        <v>333634</v>
      </c>
      <c r="AY92" s="29">
        <v>324935</v>
      </c>
      <c r="AZ92" s="29">
        <v>210231</v>
      </c>
      <c r="BA92" s="29">
        <v>189118.37599999999</v>
      </c>
      <c r="BB92" s="29">
        <v>190396.46900000001</v>
      </c>
      <c r="BC92" s="29">
        <v>298225.99699999997</v>
      </c>
      <c r="BD92" s="29">
        <v>289750.57199999999</v>
      </c>
      <c r="BE92" s="29">
        <v>292369.31400000001</v>
      </c>
      <c r="BF92" s="29">
        <v>288454.01400000002</v>
      </c>
      <c r="BG92" s="29">
        <v>278980.31</v>
      </c>
      <c r="BH92" s="29">
        <v>268257.42800000001</v>
      </c>
      <c r="BI92" s="29">
        <v>251484.997</v>
      </c>
      <c r="BJ92" s="29">
        <v>104813.806</v>
      </c>
      <c r="BK92" s="29">
        <v>100713.181</v>
      </c>
      <c r="BL92" s="29">
        <v>94697.634999999995</v>
      </c>
      <c r="BM92" s="29">
        <v>84091.918000000005</v>
      </c>
      <c r="BN92" s="29">
        <v>86117.498000000007</v>
      </c>
      <c r="BO92" s="29">
        <v>81893.975999999995</v>
      </c>
      <c r="BP92" s="29">
        <v>81992.346000000005</v>
      </c>
      <c r="BQ92" s="29">
        <v>76583.547000000006</v>
      </c>
      <c r="BR92" s="29">
        <v>96760.744999999995</v>
      </c>
      <c r="BS92" s="29">
        <v>95401.612999999998</v>
      </c>
      <c r="BT92" s="29">
        <v>105289.97100000001</v>
      </c>
      <c r="BU92" s="29">
        <v>98499.865000000005</v>
      </c>
      <c r="BV92" s="29">
        <v>101434.492</v>
      </c>
      <c r="BW92" s="29">
        <v>99971.599000000002</v>
      </c>
      <c r="BX92" s="29">
        <v>106532.689</v>
      </c>
      <c r="BY92" s="29">
        <v>80099.014999999999</v>
      </c>
      <c r="BZ92" s="29">
        <v>82854.907000000007</v>
      </c>
      <c r="CA92" s="29">
        <v>82478.554999999993</v>
      </c>
      <c r="CB92" s="29">
        <v>96444.853000000003</v>
      </c>
      <c r="CC92" s="29">
        <v>638.21699999999998</v>
      </c>
      <c r="CD92" s="29">
        <v>542.59500000000003</v>
      </c>
      <c r="CE92" s="29">
        <v>22.212</v>
      </c>
      <c r="CG92" s="15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</row>
    <row r="93" spans="1:106" x14ac:dyDescent="0.2">
      <c r="A93" s="14">
        <v>1</v>
      </c>
      <c r="C93" s="91" t="str">
        <f>IF(SUBTOTAL(109,A93)=A93,"Liabilities","Total Liabilities")</f>
        <v>Liabilities</v>
      </c>
      <c r="D93" s="27" t="str">
        <f t="shared" si="16"/>
        <v/>
      </c>
      <c r="E93" s="27" t="str">
        <f t="shared" si="17"/>
        <v/>
      </c>
      <c r="F93" s="27" t="str">
        <f t="shared" si="18"/>
        <v/>
      </c>
      <c r="G93" s="27" t="str">
        <f t="shared" si="19"/>
        <v/>
      </c>
      <c r="H93" s="27" t="str">
        <f t="shared" si="20"/>
        <v/>
      </c>
      <c r="I93" s="27" t="str">
        <f t="shared" si="21"/>
        <v/>
      </c>
      <c r="J93" s="27" t="str">
        <f t="shared" si="22"/>
        <v/>
      </c>
      <c r="K93" s="28" t="str">
        <f t="shared" si="23"/>
        <v/>
      </c>
      <c r="L93" s="27"/>
      <c r="M93" s="27" t="str">
        <f>IF(SUBTOTAL(109,A93)=A93,"",136962)</f>
        <v/>
      </c>
      <c r="N93" s="27"/>
      <c r="O93" s="27"/>
      <c r="P93" s="27"/>
      <c r="Q93" s="27"/>
      <c r="R93" s="27" t="str">
        <f>IF(SUBTOTAL(109,A93)=A93,"",418832)</f>
        <v/>
      </c>
      <c r="S93" s="27" t="str">
        <f>IF(SUBTOTAL(109,A93)=A93,"",387477)</f>
        <v/>
      </c>
      <c r="T93" s="27" t="str">
        <f>IF(SUBTOTAL(109,A93)=A93,"",394874)</f>
        <v/>
      </c>
      <c r="U93" s="27" t="str">
        <f>IF(SUBTOTAL(109,A93)=A93,"",327425)</f>
        <v/>
      </c>
      <c r="V93" s="27" t="str">
        <f>IF(SUBTOTAL(109,A93)=A93,"",351759)</f>
        <v/>
      </c>
      <c r="W93" s="27" t="str">
        <f>IF(SUBTOTAL(109,A93)=A93,"",314322)</f>
        <v/>
      </c>
      <c r="X93" s="27" t="str">
        <f>IF(SUBTOTAL(109,A93)=A93,"",311687)</f>
        <v/>
      </c>
      <c r="Y93" s="27" t="str">
        <f>IF(SUBTOTAL(109,A93)=A93,"",312519)</f>
        <v/>
      </c>
      <c r="Z93" s="27" t="str">
        <f>IF(SUBTOTAL(109,A93)=A93,"",298485)</f>
        <v/>
      </c>
      <c r="AA93" s="27" t="str">
        <f>IF(SUBTOTAL(109,A93)=A93,"",304097)</f>
        <v/>
      </c>
      <c r="AB93" s="27" t="str">
        <f>IF(SUBTOTAL(109,A93)=A93,"",296555)</f>
        <v/>
      </c>
      <c r="AC93" s="27" t="str">
        <f>IF(SUBTOTAL(109,A93)=A93,"",377640)</f>
        <v/>
      </c>
      <c r="AD93" s="27" t="str">
        <f>IF(SUBTOTAL(109,A93)=A93,"",256277)</f>
        <v/>
      </c>
      <c r="AE93" s="27" t="str">
        <f>IF(SUBTOTAL(109,A93)=A93,"",282796)</f>
        <v/>
      </c>
      <c r="AF93" s="27" t="str">
        <f>IF(SUBTOTAL(109,A93)=A93,"",214680)</f>
        <v/>
      </c>
      <c r="AG93" s="27" t="str">
        <f>IF(SUBTOTAL(109,A93)=A93,"",207179)</f>
        <v/>
      </c>
      <c r="AH93" s="27" t="str">
        <f>IF(SUBTOTAL(109,A93)=A93,"",211499)</f>
        <v/>
      </c>
      <c r="AI93" s="27" t="str">
        <f>IF(SUBTOTAL(109,A93)=A93,"",204282)</f>
        <v/>
      </c>
      <c r="AJ93" s="27" t="str">
        <f>IF(SUBTOTAL(109,A93)=A93,"",145690)</f>
        <v/>
      </c>
      <c r="AK93" s="27" t="str">
        <f>IF(SUBTOTAL(109,A93)=A93,"",126927)</f>
        <v/>
      </c>
      <c r="AL93" s="27" t="str">
        <f>IF(SUBTOTAL(109,A93)=A93,"",129775)</f>
        <v/>
      </c>
      <c r="AM93" s="27" t="str">
        <f>IF(SUBTOTAL(109,A93)=A93,"",140791)</f>
        <v/>
      </c>
      <c r="AN93" s="27" t="str">
        <f>IF(SUBTOTAL(109,A93)=A93,"",148830)</f>
        <v/>
      </c>
      <c r="AO93" s="27" t="str">
        <f>IF(SUBTOTAL(109,A93)=A93,"",136824)</f>
        <v/>
      </c>
      <c r="AP93" s="27" t="str">
        <f>IF(SUBTOTAL(109,A93)=A93,"",175794)</f>
        <v/>
      </c>
      <c r="AQ93" s="27" t="str">
        <f>IF(SUBTOTAL(109,A93)=A93,"",176580)</f>
        <v/>
      </c>
      <c r="AR93" s="27" t="str">
        <f>IF(SUBTOTAL(109,A93)=A93,"",188765)</f>
        <v/>
      </c>
      <c r="AS93" s="27" t="str">
        <f>IF(SUBTOTAL(109,A93)=A93,"",156139)</f>
        <v/>
      </c>
      <c r="AT93" s="27" t="str">
        <f>IF(SUBTOTAL(109,A93)=A93,"",168664)</f>
        <v/>
      </c>
      <c r="AU93" s="27" t="str">
        <f>IF(SUBTOTAL(109,A93)=A93,"",176010)</f>
        <v/>
      </c>
      <c r="AV93" s="27" t="str">
        <f>IF(SUBTOTAL(109,A93)=A93,"",188474)</f>
        <v/>
      </c>
      <c r="AW93" s="27" t="str">
        <f>IF(SUBTOTAL(109,A93)=A93,"",168294)</f>
        <v/>
      </c>
      <c r="AX93" s="27" t="str">
        <f>IF(SUBTOTAL(109,A93)=A93,"",182215)</f>
        <v/>
      </c>
      <c r="AY93" s="27" t="str">
        <f>IF(SUBTOTAL(109,A93)=A93,"",188518)</f>
        <v/>
      </c>
      <c r="AZ93" s="27" t="str">
        <f>IF(SUBTOTAL(109,A93)=A93,"",159605)</f>
        <v/>
      </c>
      <c r="BA93" s="27" t="str">
        <f>IF(SUBTOTAL(109,A93)=A93,"",148094.941)</f>
        <v/>
      </c>
      <c r="BB93" s="27" t="str">
        <f>IF(SUBTOTAL(109,A93)=A93,"",152457.326)</f>
        <v/>
      </c>
      <c r="BC93" s="27" t="str">
        <f>IF(SUBTOTAL(109,A93)=A93,"",185077.123)</f>
        <v/>
      </c>
      <c r="BD93" s="27" t="str">
        <f>IF(SUBTOTAL(109,A93)=A93,"",211900.043)</f>
        <v/>
      </c>
      <c r="BE93" s="27" t="str">
        <f>IF(SUBTOTAL(109,A93)=A93,"",220071.792)</f>
        <v/>
      </c>
      <c r="BF93" s="27" t="str">
        <f>IF(SUBTOTAL(109,A93)=A93,"",215455.534)</f>
        <v/>
      </c>
      <c r="BG93" s="27" t="str">
        <f>IF(SUBTOTAL(109,A93)=A93,"",213017.683)</f>
        <v/>
      </c>
      <c r="BH93" s="27" t="str">
        <f>IF(SUBTOTAL(109,A93)=A93,"",209152.229)</f>
        <v/>
      </c>
      <c r="BI93" s="27" t="str">
        <f>IF(SUBTOTAL(109,A93)=A93,"",199120.234)</f>
        <v/>
      </c>
      <c r="BJ93" s="27" t="str">
        <f>IF(SUBTOTAL(109,A93)=A93,"",55020.733)</f>
        <v/>
      </c>
      <c r="BK93" s="27" t="str">
        <f>IF(SUBTOTAL(109,A93)=A93,"",54581.862)</f>
        <v/>
      </c>
      <c r="BL93" s="27" t="str">
        <f>IF(SUBTOTAL(109,A93)=A93,"",53364.887)</f>
        <v/>
      </c>
      <c r="BM93" s="27" t="str">
        <f>IF(SUBTOTAL(109,A93)=A93,"",73070.413)</f>
        <v/>
      </c>
      <c r="BN93" s="27" t="str">
        <f>IF(SUBTOTAL(109,A93)=A93,"",53762.36)</f>
        <v/>
      </c>
      <c r="BO93" s="27" t="str">
        <f>IF(SUBTOTAL(109,A93)=A93,"",51461.575)</f>
        <v/>
      </c>
      <c r="BP93" s="27" t="str">
        <f>IF(SUBTOTAL(109,A93)=A93,"",54901.169)</f>
        <v/>
      </c>
      <c r="BQ93" s="27" t="str">
        <f>IF(SUBTOTAL(109,A93)=A93,"",55381.963)</f>
        <v/>
      </c>
      <c r="BR93" s="27" t="str">
        <f>IF(SUBTOTAL(109,A93)=A93,"",75527.201)</f>
        <v/>
      </c>
      <c r="BS93" s="27" t="str">
        <f>IF(SUBTOTAL(109,A93)=A93,"",76972.727)</f>
        <v/>
      </c>
      <c r="BT93" s="27" t="str">
        <f>IF(SUBTOTAL(109,A93)=A93,"",85034.636)</f>
        <v/>
      </c>
      <c r="BU93" s="27" t="str">
        <f>IF(SUBTOTAL(109,A93)=A93,"",83719.357)</f>
        <v/>
      </c>
      <c r="BV93" s="27" t="str">
        <f>IF(SUBTOTAL(109,A93)=A93,"",84973.878)</f>
        <v/>
      </c>
      <c r="BW93" s="27" t="str">
        <f>IF(SUBTOTAL(109,A93)=A93,"",84349.981)</f>
        <v/>
      </c>
      <c r="BX93" s="27" t="str">
        <f>IF(SUBTOTAL(109,A93)=A93,"",91502.846)</f>
        <v/>
      </c>
      <c r="BY93" s="27" t="str">
        <f>IF(SUBTOTAL(109,A93)=A93,"",74842.35)</f>
        <v/>
      </c>
      <c r="BZ93" s="27" t="str">
        <f>IF(SUBTOTAL(109,A93)=A93,"",77894.954)</f>
        <v/>
      </c>
      <c r="CA93" s="27" t="str">
        <f>IF(SUBTOTAL(109,A93)=A93,"",77846.052)</f>
        <v/>
      </c>
      <c r="CB93" s="27" t="str">
        <f>IF(SUBTOTAL(109,A93)=A93,"",97599.627)</f>
        <v/>
      </c>
      <c r="CC93" s="27" t="str">
        <f>IF(SUBTOTAL(109,A93)=A93,"",1228.857)</f>
        <v/>
      </c>
      <c r="CD93" s="27" t="str">
        <f>IF(SUBTOTAL(109,A93)=A93,"",859.239)</f>
        <v/>
      </c>
      <c r="CE93" s="27" t="str">
        <f>IF(SUBTOTAL(109,A93)=A93,"",374.041)</f>
        <v/>
      </c>
      <c r="CG93" s="15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</row>
    <row r="94" spans="1:106" outlineLevel="1" x14ac:dyDescent="0.2">
      <c r="A94" s="14">
        <v>1</v>
      </c>
      <c r="C94" s="9" t="str">
        <f>IF(SUBTOTAL(109,A94)=A94,"    Current Liabilities","    Total Current Liabilities")</f>
        <v xml:space="preserve">    Current Liabilities</v>
      </c>
      <c r="D94" s="17" t="str">
        <f t="shared" si="16"/>
        <v/>
      </c>
      <c r="E94" s="17" t="str">
        <f t="shared" si="17"/>
        <v/>
      </c>
      <c r="F94" s="17" t="str">
        <f t="shared" si="18"/>
        <v/>
      </c>
      <c r="G94" s="17" t="str">
        <f t="shared" si="19"/>
        <v/>
      </c>
      <c r="H94" s="17" t="str">
        <f t="shared" si="20"/>
        <v/>
      </c>
      <c r="I94" s="17" t="str">
        <f t="shared" si="21"/>
        <v/>
      </c>
      <c r="J94" s="17" t="str">
        <f t="shared" si="22"/>
        <v/>
      </c>
      <c r="K94" s="18" t="str">
        <f t="shared" si="23"/>
        <v/>
      </c>
      <c r="L94" s="21"/>
      <c r="M94" s="21" t="str">
        <f>IF(SUBTOTAL(109,A94)=A94,"",88949)</f>
        <v/>
      </c>
      <c r="N94" s="21"/>
      <c r="O94" s="21"/>
      <c r="P94" s="21"/>
      <c r="Q94" s="21"/>
      <c r="R94" s="21" t="str">
        <f>IF(SUBTOTAL(109,A94)=A94,"",181768)</f>
        <v/>
      </c>
      <c r="S94" s="21" t="str">
        <f>IF(SUBTOTAL(109,A94)=A94,"",195072)</f>
        <v/>
      </c>
      <c r="T94" s="21" t="str">
        <f>IF(SUBTOTAL(109,A94)=A94,"",151245)</f>
        <v/>
      </c>
      <c r="U94" s="21" t="str">
        <f>IF(SUBTOTAL(109,A94)=A94,"",134538)</f>
        <v/>
      </c>
      <c r="V94" s="21" t="str">
        <f>IF(SUBTOTAL(109,A94)=A94,"",120765)</f>
        <v/>
      </c>
      <c r="W94" s="21" t="str">
        <f>IF(SUBTOTAL(109,A94)=A94,"",126466)</f>
        <v/>
      </c>
      <c r="X94" s="21" t="str">
        <f>IF(SUBTOTAL(109,A94)=A94,"",122592)</f>
        <v/>
      </c>
      <c r="Y94" s="21" t="str">
        <f>IF(SUBTOTAL(109,A94)=A94,"",100889)</f>
        <v/>
      </c>
      <c r="Z94" s="21" t="str">
        <f>IF(SUBTOTAL(109,A94)=A94,"",86244)</f>
        <v/>
      </c>
      <c r="AA94" s="21" t="str">
        <f>IF(SUBTOTAL(109,A94)=A94,"",89079)</f>
        <v/>
      </c>
      <c r="AB94" s="21" t="str">
        <f>IF(SUBTOTAL(109,A94)=A94,"",81011)</f>
        <v/>
      </c>
      <c r="AC94" s="21" t="str">
        <f>IF(SUBTOTAL(109,A94)=A94,"",59200)</f>
        <v/>
      </c>
      <c r="AD94" s="21" t="str">
        <f>IF(SUBTOTAL(109,A94)=A94,"",59019)</f>
        <v/>
      </c>
      <c r="AE94" s="21" t="str">
        <f>IF(SUBTOTAL(109,A94)=A94,"",85563)</f>
        <v/>
      </c>
      <c r="AF94" s="21" t="str">
        <f>IF(SUBTOTAL(109,A94)=A94,"",92543)</f>
        <v/>
      </c>
      <c r="AG94" s="21" t="str">
        <f>IF(SUBTOTAL(109,A94)=A94,"",88217)</f>
        <v/>
      </c>
      <c r="AH94" s="21" t="str">
        <f>IF(SUBTOTAL(109,A94)=A94,"",92640)</f>
        <v/>
      </c>
      <c r="AI94" s="21" t="str">
        <f>IF(SUBTOTAL(109,A94)=A94,"",83894)</f>
        <v/>
      </c>
      <c r="AJ94" s="21" t="str">
        <f>IF(SUBTOTAL(109,A94)=A94,"",82593)</f>
        <v/>
      </c>
      <c r="AK94" s="21" t="str">
        <f>IF(SUBTOTAL(109,A94)=A94,"",68049)</f>
        <v/>
      </c>
      <c r="AL94" s="21" t="str">
        <f>IF(SUBTOTAL(109,A94)=A94,"",70702)</f>
        <v/>
      </c>
      <c r="AM94" s="21" t="str">
        <f>IF(SUBTOTAL(109,A94)=A94,"",81477)</f>
        <v/>
      </c>
      <c r="AN94" s="21" t="str">
        <f>IF(SUBTOTAL(109,A94)=A94,"",83345)</f>
        <v/>
      </c>
      <c r="AO94" s="21" t="str">
        <f>IF(SUBTOTAL(109,A94)=A94,"",69174)</f>
        <v/>
      </c>
      <c r="AP94" s="21" t="str">
        <f>IF(SUBTOTAL(109,A94)=A94,"",108337)</f>
        <v/>
      </c>
      <c r="AQ94" s="21" t="str">
        <f>IF(SUBTOTAL(109,A94)=A94,"",112316)</f>
        <v/>
      </c>
      <c r="AR94" s="21" t="str">
        <f>IF(SUBTOTAL(109,A94)=A94,"",122294)</f>
        <v/>
      </c>
      <c r="AS94" s="21" t="str">
        <f>IF(SUBTOTAL(109,A94)=A94,"",92729)</f>
        <v/>
      </c>
      <c r="AT94" s="21" t="str">
        <f>IF(SUBTOTAL(109,A94)=A94,"",74904)</f>
        <v/>
      </c>
      <c r="AU94" s="21" t="str">
        <f>IF(SUBTOTAL(109,A94)=A94,"",85102)</f>
        <v/>
      </c>
      <c r="AV94" s="21" t="str">
        <f>IF(SUBTOTAL(109,A94)=A94,"",96952)</f>
        <v/>
      </c>
      <c r="AW94" s="21" t="str">
        <f>IF(SUBTOTAL(109,A94)=A94,"",60196)</f>
        <v/>
      </c>
      <c r="AX94" s="21" t="str">
        <f>IF(SUBTOTAL(109,A94)=A94,"",69078)</f>
        <v/>
      </c>
      <c r="AY94" s="21" t="str">
        <f>IF(SUBTOTAL(109,A94)=A94,"",77746)</f>
        <v/>
      </c>
      <c r="AZ94" s="21" t="str">
        <f>IF(SUBTOTAL(109,A94)=A94,"",67366)</f>
        <v/>
      </c>
      <c r="BA94" s="21" t="str">
        <f>IF(SUBTOTAL(109,A94)=A94,"",53142.792)</f>
        <v/>
      </c>
      <c r="BB94" s="21" t="str">
        <f>IF(SUBTOTAL(109,A94)=A94,"",58064.03)</f>
        <v/>
      </c>
      <c r="BC94" s="21" t="str">
        <f>IF(SUBTOTAL(109,A94)=A94,"",69899.877)</f>
        <v/>
      </c>
      <c r="BD94" s="21" t="str">
        <f>IF(SUBTOTAL(109,A94)=A94,"",63449.056)</f>
        <v/>
      </c>
      <c r="BE94" s="21" t="str">
        <f>IF(SUBTOTAL(109,A94)=A94,"",69408.473)</f>
        <v/>
      </c>
      <c r="BF94" s="21" t="str">
        <f>IF(SUBTOTAL(109,A94)=A94,"",63672.001)</f>
        <v/>
      </c>
      <c r="BG94" s="21" t="str">
        <f>IF(SUBTOTAL(109,A94)=A94,"",60970.471)</f>
        <v/>
      </c>
      <c r="BH94" s="21" t="str">
        <f>IF(SUBTOTAL(109,A94)=A94,"",55948.322)</f>
        <v/>
      </c>
      <c r="BI94" s="21" t="str">
        <f>IF(SUBTOTAL(109,A94)=A94,"",42781.05)</f>
        <v/>
      </c>
      <c r="BJ94" s="21" t="str">
        <f>IF(SUBTOTAL(109,A94)=A94,"",33942.718)</f>
        <v/>
      </c>
      <c r="BK94" s="21" t="str">
        <f>IF(SUBTOTAL(109,A94)=A94,"",33331.305)</f>
        <v/>
      </c>
      <c r="BL94" s="21" t="str">
        <f>IF(SUBTOTAL(109,A94)=A94,"",31694.702)</f>
        <v/>
      </c>
      <c r="BM94" s="21" t="str">
        <f>IF(SUBTOTAL(109,A94)=A94,"",28211.698)</f>
        <v/>
      </c>
      <c r="BN94" s="21" t="str">
        <f>IF(SUBTOTAL(109,A94)=A94,"",31079.529)</f>
        <v/>
      </c>
      <c r="BO94" s="21" t="str">
        <f>IF(SUBTOTAL(109,A94)=A94,"",28017.92)</f>
        <v/>
      </c>
      <c r="BP94" s="21" t="str">
        <f>IF(SUBTOTAL(109,A94)=A94,"",27810.286)</f>
        <v/>
      </c>
      <c r="BQ94" s="21" t="str">
        <f>IF(SUBTOTAL(109,A94)=A94,"",25859.721)</f>
        <v/>
      </c>
      <c r="BR94" s="21" t="str">
        <f>IF(SUBTOTAL(109,A94)=A94,"",26401.513)</f>
        <v/>
      </c>
      <c r="BS94" s="21" t="str">
        <f>IF(SUBTOTAL(109,A94)=A94,"",23666.334)</f>
        <v/>
      </c>
      <c r="BT94" s="21" t="str">
        <f>IF(SUBTOTAL(109,A94)=A94,"",29871.742)</f>
        <v/>
      </c>
      <c r="BU94" s="21" t="str">
        <f>IF(SUBTOTAL(109,A94)=A94,"",24994.766)</f>
        <v/>
      </c>
      <c r="BV94" s="21" t="str">
        <f>IF(SUBTOTAL(109,A94)=A94,"",28242.376)</f>
        <v/>
      </c>
      <c r="BW94" s="21" t="str">
        <f>IF(SUBTOTAL(109,A94)=A94,"",24171.158)</f>
        <v/>
      </c>
      <c r="BX94" s="21" t="str">
        <f>IF(SUBTOTAL(109,A94)=A94,"",26676.326)</f>
        <v/>
      </c>
      <c r="BY94" s="21" t="str">
        <f>IF(SUBTOTAL(109,A94)=A94,"",19307.129)</f>
        <v/>
      </c>
      <c r="BZ94" s="21" t="str">
        <f>IF(SUBTOTAL(109,A94)=A94,"",22159.733)</f>
        <v/>
      </c>
      <c r="CA94" s="21" t="str">
        <f>IF(SUBTOTAL(109,A94)=A94,"",22110.831)</f>
        <v/>
      </c>
      <c r="CB94" s="21" t="str">
        <f>IF(SUBTOTAL(109,A94)=A94,"",23149.852)</f>
        <v/>
      </c>
      <c r="CC94" s="21" t="str">
        <f>IF(SUBTOTAL(109,A94)=A94,"",631.431)</f>
        <v/>
      </c>
      <c r="CD94" s="21" t="str">
        <f>IF(SUBTOTAL(109,A94)=A94,"",121.114)</f>
        <v/>
      </c>
      <c r="CE94" s="21" t="str">
        <f>IF(SUBTOTAL(109,A94)=A94,"",34.041)</f>
        <v/>
      </c>
      <c r="CG94" s="15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</row>
    <row r="95" spans="1:106" outlineLevel="2" x14ac:dyDescent="0.2">
      <c r="A95" s="14">
        <v>1</v>
      </c>
      <c r="C95" s="9" t="str">
        <f>IF(SUBTOTAL(109,A95)=A95,"        Payables and Accrued Expenses, Current","        Payables and Accrued Expenses, Current")</f>
        <v xml:space="preserve">        Payables and Accrued Expenses, Current</v>
      </c>
      <c r="D95" s="17" t="str">
        <f t="shared" si="16"/>
        <v/>
      </c>
      <c r="E95" s="17" t="str">
        <f t="shared" si="17"/>
        <v/>
      </c>
      <c r="F95" s="17" t="str">
        <f t="shared" si="18"/>
        <v/>
      </c>
      <c r="G95" s="17" t="str">
        <f t="shared" si="19"/>
        <v/>
      </c>
      <c r="H95" s="17" t="str">
        <f t="shared" si="20"/>
        <v/>
      </c>
      <c r="I95" s="17" t="str">
        <f t="shared" si="21"/>
        <v/>
      </c>
      <c r="J95" s="17" t="str">
        <f t="shared" si="22"/>
        <v/>
      </c>
      <c r="K95" s="18" t="str">
        <f t="shared" si="23"/>
        <v/>
      </c>
      <c r="L95" s="21"/>
      <c r="M95" s="21" t="str">
        <f>IF(SUBTOTAL(109,A95)=A95,"",82588)</f>
        <v/>
      </c>
      <c r="N95" s="21"/>
      <c r="O95" s="21"/>
      <c r="P95" s="21"/>
      <c r="Q95" s="21"/>
      <c r="R95" s="21" t="str">
        <f>IF(SUBTOTAL(109,A95)=A95,"",100468)</f>
        <v/>
      </c>
      <c r="S95" s="21" t="str">
        <f>IF(SUBTOTAL(109,A95)=A95,"",107047)</f>
        <v/>
      </c>
      <c r="T95" s="21" t="str">
        <f>IF(SUBTOTAL(109,A95)=A95,"",139349)</f>
        <v/>
      </c>
      <c r="U95" s="21" t="str">
        <f>IF(SUBTOTAL(109,A95)=A95,"",128238)</f>
        <v/>
      </c>
      <c r="V95" s="21" t="str">
        <f>IF(SUBTOTAL(109,A95)=A95,"",114465)</f>
        <v/>
      </c>
      <c r="W95" s="21" t="str">
        <f>IF(SUBTOTAL(109,A95)=A95,"",120166)</f>
        <v/>
      </c>
      <c r="X95" s="21" t="str">
        <f>IF(SUBTOTAL(109,A95)=A95,"",110511)</f>
        <v/>
      </c>
      <c r="Y95" s="21" t="str">
        <f>IF(SUBTOTAL(109,A95)=A95,"",94589)</f>
        <v/>
      </c>
      <c r="Z95" s="21" t="str">
        <f>IF(SUBTOTAL(109,A95)=A95,"",79944)</f>
        <v/>
      </c>
      <c r="AA95" s="21" t="str">
        <f>IF(SUBTOTAL(109,A95)=A95,"",82779)</f>
        <v/>
      </c>
      <c r="AB95" s="21" t="str">
        <f>IF(SUBTOTAL(109,A95)=A95,"",77450)</f>
        <v/>
      </c>
      <c r="AC95" s="21" t="str">
        <f>IF(SUBTOTAL(109,A95)=A95,"",59200)</f>
        <v/>
      </c>
      <c r="AD95" s="21" t="str">
        <f>IF(SUBTOTAL(109,A95)=A95,"",59019)</f>
        <v/>
      </c>
      <c r="AE95" s="21" t="str">
        <f>IF(SUBTOTAL(109,A95)=A95,"",85563)</f>
        <v/>
      </c>
      <c r="AF95" s="21" t="str">
        <f>IF(SUBTOTAL(109,A95)=A95,"",89479)</f>
        <v/>
      </c>
      <c r="AG95" s="21" t="str">
        <f>IF(SUBTOTAL(109,A95)=A95,"",84090)</f>
        <v/>
      </c>
      <c r="AH95" s="21" t="str">
        <f>IF(SUBTOTAL(109,A95)=A95,"",87170)</f>
        <v/>
      </c>
      <c r="AI95" s="21" t="str">
        <f>IF(SUBTOTAL(109,A95)=A95,"",78685)</f>
        <v/>
      </c>
      <c r="AJ95" s="21" t="str">
        <f>IF(SUBTOTAL(109,A95)=A95,"",79235)</f>
        <v/>
      </c>
      <c r="AK95" s="21" t="str">
        <f>IF(SUBTOTAL(109,A95)=A95,"",64537)</f>
        <v/>
      </c>
      <c r="AL95" s="21" t="str">
        <f>IF(SUBTOTAL(109,A95)=A95,"",66584)</f>
        <v/>
      </c>
      <c r="AM95" s="21" t="str">
        <f>IF(SUBTOTAL(109,A95)=A95,"",76522)</f>
        <v/>
      </c>
      <c r="AN95" s="21" t="str">
        <f>IF(SUBTOTAL(109,A95)=A95,"",74566)</f>
        <v/>
      </c>
      <c r="AO95" s="21" t="str">
        <f>IF(SUBTOTAL(109,A95)=A95,"",61080)</f>
        <v/>
      </c>
      <c r="AP95" s="21" t="str">
        <f>IF(SUBTOTAL(109,A95)=A95,"",71189)</f>
        <v/>
      </c>
      <c r="AQ95" s="21" t="str">
        <f>IF(SUBTOTAL(109,A95)=A95,"",81205)</f>
        <v/>
      </c>
      <c r="AR95" s="21" t="str">
        <f>IF(SUBTOTAL(109,A95)=A95,"",87045)</f>
        <v/>
      </c>
      <c r="AS95" s="21" t="str">
        <f>IF(SUBTOTAL(109,A95)=A95,"",62454)</f>
        <v/>
      </c>
      <c r="AT95" s="21" t="str">
        <f>IF(SUBTOTAL(109,A95)=A95,"",74219)</f>
        <v/>
      </c>
      <c r="AU95" s="21" t="str">
        <f>IF(SUBTOTAL(109,A95)=A95,"",84008)</f>
        <v/>
      </c>
      <c r="AV95" s="21" t="str">
        <f>IF(SUBTOTAL(109,A95)=A95,"",94183)</f>
        <v/>
      </c>
      <c r="AW95" s="21" t="str">
        <f>IF(SUBTOTAL(109,A95)=A95,"",59656)</f>
        <v/>
      </c>
      <c r="AX95" s="21" t="str">
        <f>IF(SUBTOTAL(109,A95)=A95,"",65486)</f>
        <v/>
      </c>
      <c r="AY95" s="21" t="str">
        <f>IF(SUBTOTAL(109,A95)=A95,"",73254)</f>
        <v/>
      </c>
      <c r="AZ95" s="21" t="str">
        <f>IF(SUBTOTAL(109,A95)=A95,"",64988)</f>
        <v/>
      </c>
      <c r="BA95" s="21" t="str">
        <f>IF(SUBTOTAL(109,A95)=A95,"",49582.603)</f>
        <v/>
      </c>
      <c r="BB95" s="21" t="str">
        <f>IF(SUBTOTAL(109,A95)=A95,"",51860.645)</f>
        <v/>
      </c>
      <c r="BC95" s="21" t="str">
        <f>IF(SUBTOTAL(109,A95)=A95,"",46178.953)</f>
        <v/>
      </c>
      <c r="BD95" s="21" t="str">
        <f>IF(SUBTOTAL(109,A95)=A95,"",54316.864)</f>
        <v/>
      </c>
      <c r="BE95" s="21" t="str">
        <f>IF(SUBTOTAL(109,A95)=A95,"",47114.362)</f>
        <v/>
      </c>
      <c r="BF95" s="21" t="str">
        <f>IF(SUBTOTAL(109,A95)=A95,"",47839.353)</f>
        <v/>
      </c>
      <c r="BG95" s="21" t="str">
        <f>IF(SUBTOTAL(109,A95)=A95,"",45992.581)</f>
        <v/>
      </c>
      <c r="BH95" s="21" t="str">
        <f>IF(SUBTOTAL(109,A95)=A95,"",52870.569)</f>
        <v/>
      </c>
      <c r="BI95" s="21" t="str">
        <f>IF(SUBTOTAL(109,A95)=A95,"",40942.595)</f>
        <v/>
      </c>
      <c r="BJ95" s="21" t="str">
        <f>IF(SUBTOTAL(109,A95)=A95,"",27692.547)</f>
        <v/>
      </c>
      <c r="BK95" s="21" t="str">
        <f>IF(SUBTOTAL(109,A95)=A95,"",28608.876)</f>
        <v/>
      </c>
      <c r="BL95" s="21" t="str">
        <f>IF(SUBTOTAL(109,A95)=A95,"",29999.282)</f>
        <v/>
      </c>
      <c r="BM95" s="21" t="str">
        <f>IF(SUBTOTAL(109,A95)=A95,"",23021.37)</f>
        <v/>
      </c>
      <c r="BN95" s="21" t="str">
        <f>IF(SUBTOTAL(109,A95)=A95,"",23630.054)</f>
        <v/>
      </c>
      <c r="BO95" s="21" t="str">
        <f>IF(SUBTOTAL(109,A95)=A95,"",23901.277)</f>
        <v/>
      </c>
      <c r="BP95" s="21" t="str">
        <f>IF(SUBTOTAL(109,A95)=A95,"",26208.176)</f>
        <v/>
      </c>
      <c r="BQ95" s="21" t="str">
        <f>IF(SUBTOTAL(109,A95)=A95,"",23720.995)</f>
        <v/>
      </c>
      <c r="BR95" s="21" t="str">
        <f>IF(SUBTOTAL(109,A95)=A95,"",22159.88)</f>
        <v/>
      </c>
      <c r="BS95" s="21" t="str">
        <f>IF(SUBTOTAL(109,A95)=A95,"",19469.873)</f>
        <v/>
      </c>
      <c r="BT95" s="21" t="str">
        <f>IF(SUBTOTAL(109,A95)=A95,"",25389.995)</f>
        <v/>
      </c>
      <c r="BU95" s="21" t="str">
        <f>IF(SUBTOTAL(109,A95)=A95,"",21028.047)</f>
        <v/>
      </c>
      <c r="BV95" s="21" t="str">
        <f>IF(SUBTOTAL(109,A95)=A95,"",25987.876)</f>
        <v/>
      </c>
      <c r="BW95" s="21" t="str">
        <f>IF(SUBTOTAL(109,A95)=A95,"",22901.172)</f>
        <v/>
      </c>
      <c r="BX95" s="21" t="str">
        <f>IF(SUBTOTAL(109,A95)=A95,"",20136.836)</f>
        <v/>
      </c>
      <c r="BY95" s="21" t="str">
        <f>IF(SUBTOTAL(109,A95)=A95,"",19104.999)</f>
        <v/>
      </c>
      <c r="BZ95" s="21" t="str">
        <f>IF(SUBTOTAL(109,A95)=A95,"",20527.886)</f>
        <v/>
      </c>
      <c r="CA95" s="21" t="str">
        <f>IF(SUBTOTAL(109,A95)=A95,"",19969.756)</f>
        <v/>
      </c>
      <c r="CB95" s="21" t="str">
        <f>IF(SUBTOTAL(109,A95)=A95,"",14954.586)</f>
        <v/>
      </c>
      <c r="CC95" s="21" t="str">
        <f>IF(SUBTOTAL(109,A95)=A95,"",131.431)</f>
        <v/>
      </c>
      <c r="CD95" s="21" t="str">
        <f>IF(SUBTOTAL(109,A95)=A95,"",121.114)</f>
        <v/>
      </c>
      <c r="CE95" s="21" t="str">
        <f>IF(SUBTOTAL(109,A95)=A95,"",34.041)</f>
        <v/>
      </c>
      <c r="CG95" s="15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</row>
    <row r="96" spans="1:106" outlineLevel="3" x14ac:dyDescent="0.2">
      <c r="A96" s="14">
        <v>1</v>
      </c>
      <c r="C96" s="9" t="str">
        <f>IF(SUBTOTAL(109,A96)=A96,"            Trade and Other Payables, Current","            Trade and Other Payables, Current")</f>
        <v xml:space="preserve">            Trade and Other Payables, Current</v>
      </c>
      <c r="D96" s="17" t="str">
        <f t="shared" si="16"/>
        <v/>
      </c>
      <c r="E96" s="17" t="str">
        <f t="shared" si="17"/>
        <v/>
      </c>
      <c r="F96" s="17" t="str">
        <f t="shared" si="18"/>
        <v/>
      </c>
      <c r="G96" s="17" t="str">
        <f t="shared" si="19"/>
        <v/>
      </c>
      <c r="H96" s="17" t="str">
        <f t="shared" si="20"/>
        <v/>
      </c>
      <c r="I96" s="17" t="str">
        <f t="shared" si="21"/>
        <v/>
      </c>
      <c r="J96" s="17" t="str">
        <f t="shared" si="22"/>
        <v/>
      </c>
      <c r="K96" s="18" t="str">
        <f t="shared" si="23"/>
        <v/>
      </c>
      <c r="L96" s="21"/>
      <c r="M96" s="21" t="str">
        <f>IF(SUBTOTAL(109,A96)=A96,"",39723)</f>
        <v/>
      </c>
      <c r="N96" s="21"/>
      <c r="O96" s="21"/>
      <c r="P96" s="21"/>
      <c r="Q96" s="21"/>
      <c r="R96" s="21" t="str">
        <f>IF(SUBTOTAL(109,A96)=A96,"",45752)</f>
        <v/>
      </c>
      <c r="S96" s="21" t="str">
        <f>IF(SUBTOTAL(109,A96)=A96,"",43483)</f>
        <v/>
      </c>
      <c r="T96" s="21" t="str">
        <f>IF(SUBTOTAL(109,A96)=A96,"",63292)</f>
        <v/>
      </c>
      <c r="U96" s="21" t="str">
        <f>IF(SUBTOTAL(109,A96)=A96,"",57927)</f>
        <v/>
      </c>
      <c r="V96" s="21" t="str">
        <f>IF(SUBTOTAL(109,A96)=A96,"",52990)</f>
        <v/>
      </c>
      <c r="W96" s="21" t="str">
        <f>IF(SUBTOTAL(109,A96)=A96,"",59748)</f>
        <v/>
      </c>
      <c r="X96" s="21" t="str">
        <f>IF(SUBTOTAL(109,A96)=A96,"",58622)</f>
        <v/>
      </c>
      <c r="Y96" s="21" t="str">
        <f>IF(SUBTOTAL(109,A96)=A96,"",44405)</f>
        <v/>
      </c>
      <c r="Z96" s="21" t="str">
        <f>IF(SUBTOTAL(109,A96)=A96,"",35937)</f>
        <v/>
      </c>
      <c r="AA96" s="21" t="str">
        <f>IF(SUBTOTAL(109,A96)=A96,"",43131)</f>
        <v/>
      </c>
      <c r="AB96" s="21" t="str">
        <f>IF(SUBTOTAL(109,A96)=A96,"",45227)</f>
        <v/>
      </c>
      <c r="AC96" s="21" t="str">
        <f>IF(SUBTOTAL(109,A96)=A96,"",25738)</f>
        <v/>
      </c>
      <c r="AD96" s="21" t="str">
        <f>IF(SUBTOTAL(109,A96)=A96,"",28223)</f>
        <v/>
      </c>
      <c r="AE96" s="21" t="str">
        <f>IF(SUBTOTAL(109,A96)=A96,"",44339)</f>
        <v/>
      </c>
      <c r="AF96" s="21" t="str">
        <f>IF(SUBTOTAL(109,A96)=A96,"",45241)</f>
        <v/>
      </c>
      <c r="AG96" s="21" t="str">
        <f>IF(SUBTOTAL(109,A96)=A96,"",51501)</f>
        <v/>
      </c>
      <c r="AH96" s="21" t="str">
        <f>IF(SUBTOTAL(109,A96)=A96,"",54537)</f>
        <v/>
      </c>
      <c r="AI96" s="21" t="str">
        <f>IF(SUBTOTAL(109,A96)=A96,"",38849)</f>
        <v/>
      </c>
      <c r="AJ96" s="21" t="str">
        <f>IF(SUBTOTAL(109,A96)=A96,"",38111)</f>
        <v/>
      </c>
      <c r="AK96" s="21" t="str">
        <f>IF(SUBTOTAL(109,A96)=A96,"",29769)</f>
        <v/>
      </c>
      <c r="AL96" s="21" t="str">
        <f>IF(SUBTOTAL(109,A96)=A96,"",30988)</f>
        <v/>
      </c>
      <c r="AM96" s="21" t="str">
        <f>IF(SUBTOTAL(109,A96)=A96,"",38005)</f>
        <v/>
      </c>
      <c r="AN96" s="21" t="str">
        <f>IF(SUBTOTAL(109,A96)=A96,"",34962)</f>
        <v/>
      </c>
      <c r="AO96" s="21" t="str">
        <f>IF(SUBTOTAL(109,A96)=A96,"",29818)</f>
        <v/>
      </c>
      <c r="AP96" s="21" t="str">
        <f>IF(SUBTOTAL(109,A96)=A96,"",35216)</f>
        <v/>
      </c>
      <c r="AQ96" s="21" t="str">
        <f>IF(SUBTOTAL(109,A96)=A96,"",43344)</f>
        <v/>
      </c>
      <c r="AR96" s="21" t="str">
        <f>IF(SUBTOTAL(109,A96)=A96,"",53115)</f>
        <v/>
      </c>
      <c r="AS96" s="21" t="str">
        <f>IF(SUBTOTAL(109,A96)=A96,"",24105)</f>
        <v/>
      </c>
      <c r="AT96" s="21" t="str">
        <f>IF(SUBTOTAL(109,A96)=A96,"",32623)</f>
        <v/>
      </c>
      <c r="AU96" s="21" t="str">
        <f>IF(SUBTOTAL(109,A96)=A96,"",26007)</f>
        <v/>
      </c>
      <c r="AV96" s="21" t="str">
        <f>IF(SUBTOTAL(109,A96)=A96,"",32979)</f>
        <v/>
      </c>
      <c r="AW96" s="21" t="str">
        <f>IF(SUBTOTAL(109,A96)=A96,"",20259)</f>
        <v/>
      </c>
      <c r="AX96" s="21" t="str">
        <f>IF(SUBTOTAL(109,A96)=A96,"",21669)</f>
        <v/>
      </c>
      <c r="AY96" s="21" t="str">
        <f>IF(SUBTOTAL(109,A96)=A96,"",26724)</f>
        <v/>
      </c>
      <c r="AZ96" s="21" t="str">
        <f>IF(SUBTOTAL(109,A96)=A96,"",26007)</f>
        <v/>
      </c>
      <c r="BA96" s="21" t="str">
        <f>IF(SUBTOTAL(109,A96)=A96,"",17639.22)</f>
        <v/>
      </c>
      <c r="BB96" s="21" t="str">
        <f>IF(SUBTOTAL(109,A96)=A96,"",20138.023)</f>
        <v/>
      </c>
      <c r="BC96" s="21" t="str">
        <f>IF(SUBTOTAL(109,A96)=A96,"",15831.108)</f>
        <v/>
      </c>
      <c r="BD96" s="21" t="str">
        <f>IF(SUBTOTAL(109,A96)=A96,"",21995.705)</f>
        <v/>
      </c>
      <c r="BE96" s="21" t="str">
        <f>IF(SUBTOTAL(109,A96)=A96,"",18904.909)</f>
        <v/>
      </c>
      <c r="BF96" s="21" t="str">
        <f>IF(SUBTOTAL(109,A96)=A96,"",22067.239)</f>
        <v/>
      </c>
      <c r="BG96" s="21" t="str">
        <f>IF(SUBTOTAL(109,A96)=A96,"",19807.043)</f>
        <v/>
      </c>
      <c r="BH96" s="21" t="str">
        <f>IF(SUBTOTAL(109,A96)=A96,"",21088.622)</f>
        <v/>
      </c>
      <c r="BI96" s="21" t="str">
        <f>IF(SUBTOTAL(109,A96)=A96,"",15561.139)</f>
        <v/>
      </c>
      <c r="BJ96" s="21" t="str">
        <f>IF(SUBTOTAL(109,A96)=A96,"",11428.999)</f>
        <v/>
      </c>
      <c r="BK96" s="21" t="str">
        <f>IF(SUBTOTAL(109,A96)=A96,"",13463.407)</f>
        <v/>
      </c>
      <c r="BL96" s="21" t="str">
        <f>IF(SUBTOTAL(109,A96)=A96,"",13560.027)</f>
        <v/>
      </c>
      <c r="BM96" s="21" t="str">
        <f>IF(SUBTOTAL(109,A96)=A96,"",9143.342)</f>
        <v/>
      </c>
      <c r="BN96" s="21" t="str">
        <f>IF(SUBTOTAL(109,A96)=A96,"",10605.985)</f>
        <v/>
      </c>
      <c r="BO96" s="21" t="str">
        <f>IF(SUBTOTAL(109,A96)=A96,"",8852.637)</f>
        <v/>
      </c>
      <c r="BP96" s="21" t="str">
        <f>IF(SUBTOTAL(109,A96)=A96,"",12034.692)</f>
        <v/>
      </c>
      <c r="BQ96" s="21" t="str">
        <f>IF(SUBTOTAL(109,A96)=A96,"",10754.524)</f>
        <v/>
      </c>
      <c r="BR96" s="21" t="str">
        <f>IF(SUBTOTAL(109,A96)=A96,"",8580.103)</f>
        <v/>
      </c>
      <c r="BS96" s="21" t="str">
        <f>IF(SUBTOTAL(109,A96)=A96,"",7375.713)</f>
        <v/>
      </c>
      <c r="BT96" s="21" t="str">
        <f>IF(SUBTOTAL(109,A96)=A96,"",9608.975)</f>
        <v/>
      </c>
      <c r="BU96" s="21" t="str">
        <f>IF(SUBTOTAL(109,A96)=A96,"",4950.859)</f>
        <v/>
      </c>
      <c r="BV96" s="21" t="str">
        <f>IF(SUBTOTAL(109,A96)=A96,"",6137.667)</f>
        <v/>
      </c>
      <c r="BW96" s="21" t="str">
        <f>IF(SUBTOTAL(109,A96)=A96,"",4839.634)</f>
        <v/>
      </c>
      <c r="BX96" s="21" t="str">
        <f>IF(SUBTOTAL(109,A96)=A96,"",8009.513)</f>
        <v/>
      </c>
      <c r="BY96" s="21" t="str">
        <f>IF(SUBTOTAL(109,A96)=A96,"",19104.999)</f>
        <v/>
      </c>
      <c r="BZ96" s="21" t="str">
        <f>IF(SUBTOTAL(109,A96)=A96,"",20527.886)</f>
        <v/>
      </c>
      <c r="CA96" s="21" t="str">
        <f>IF(SUBTOTAL(109,A96)=A96,"",19969.756)</f>
        <v/>
      </c>
      <c r="CB96" s="21" t="str">
        <f>IF(SUBTOTAL(109,A96)=A96,"",6955.136)</f>
        <v/>
      </c>
      <c r="CC96" s="21" t="str">
        <f>IF(SUBTOTAL(109,A96)=A96,"","")</f>
        <v/>
      </c>
      <c r="CD96" s="21" t="str">
        <f>IF(SUBTOTAL(109,A96)=A96,"","")</f>
        <v/>
      </c>
      <c r="CE96" s="21" t="str">
        <f>IF(SUBTOTAL(109,A96)=A96,"","")</f>
        <v/>
      </c>
      <c r="CG96" s="15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</row>
    <row r="97" spans="1:106" outlineLevel="4" x14ac:dyDescent="0.2">
      <c r="A97" s="14">
        <v>1</v>
      </c>
      <c r="C97" s="9" t="str">
        <f>"                Trade/Accounts Payable, Current"</f>
        <v xml:space="preserve">                Trade/Accounts Payable, Current</v>
      </c>
      <c r="D97" s="17">
        <f t="shared" si="16"/>
        <v>22959.619500000001</v>
      </c>
      <c r="E97" s="17">
        <f t="shared" si="17"/>
        <v>25510.693102941179</v>
      </c>
      <c r="F97" s="17">
        <f t="shared" si="18"/>
        <v>4839.634</v>
      </c>
      <c r="G97" s="17">
        <f t="shared" si="19"/>
        <v>55578</v>
      </c>
      <c r="H97" s="17">
        <f t="shared" si="20"/>
        <v>15313.601499999999</v>
      </c>
      <c r="I97" s="17">
        <f t="shared" si="21"/>
        <v>34020.5625</v>
      </c>
      <c r="J97" s="17">
        <f t="shared" si="22"/>
        <v>13414.162327457492</v>
      </c>
      <c r="K97" s="18">
        <f t="shared" si="23"/>
        <v>0.52582508336125711</v>
      </c>
      <c r="L97" s="21"/>
      <c r="M97" s="21">
        <v>30042</v>
      </c>
      <c r="N97" s="21">
        <v>52539</v>
      </c>
      <c r="O97" s="21">
        <v>44533.25</v>
      </c>
      <c r="P97" s="21">
        <v>33782.5</v>
      </c>
      <c r="Q97" s="21">
        <v>34734.75</v>
      </c>
      <c r="R97" s="21">
        <v>45522</v>
      </c>
      <c r="S97" s="21">
        <v>40037</v>
      </c>
      <c r="T97" s="21">
        <v>53447</v>
      </c>
      <c r="U97" s="21">
        <v>55578</v>
      </c>
      <c r="V97" s="21">
        <v>52767</v>
      </c>
      <c r="W97" s="21">
        <v>46753</v>
      </c>
      <c r="X97" s="21">
        <v>45513</v>
      </c>
      <c r="Y97" s="21">
        <v>35288</v>
      </c>
      <c r="Z97" s="21">
        <v>31338</v>
      </c>
      <c r="AA97" s="21">
        <v>34952</v>
      </c>
      <c r="AB97" s="21">
        <v>32360</v>
      </c>
      <c r="AC97" s="21">
        <v>20866</v>
      </c>
      <c r="AD97" s="21">
        <v>23852</v>
      </c>
      <c r="AE97" s="21">
        <v>35874</v>
      </c>
      <c r="AF97" s="21">
        <v>37688</v>
      </c>
      <c r="AG97" s="21">
        <v>45377</v>
      </c>
      <c r="AH97" s="21">
        <v>45822</v>
      </c>
      <c r="AI97" s="21">
        <v>33534</v>
      </c>
      <c r="AJ97" s="21">
        <v>31220</v>
      </c>
      <c r="AK97" s="21">
        <v>24377</v>
      </c>
      <c r="AL97" s="21">
        <v>24654</v>
      </c>
      <c r="AM97" s="21">
        <v>25322</v>
      </c>
      <c r="AN97" s="21">
        <v>28618</v>
      </c>
      <c r="AO97" s="21">
        <v>26397</v>
      </c>
      <c r="AP97" s="21">
        <v>31976</v>
      </c>
      <c r="AQ97" s="21">
        <v>32979</v>
      </c>
      <c r="AR97" s="21">
        <v>40119</v>
      </c>
      <c r="AS97" s="21">
        <v>21123</v>
      </c>
      <c r="AT97" s="21">
        <v>26862</v>
      </c>
      <c r="AU97" s="21">
        <v>24320</v>
      </c>
      <c r="AV97" s="21">
        <v>29258</v>
      </c>
      <c r="AW97" s="21">
        <v>18140</v>
      </c>
      <c r="AX97" s="21">
        <v>19104</v>
      </c>
      <c r="AY97" s="21">
        <v>21181</v>
      </c>
      <c r="AZ97" s="21">
        <v>21009</v>
      </c>
      <c r="BA97" s="21">
        <v>14570.989</v>
      </c>
      <c r="BB97" s="21">
        <v>20138.023000000001</v>
      </c>
      <c r="BC97" s="21">
        <v>15831.108</v>
      </c>
      <c r="BD97" s="21">
        <v>21995.705000000002</v>
      </c>
      <c r="BE97" s="21">
        <v>18904.909</v>
      </c>
      <c r="BF97" s="21">
        <v>22067.239000000001</v>
      </c>
      <c r="BG97" s="21">
        <v>19807.043000000001</v>
      </c>
      <c r="BH97" s="21">
        <v>21088.621999999999</v>
      </c>
      <c r="BI97" s="21">
        <v>15561.138999999999</v>
      </c>
      <c r="BJ97" s="21">
        <v>11428.999</v>
      </c>
      <c r="BK97" s="21">
        <v>13463.406999999999</v>
      </c>
      <c r="BL97" s="21">
        <v>13560.027</v>
      </c>
      <c r="BM97" s="21">
        <v>9143.3420000000006</v>
      </c>
      <c r="BN97" s="21">
        <v>10605.985000000001</v>
      </c>
      <c r="BO97" s="21">
        <v>8852.6370000000006</v>
      </c>
      <c r="BP97" s="21">
        <v>12034.691999999999</v>
      </c>
      <c r="BQ97" s="21">
        <v>10754.523999999999</v>
      </c>
      <c r="BR97" s="21">
        <v>8580.1029999999992</v>
      </c>
      <c r="BS97" s="21">
        <v>7375.7129999999997</v>
      </c>
      <c r="BT97" s="21">
        <v>9608.9750000000004</v>
      </c>
      <c r="BU97" s="21">
        <v>4950.8590000000004</v>
      </c>
      <c r="BV97" s="21">
        <v>6137.6670000000004</v>
      </c>
      <c r="BW97" s="21">
        <v>4839.634</v>
      </c>
      <c r="BX97" s="21">
        <v>8009.5129999999999</v>
      </c>
      <c r="BY97" s="21">
        <v>19104.999</v>
      </c>
      <c r="BZ97" s="21">
        <v>20527.885999999999</v>
      </c>
      <c r="CA97" s="21">
        <v>19969.756000000001</v>
      </c>
      <c r="CB97" s="21">
        <v>6955.1360000000004</v>
      </c>
      <c r="CC97" s="21" t="s">
        <v>165</v>
      </c>
      <c r="CD97" s="21" t="s">
        <v>165</v>
      </c>
      <c r="CE97" s="21" t="s">
        <v>165</v>
      </c>
      <c r="CG97" s="15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</row>
    <row r="98" spans="1:106" outlineLevel="4" x14ac:dyDescent="0.2">
      <c r="A98" s="14">
        <v>1</v>
      </c>
      <c r="C98" s="9" t="str">
        <f>"                Interest Payable, Current"</f>
        <v xml:space="preserve">                Interest Payable, Current</v>
      </c>
      <c r="D98" s="17">
        <f t="shared" si="16"/>
        <v>1268.25</v>
      </c>
      <c r="E98" s="17">
        <f t="shared" si="17"/>
        <v>1297.9166666666667</v>
      </c>
      <c r="F98" s="17">
        <f t="shared" si="18"/>
        <v>255</v>
      </c>
      <c r="G98" s="17">
        <f t="shared" si="19"/>
        <v>3362</v>
      </c>
      <c r="H98" s="17">
        <f t="shared" si="20"/>
        <v>726.75</v>
      </c>
      <c r="I98" s="17">
        <f t="shared" si="21"/>
        <v>1573</v>
      </c>
      <c r="J98" s="17">
        <f t="shared" si="22"/>
        <v>779.80141231409607</v>
      </c>
      <c r="K98" s="18">
        <f t="shared" si="23"/>
        <v>0.60081007690331634</v>
      </c>
      <c r="L98" s="21"/>
      <c r="M98" s="21" t="s">
        <v>165</v>
      </c>
      <c r="N98" s="21"/>
      <c r="O98" s="21">
        <v>255</v>
      </c>
      <c r="P98" s="21">
        <v>907</v>
      </c>
      <c r="Q98" s="21">
        <v>1318.5</v>
      </c>
      <c r="R98" s="21" t="s">
        <v>165</v>
      </c>
      <c r="S98" s="21">
        <v>332</v>
      </c>
      <c r="T98" s="21">
        <v>1361</v>
      </c>
      <c r="U98" s="21" t="s">
        <v>165</v>
      </c>
      <c r="V98" s="21" t="s">
        <v>165</v>
      </c>
      <c r="W98" s="21" t="s">
        <v>165</v>
      </c>
      <c r="X98" s="21">
        <v>1218</v>
      </c>
      <c r="Y98" s="21" t="s">
        <v>165</v>
      </c>
      <c r="Z98" s="21" t="s">
        <v>165</v>
      </c>
      <c r="AA98" s="21" t="s">
        <v>165</v>
      </c>
      <c r="AB98" s="21">
        <v>3362</v>
      </c>
      <c r="AC98" s="21" t="s">
        <v>165</v>
      </c>
      <c r="AD98" s="21" t="s">
        <v>165</v>
      </c>
      <c r="AE98" s="21" t="s">
        <v>165</v>
      </c>
      <c r="AF98" s="21">
        <v>2194</v>
      </c>
      <c r="AG98" s="21">
        <v>762</v>
      </c>
      <c r="AH98" s="21">
        <v>2213</v>
      </c>
      <c r="AI98" s="21">
        <v>715</v>
      </c>
      <c r="AJ98" s="21">
        <v>1542</v>
      </c>
      <c r="AK98" s="21">
        <v>533</v>
      </c>
      <c r="AL98" s="21">
        <v>1567</v>
      </c>
      <c r="AM98" s="21">
        <v>533</v>
      </c>
      <c r="AN98" s="21">
        <v>1783</v>
      </c>
      <c r="AO98" s="21" t="s">
        <v>165</v>
      </c>
      <c r="AP98" s="21" t="s">
        <v>165</v>
      </c>
      <c r="AQ98" s="21" t="s">
        <v>165</v>
      </c>
      <c r="AR98" s="21">
        <v>1575</v>
      </c>
      <c r="AS98" s="21" t="s">
        <v>165</v>
      </c>
      <c r="AT98" s="21" t="s">
        <v>165</v>
      </c>
      <c r="AU98" s="21" t="s">
        <v>165</v>
      </c>
      <c r="AV98" s="21">
        <v>1192</v>
      </c>
      <c r="AW98" s="21" t="s">
        <v>165</v>
      </c>
      <c r="AX98" s="21" t="s">
        <v>165</v>
      </c>
      <c r="AY98" s="21" t="s">
        <v>165</v>
      </c>
      <c r="AZ98" s="21" t="s">
        <v>165</v>
      </c>
      <c r="BA98" s="21" t="s">
        <v>165</v>
      </c>
      <c r="BB98" s="21" t="s">
        <v>165</v>
      </c>
      <c r="BC98" s="21" t="s">
        <v>165</v>
      </c>
      <c r="BD98" s="21" t="s">
        <v>165</v>
      </c>
      <c r="BE98" s="21" t="s">
        <v>165</v>
      </c>
      <c r="BF98" s="21" t="s">
        <v>165</v>
      </c>
      <c r="BG98" s="21" t="s">
        <v>165</v>
      </c>
      <c r="BH98" s="21" t="s">
        <v>165</v>
      </c>
      <c r="BI98" s="21" t="s">
        <v>165</v>
      </c>
      <c r="BJ98" s="21" t="s">
        <v>165</v>
      </c>
      <c r="BK98" s="21" t="s">
        <v>165</v>
      </c>
      <c r="BL98" s="21" t="s">
        <v>165</v>
      </c>
      <c r="BM98" s="21" t="s">
        <v>165</v>
      </c>
      <c r="BN98" s="21" t="s">
        <v>165</v>
      </c>
      <c r="BO98" s="21" t="s">
        <v>165</v>
      </c>
      <c r="BP98" s="21" t="s">
        <v>165</v>
      </c>
      <c r="BQ98" s="21" t="s">
        <v>165</v>
      </c>
      <c r="BR98" s="21" t="s">
        <v>165</v>
      </c>
      <c r="BS98" s="21" t="s">
        <v>165</v>
      </c>
      <c r="BT98" s="21" t="s">
        <v>165</v>
      </c>
      <c r="BU98" s="21" t="s">
        <v>165</v>
      </c>
      <c r="BV98" s="21" t="s">
        <v>165</v>
      </c>
      <c r="BW98" s="21" t="s">
        <v>165</v>
      </c>
      <c r="BX98" s="21" t="s">
        <v>165</v>
      </c>
      <c r="BY98" s="21" t="s">
        <v>165</v>
      </c>
      <c r="BZ98" s="21" t="s">
        <v>165</v>
      </c>
      <c r="CA98" s="21" t="s">
        <v>165</v>
      </c>
      <c r="CB98" s="21" t="s">
        <v>165</v>
      </c>
      <c r="CC98" s="21" t="s">
        <v>165</v>
      </c>
      <c r="CD98" s="21" t="s">
        <v>165</v>
      </c>
      <c r="CE98" s="21" t="s">
        <v>165</v>
      </c>
      <c r="CG98" s="15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</row>
    <row r="99" spans="1:106" outlineLevel="4" x14ac:dyDescent="0.2">
      <c r="A99" s="14">
        <v>1</v>
      </c>
      <c r="C99" s="9" t="str">
        <f>IF(SUBTOTAL(109,A99)=A99,"                Taxes Payable, Current","                Taxes Payable, Current")</f>
        <v xml:space="preserve">                Taxes Payable, Current</v>
      </c>
      <c r="D99" s="17" t="str">
        <f t="shared" si="16"/>
        <v/>
      </c>
      <c r="E99" s="17" t="str">
        <f t="shared" si="17"/>
        <v/>
      </c>
      <c r="F99" s="17" t="str">
        <f t="shared" si="18"/>
        <v/>
      </c>
      <c r="G99" s="17" t="str">
        <f t="shared" si="19"/>
        <v/>
      </c>
      <c r="H99" s="17" t="str">
        <f t="shared" si="20"/>
        <v/>
      </c>
      <c r="I99" s="17" t="str">
        <f t="shared" si="21"/>
        <v/>
      </c>
      <c r="J99" s="17" t="str">
        <f t="shared" si="22"/>
        <v/>
      </c>
      <c r="K99" s="18" t="str">
        <f t="shared" si="23"/>
        <v/>
      </c>
      <c r="L99" s="21"/>
      <c r="M99" s="21" t="str">
        <f>IF(SUBTOTAL(109,A99)=A99,"",9681)</f>
        <v/>
      </c>
      <c r="N99" s="21"/>
      <c r="O99" s="21"/>
      <c r="P99" s="21"/>
      <c r="Q99" s="21"/>
      <c r="R99" s="21" t="str">
        <f>IF(SUBTOTAL(109,A99)=A99,"",230)</f>
        <v/>
      </c>
      <c r="S99" s="21" t="str">
        <f>IF(SUBTOTAL(109,A99)=A99,"",3114)</f>
        <v/>
      </c>
      <c r="T99" s="21" t="str">
        <f>IF(SUBTOTAL(109,A99)=A99,"",8484)</f>
        <v/>
      </c>
      <c r="U99" s="21" t="str">
        <f>IF(SUBTOTAL(109,A99)=A99,"",2349)</f>
        <v/>
      </c>
      <c r="V99" s="21" t="str">
        <f>IF(SUBTOTAL(109,A99)=A99,"",223)</f>
        <v/>
      </c>
      <c r="W99" s="21" t="str">
        <f>IF(SUBTOTAL(109,A99)=A99,"",12995)</f>
        <v/>
      </c>
      <c r="X99" s="21" t="str">
        <f>IF(SUBTOTAL(109,A99)=A99,"",11891)</f>
        <v/>
      </c>
      <c r="Y99" s="21" t="str">
        <f>IF(SUBTOTAL(109,A99)=A99,"",9117)</f>
        <v/>
      </c>
      <c r="Z99" s="21" t="str">
        <f>IF(SUBTOTAL(109,A99)=A99,"",4599)</f>
        <v/>
      </c>
      <c r="AA99" s="21" t="str">
        <f>IF(SUBTOTAL(109,A99)=A99,"",8179)</f>
        <v/>
      </c>
      <c r="AB99" s="21" t="str">
        <f>IF(SUBTOTAL(109,A99)=A99,"",9505)</f>
        <v/>
      </c>
      <c r="AC99" s="21" t="str">
        <f>IF(SUBTOTAL(109,A99)=A99,"",4872)</f>
        <v/>
      </c>
      <c r="AD99" s="21" t="str">
        <f>IF(SUBTOTAL(109,A99)=A99,"",4371)</f>
        <v/>
      </c>
      <c r="AE99" s="21" t="str">
        <f>IF(SUBTOTAL(109,A99)=A99,"",8465)</f>
        <v/>
      </c>
      <c r="AF99" s="21" t="str">
        <f>IF(SUBTOTAL(109,A99)=A99,"",5359)</f>
        <v/>
      </c>
      <c r="AG99" s="21" t="str">
        <f>IF(SUBTOTAL(109,A99)=A99,"",5362)</f>
        <v/>
      </c>
      <c r="AH99" s="21" t="str">
        <f>IF(SUBTOTAL(109,A99)=A99,"",6502)</f>
        <v/>
      </c>
      <c r="AI99" s="21" t="str">
        <f>IF(SUBTOTAL(109,A99)=A99,"",4600)</f>
        <v/>
      </c>
      <c r="AJ99" s="21" t="str">
        <f>IF(SUBTOTAL(109,A99)=A99,"",5349)</f>
        <v/>
      </c>
      <c r="AK99" s="21" t="str">
        <f>IF(SUBTOTAL(109,A99)=A99,"",4859)</f>
        <v/>
      </c>
      <c r="AL99" s="21" t="str">
        <f>IF(SUBTOTAL(109,A99)=A99,"",4767)</f>
        <v/>
      </c>
      <c r="AM99" s="21" t="str">
        <f>IF(SUBTOTAL(109,A99)=A99,"",12150)</f>
        <v/>
      </c>
      <c r="AN99" s="21" t="str">
        <f>IF(SUBTOTAL(109,A99)=A99,"",4561)</f>
        <v/>
      </c>
      <c r="AO99" s="21" t="str">
        <f>IF(SUBTOTAL(109,A99)=A99,"",3421)</f>
        <v/>
      </c>
      <c r="AP99" s="21" t="str">
        <f>IF(SUBTOTAL(109,A99)=A99,"",3240)</f>
        <v/>
      </c>
      <c r="AQ99" s="21" t="str">
        <f>IF(SUBTOTAL(109,A99)=A99,"",10365)</f>
        <v/>
      </c>
      <c r="AR99" s="21" t="str">
        <f>IF(SUBTOTAL(109,A99)=A99,"",11421)</f>
        <v/>
      </c>
      <c r="AS99" s="21" t="str">
        <f>IF(SUBTOTAL(109,A99)=A99,"",2982)</f>
        <v/>
      </c>
      <c r="AT99" s="21" t="str">
        <f>IF(SUBTOTAL(109,A99)=A99,"",5761)</f>
        <v/>
      </c>
      <c r="AU99" s="21" t="str">
        <f>IF(SUBTOTAL(109,A99)=A99,"",1687)</f>
        <v/>
      </c>
      <c r="AV99" s="21" t="str">
        <f>IF(SUBTOTAL(109,A99)=A99,"",2529)</f>
        <v/>
      </c>
      <c r="AW99" s="21" t="str">
        <f>IF(SUBTOTAL(109,A99)=A99,"",2119)</f>
        <v/>
      </c>
      <c r="AX99" s="21" t="str">
        <f>IF(SUBTOTAL(109,A99)=A99,"",2565)</f>
        <v/>
      </c>
      <c r="AY99" s="21" t="str">
        <f>IF(SUBTOTAL(109,A99)=A99,"",5543)</f>
        <v/>
      </c>
      <c r="AZ99" s="21" t="str">
        <f>IF(SUBTOTAL(109,A99)=A99,"",4998)</f>
        <v/>
      </c>
      <c r="BA99" s="21" t="str">
        <f>IF(SUBTOTAL(109,A99)=A99,"",3068.231)</f>
        <v/>
      </c>
      <c r="BB99" s="21" t="str">
        <f>IF(SUBTOTAL(109,A99)=A99,"","")</f>
        <v/>
      </c>
      <c r="BC99" s="21" t="str">
        <f>IF(SUBTOTAL(109,A99)=A99,"","")</f>
        <v/>
      </c>
      <c r="BD99" s="21" t="str">
        <f>IF(SUBTOTAL(109,A99)=A99,"","")</f>
        <v/>
      </c>
      <c r="BE99" s="21" t="str">
        <f>IF(SUBTOTAL(109,A99)=A99,"","")</f>
        <v/>
      </c>
      <c r="BF99" s="21" t="str">
        <f>IF(SUBTOTAL(109,A99)=A99,"","")</f>
        <v/>
      </c>
      <c r="BG99" s="21" t="str">
        <f>IF(SUBTOTAL(109,A99)=A99,"","")</f>
        <v/>
      </c>
      <c r="BH99" s="21" t="str">
        <f>IF(SUBTOTAL(109,A99)=A99,"","")</f>
        <v/>
      </c>
      <c r="BI99" s="21" t="str">
        <f>IF(SUBTOTAL(109,A99)=A99,"","")</f>
        <v/>
      </c>
      <c r="BJ99" s="21" t="str">
        <f>IF(SUBTOTAL(109,A99)=A99,"","")</f>
        <v/>
      </c>
      <c r="BK99" s="21" t="str">
        <f>IF(SUBTOTAL(109,A99)=A99,"","")</f>
        <v/>
      </c>
      <c r="BL99" s="21" t="str">
        <f>IF(SUBTOTAL(109,A99)=A99,"","")</f>
        <v/>
      </c>
      <c r="BM99" s="21" t="str">
        <f>IF(SUBTOTAL(109,A99)=A99,"","")</f>
        <v/>
      </c>
      <c r="BN99" s="21" t="str">
        <f>IF(SUBTOTAL(109,A99)=A99,"","")</f>
        <v/>
      </c>
      <c r="BO99" s="21" t="str">
        <f>IF(SUBTOTAL(109,A99)=A99,"","")</f>
        <v/>
      </c>
      <c r="BP99" s="21" t="str">
        <f>IF(SUBTOTAL(109,A99)=A99,"","")</f>
        <v/>
      </c>
      <c r="BQ99" s="21" t="str">
        <f>IF(SUBTOTAL(109,A99)=A99,"","")</f>
        <v/>
      </c>
      <c r="BR99" s="21" t="str">
        <f>IF(SUBTOTAL(109,A99)=A99,"","")</f>
        <v/>
      </c>
      <c r="BS99" s="21" t="str">
        <f>IF(SUBTOTAL(109,A99)=A99,"","")</f>
        <v/>
      </c>
      <c r="BT99" s="21" t="str">
        <f>IF(SUBTOTAL(109,A99)=A99,"","")</f>
        <v/>
      </c>
      <c r="BU99" s="21" t="str">
        <f>IF(SUBTOTAL(109,A99)=A99,"","")</f>
        <v/>
      </c>
      <c r="BV99" s="21" t="str">
        <f>IF(SUBTOTAL(109,A99)=A99,"","")</f>
        <v/>
      </c>
      <c r="BW99" s="21" t="str">
        <f>IF(SUBTOTAL(109,A99)=A99,"","")</f>
        <v/>
      </c>
      <c r="BX99" s="21" t="str">
        <f>IF(SUBTOTAL(109,A99)=A99,"","")</f>
        <v/>
      </c>
      <c r="BY99" s="21" t="str">
        <f>IF(SUBTOTAL(109,A99)=A99,"","")</f>
        <v/>
      </c>
      <c r="BZ99" s="21" t="str">
        <f>IF(SUBTOTAL(109,A99)=A99,"","")</f>
        <v/>
      </c>
      <c r="CA99" s="21" t="str">
        <f>IF(SUBTOTAL(109,A99)=A99,"","")</f>
        <v/>
      </c>
      <c r="CB99" s="21" t="str">
        <f>IF(SUBTOTAL(109,A99)=A99,"","")</f>
        <v/>
      </c>
      <c r="CC99" s="21" t="str">
        <f>IF(SUBTOTAL(109,A99)=A99,"","")</f>
        <v/>
      </c>
      <c r="CD99" s="21" t="str">
        <f>IF(SUBTOTAL(109,A99)=A99,"","")</f>
        <v/>
      </c>
      <c r="CE99" s="21" t="str">
        <f>IF(SUBTOTAL(109,A99)=A99,"","")</f>
        <v/>
      </c>
      <c r="CG99" s="15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</row>
    <row r="100" spans="1:106" outlineLevel="5" x14ac:dyDescent="0.2">
      <c r="A100" s="14">
        <v>1</v>
      </c>
      <c r="C100" s="9" t="str">
        <f>"                    Income Tax Payable, Current"</f>
        <v xml:space="preserve">                    Income Tax Payable, Current</v>
      </c>
      <c r="D100" s="17">
        <f t="shared" si="16"/>
        <v>870.67700000000002</v>
      </c>
      <c r="E100" s="17">
        <f t="shared" si="17"/>
        <v>2451.3072857142861</v>
      </c>
      <c r="F100" s="17">
        <f t="shared" si="18"/>
        <v>0</v>
      </c>
      <c r="G100" s="17">
        <f t="shared" si="19"/>
        <v>12995</v>
      </c>
      <c r="H100" s="17">
        <f t="shared" si="20"/>
        <v>156.75</v>
      </c>
      <c r="I100" s="17">
        <f t="shared" si="21"/>
        <v>4149.75</v>
      </c>
      <c r="J100" s="17">
        <f t="shared" si="22"/>
        <v>3185.2034594351107</v>
      </c>
      <c r="K100" s="18">
        <f t="shared" si="23"/>
        <v>1.2993897085028141</v>
      </c>
      <c r="L100" s="21"/>
      <c r="M100" s="21">
        <v>2673</v>
      </c>
      <c r="N100" s="21">
        <v>6363</v>
      </c>
      <c r="O100" s="21">
        <v>6252.5</v>
      </c>
      <c r="P100" s="21">
        <v>273</v>
      </c>
      <c r="Q100" s="21">
        <v>592.75</v>
      </c>
      <c r="R100" s="21">
        <v>230</v>
      </c>
      <c r="S100" s="21">
        <v>209</v>
      </c>
      <c r="T100" s="21">
        <v>726</v>
      </c>
      <c r="U100" s="21">
        <v>2349</v>
      </c>
      <c r="V100" s="21">
        <v>223</v>
      </c>
      <c r="W100" s="21">
        <v>12995</v>
      </c>
      <c r="X100" s="21">
        <v>5960</v>
      </c>
      <c r="Y100" s="21">
        <v>1413</v>
      </c>
      <c r="Z100" s="21">
        <v>0</v>
      </c>
      <c r="AA100" s="21">
        <v>4893</v>
      </c>
      <c r="AB100" s="21">
        <v>4224</v>
      </c>
      <c r="AC100" s="21" t="s">
        <v>165</v>
      </c>
      <c r="AD100" s="21" t="s">
        <v>165</v>
      </c>
      <c r="AE100" s="21">
        <v>4125</v>
      </c>
      <c r="AF100" s="21">
        <v>0</v>
      </c>
      <c r="AG100" s="21" t="s">
        <v>165</v>
      </c>
      <c r="AH100" s="21" t="s">
        <v>165</v>
      </c>
      <c r="AI100" s="21" t="s">
        <v>165</v>
      </c>
      <c r="AJ100" s="21" t="s">
        <v>165</v>
      </c>
      <c r="AK100" s="21">
        <v>0</v>
      </c>
      <c r="AL100" s="21">
        <v>0</v>
      </c>
      <c r="AM100" s="21">
        <v>8148</v>
      </c>
      <c r="AN100" s="21">
        <v>291</v>
      </c>
      <c r="AO100" s="21" t="s">
        <v>165</v>
      </c>
      <c r="AP100" s="21" t="s">
        <v>165</v>
      </c>
      <c r="AQ100" s="21" t="s">
        <v>165</v>
      </c>
      <c r="AR100" s="21">
        <v>0</v>
      </c>
      <c r="AS100" s="21" t="s">
        <v>165</v>
      </c>
      <c r="AT100" s="21" t="s">
        <v>165</v>
      </c>
      <c r="AU100" s="21" t="s">
        <v>165</v>
      </c>
      <c r="AV100" s="21" t="s">
        <v>165</v>
      </c>
      <c r="AW100" s="21">
        <v>0</v>
      </c>
      <c r="AX100" s="21">
        <v>0</v>
      </c>
      <c r="AY100" s="21">
        <v>2891</v>
      </c>
      <c r="AZ100" s="21">
        <v>2790</v>
      </c>
      <c r="BA100" s="21">
        <v>1015.354</v>
      </c>
      <c r="BB100" s="21" t="s">
        <v>165</v>
      </c>
      <c r="BC100" s="21" t="s">
        <v>165</v>
      </c>
      <c r="BD100" s="21" t="s">
        <v>165</v>
      </c>
      <c r="BE100" s="21" t="s">
        <v>165</v>
      </c>
      <c r="BF100" s="21" t="s">
        <v>165</v>
      </c>
      <c r="BG100" s="21" t="s">
        <v>165</v>
      </c>
      <c r="BH100" s="21" t="s">
        <v>165</v>
      </c>
      <c r="BI100" s="21" t="s">
        <v>165</v>
      </c>
      <c r="BJ100" s="21" t="s">
        <v>165</v>
      </c>
      <c r="BK100" s="21" t="s">
        <v>165</v>
      </c>
      <c r="BL100" s="21" t="s">
        <v>165</v>
      </c>
      <c r="BM100" s="21" t="s">
        <v>165</v>
      </c>
      <c r="BN100" s="21" t="s">
        <v>165</v>
      </c>
      <c r="BO100" s="21" t="s">
        <v>165</v>
      </c>
      <c r="BP100" s="21" t="s">
        <v>165</v>
      </c>
      <c r="BQ100" s="21" t="s">
        <v>165</v>
      </c>
      <c r="BR100" s="21" t="s">
        <v>165</v>
      </c>
      <c r="BS100" s="21" t="s">
        <v>165</v>
      </c>
      <c r="BT100" s="21" t="s">
        <v>165</v>
      </c>
      <c r="BU100" s="21" t="s">
        <v>165</v>
      </c>
      <c r="BV100" s="21" t="s">
        <v>165</v>
      </c>
      <c r="BW100" s="21" t="s">
        <v>165</v>
      </c>
      <c r="BX100" s="21" t="s">
        <v>165</v>
      </c>
      <c r="BY100" s="21" t="s">
        <v>165</v>
      </c>
      <c r="BZ100" s="21" t="s">
        <v>165</v>
      </c>
      <c r="CA100" s="21" t="s">
        <v>165</v>
      </c>
      <c r="CB100" s="21" t="s">
        <v>165</v>
      </c>
      <c r="CC100" s="21" t="s">
        <v>165</v>
      </c>
      <c r="CD100" s="21" t="s">
        <v>165</v>
      </c>
      <c r="CE100" s="21" t="s">
        <v>165</v>
      </c>
      <c r="CG100" s="15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</row>
    <row r="101" spans="1:106" outlineLevel="5" x14ac:dyDescent="0.2">
      <c r="A101" s="14">
        <v>1</v>
      </c>
      <c r="C101" s="9" t="str">
        <f>"                    Other Tax Payable, Current"</f>
        <v xml:space="preserve">                    Other Tax Payable, Current</v>
      </c>
      <c r="D101" s="17">
        <f t="shared" si="16"/>
        <v>4813</v>
      </c>
      <c r="E101" s="17">
        <f t="shared" si="17"/>
        <v>5292.5375666666669</v>
      </c>
      <c r="F101" s="17">
        <f t="shared" si="18"/>
        <v>2052.877</v>
      </c>
      <c r="G101" s="17">
        <f t="shared" si="19"/>
        <v>12400</v>
      </c>
      <c r="H101" s="17">
        <f t="shared" si="20"/>
        <v>3465</v>
      </c>
      <c r="I101" s="17">
        <f t="shared" si="21"/>
        <v>6255</v>
      </c>
      <c r="J101" s="17">
        <f t="shared" si="22"/>
        <v>2671.5210681034105</v>
      </c>
      <c r="K101" s="18">
        <f t="shared" si="23"/>
        <v>0.5047713000525722</v>
      </c>
      <c r="L101" s="21"/>
      <c r="M101" s="21">
        <v>7008</v>
      </c>
      <c r="N101" s="21">
        <v>11139.25</v>
      </c>
      <c r="O101" s="21">
        <v>12400</v>
      </c>
      <c r="P101" s="21">
        <v>6363</v>
      </c>
      <c r="Q101" s="21">
        <v>2731</v>
      </c>
      <c r="R101" s="21" t="s">
        <v>165</v>
      </c>
      <c r="S101" s="21">
        <v>2905</v>
      </c>
      <c r="T101" s="21">
        <v>7758</v>
      </c>
      <c r="U101" s="21" t="s">
        <v>165</v>
      </c>
      <c r="V101" s="21" t="s">
        <v>165</v>
      </c>
      <c r="W101" s="21" t="s">
        <v>165</v>
      </c>
      <c r="X101" s="21">
        <v>5931</v>
      </c>
      <c r="Y101" s="21">
        <v>7704</v>
      </c>
      <c r="Z101" s="21">
        <v>4599</v>
      </c>
      <c r="AA101" s="21">
        <v>3286</v>
      </c>
      <c r="AB101" s="21">
        <v>5281</v>
      </c>
      <c r="AC101" s="21">
        <v>4872</v>
      </c>
      <c r="AD101" s="21">
        <v>4371</v>
      </c>
      <c r="AE101" s="21">
        <v>4340</v>
      </c>
      <c r="AF101" s="21">
        <v>5359</v>
      </c>
      <c r="AG101" s="21">
        <v>5362</v>
      </c>
      <c r="AH101" s="21">
        <v>6502</v>
      </c>
      <c r="AI101" s="21">
        <v>4600</v>
      </c>
      <c r="AJ101" s="21">
        <v>5349</v>
      </c>
      <c r="AK101" s="21">
        <v>4859</v>
      </c>
      <c r="AL101" s="21">
        <v>4767</v>
      </c>
      <c r="AM101" s="21">
        <v>4002</v>
      </c>
      <c r="AN101" s="21">
        <v>4270</v>
      </c>
      <c r="AO101" s="21" t="s">
        <v>165</v>
      </c>
      <c r="AP101" s="21" t="s">
        <v>165</v>
      </c>
      <c r="AQ101" s="21" t="s">
        <v>165</v>
      </c>
      <c r="AR101" s="21">
        <v>11421</v>
      </c>
      <c r="AS101" s="21" t="s">
        <v>165</v>
      </c>
      <c r="AT101" s="21" t="s">
        <v>165</v>
      </c>
      <c r="AU101" s="21" t="s">
        <v>165</v>
      </c>
      <c r="AV101" s="21" t="s">
        <v>165</v>
      </c>
      <c r="AW101" s="21">
        <v>2119</v>
      </c>
      <c r="AX101" s="21">
        <v>2565</v>
      </c>
      <c r="AY101" s="21">
        <v>2652</v>
      </c>
      <c r="AZ101" s="21">
        <v>2208</v>
      </c>
      <c r="BA101" s="21">
        <v>2052.877</v>
      </c>
      <c r="BB101" s="21" t="s">
        <v>165</v>
      </c>
      <c r="BC101" s="21" t="s">
        <v>165</v>
      </c>
      <c r="BD101" s="21" t="s">
        <v>165</v>
      </c>
      <c r="BE101" s="21" t="s">
        <v>165</v>
      </c>
      <c r="BF101" s="21" t="s">
        <v>165</v>
      </c>
      <c r="BG101" s="21" t="s">
        <v>165</v>
      </c>
      <c r="BH101" s="21" t="s">
        <v>165</v>
      </c>
      <c r="BI101" s="21" t="s">
        <v>165</v>
      </c>
      <c r="BJ101" s="21" t="s">
        <v>165</v>
      </c>
      <c r="BK101" s="21" t="s">
        <v>165</v>
      </c>
      <c r="BL101" s="21" t="s">
        <v>165</v>
      </c>
      <c r="BM101" s="21" t="s">
        <v>165</v>
      </c>
      <c r="BN101" s="21" t="s">
        <v>165</v>
      </c>
      <c r="BO101" s="21" t="s">
        <v>165</v>
      </c>
      <c r="BP101" s="21" t="s">
        <v>165</v>
      </c>
      <c r="BQ101" s="21" t="s">
        <v>165</v>
      </c>
      <c r="BR101" s="21" t="s">
        <v>165</v>
      </c>
      <c r="BS101" s="21" t="s">
        <v>165</v>
      </c>
      <c r="BT101" s="21" t="s">
        <v>165</v>
      </c>
      <c r="BU101" s="21" t="s">
        <v>165</v>
      </c>
      <c r="BV101" s="21" t="s">
        <v>165</v>
      </c>
      <c r="BW101" s="21" t="s">
        <v>165</v>
      </c>
      <c r="BX101" s="21" t="s">
        <v>165</v>
      </c>
      <c r="BY101" s="21" t="s">
        <v>165</v>
      </c>
      <c r="BZ101" s="21" t="s">
        <v>165</v>
      </c>
      <c r="CA101" s="21" t="s">
        <v>165</v>
      </c>
      <c r="CB101" s="21" t="s">
        <v>165</v>
      </c>
      <c r="CC101" s="21" t="s">
        <v>165</v>
      </c>
      <c r="CD101" s="21" t="s">
        <v>165</v>
      </c>
      <c r="CE101" s="21" t="s">
        <v>165</v>
      </c>
      <c r="CG101" s="15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</row>
    <row r="102" spans="1:106" outlineLevel="5" x14ac:dyDescent="0.2">
      <c r="A102" s="14">
        <v>1</v>
      </c>
      <c r="C102" s="10" t="str">
        <f>"                    Total Taxes Payable, Current"</f>
        <v xml:space="preserve">                    Total Taxes Payable, Current</v>
      </c>
      <c r="D102" s="29">
        <f t="shared" si="16"/>
        <v>4872</v>
      </c>
      <c r="E102" s="29">
        <f t="shared" si="17"/>
        <v>6167.0910000000003</v>
      </c>
      <c r="F102" s="29">
        <f t="shared" si="18"/>
        <v>223</v>
      </c>
      <c r="G102" s="29">
        <f t="shared" si="19"/>
        <v>18652.5</v>
      </c>
      <c r="H102" s="29">
        <f t="shared" si="20"/>
        <v>3114</v>
      </c>
      <c r="I102" s="29">
        <f t="shared" si="21"/>
        <v>8484</v>
      </c>
      <c r="J102" s="29">
        <f t="shared" si="22"/>
        <v>4271.4589884512525</v>
      </c>
      <c r="K102" s="30">
        <f t="shared" si="23"/>
        <v>0.69262136531652485</v>
      </c>
      <c r="L102" s="31"/>
      <c r="M102" s="31">
        <v>9681</v>
      </c>
      <c r="N102" s="31">
        <v>17502.25</v>
      </c>
      <c r="O102" s="31">
        <v>18652.5</v>
      </c>
      <c r="P102" s="31">
        <v>3454.5</v>
      </c>
      <c r="Q102" s="31">
        <v>1958.25</v>
      </c>
      <c r="R102" s="31">
        <v>230</v>
      </c>
      <c r="S102" s="31">
        <v>3114</v>
      </c>
      <c r="T102" s="31">
        <v>8484</v>
      </c>
      <c r="U102" s="31">
        <v>2349</v>
      </c>
      <c r="V102" s="31">
        <v>223</v>
      </c>
      <c r="W102" s="31">
        <v>12995</v>
      </c>
      <c r="X102" s="31">
        <v>11891</v>
      </c>
      <c r="Y102" s="31">
        <v>9117</v>
      </c>
      <c r="Z102" s="31">
        <v>4599</v>
      </c>
      <c r="AA102" s="31">
        <v>8179</v>
      </c>
      <c r="AB102" s="31">
        <v>9505</v>
      </c>
      <c r="AC102" s="31">
        <v>4872</v>
      </c>
      <c r="AD102" s="31">
        <v>4371</v>
      </c>
      <c r="AE102" s="31">
        <v>8465</v>
      </c>
      <c r="AF102" s="31">
        <v>5359</v>
      </c>
      <c r="AG102" s="31">
        <v>5362</v>
      </c>
      <c r="AH102" s="31">
        <v>6502</v>
      </c>
      <c r="AI102" s="31">
        <v>4600</v>
      </c>
      <c r="AJ102" s="31">
        <v>5349</v>
      </c>
      <c r="AK102" s="31">
        <v>4859</v>
      </c>
      <c r="AL102" s="31">
        <v>4767</v>
      </c>
      <c r="AM102" s="31">
        <v>12150</v>
      </c>
      <c r="AN102" s="31">
        <v>4561</v>
      </c>
      <c r="AO102" s="31">
        <v>3421</v>
      </c>
      <c r="AP102" s="31">
        <v>3240</v>
      </c>
      <c r="AQ102" s="31">
        <v>10365</v>
      </c>
      <c r="AR102" s="31">
        <v>11421</v>
      </c>
      <c r="AS102" s="31">
        <v>2982</v>
      </c>
      <c r="AT102" s="31">
        <v>5761</v>
      </c>
      <c r="AU102" s="31">
        <v>1687</v>
      </c>
      <c r="AV102" s="31">
        <v>2529</v>
      </c>
      <c r="AW102" s="31">
        <v>2119</v>
      </c>
      <c r="AX102" s="31">
        <v>2565</v>
      </c>
      <c r="AY102" s="31">
        <v>5543</v>
      </c>
      <c r="AZ102" s="31">
        <v>4998</v>
      </c>
      <c r="BA102" s="31">
        <v>3068.2310000000002</v>
      </c>
      <c r="BB102" s="31" t="s">
        <v>165</v>
      </c>
      <c r="BC102" s="31" t="s">
        <v>165</v>
      </c>
      <c r="BD102" s="31" t="s">
        <v>165</v>
      </c>
      <c r="BE102" s="31" t="s">
        <v>165</v>
      </c>
      <c r="BF102" s="31" t="s">
        <v>165</v>
      </c>
      <c r="BG102" s="31" t="s">
        <v>165</v>
      </c>
      <c r="BH102" s="31" t="s">
        <v>165</v>
      </c>
      <c r="BI102" s="31" t="s">
        <v>165</v>
      </c>
      <c r="BJ102" s="31" t="s">
        <v>165</v>
      </c>
      <c r="BK102" s="31" t="s">
        <v>165</v>
      </c>
      <c r="BL102" s="31" t="s">
        <v>165</v>
      </c>
      <c r="BM102" s="31" t="s">
        <v>165</v>
      </c>
      <c r="BN102" s="31" t="s">
        <v>165</v>
      </c>
      <c r="BO102" s="31" t="s">
        <v>165</v>
      </c>
      <c r="BP102" s="31" t="s">
        <v>165</v>
      </c>
      <c r="BQ102" s="31" t="s">
        <v>165</v>
      </c>
      <c r="BR102" s="31" t="s">
        <v>165</v>
      </c>
      <c r="BS102" s="31" t="s">
        <v>165</v>
      </c>
      <c r="BT102" s="31" t="s">
        <v>165</v>
      </c>
      <c r="BU102" s="31" t="s">
        <v>165</v>
      </c>
      <c r="BV102" s="31" t="s">
        <v>165</v>
      </c>
      <c r="BW102" s="31" t="s">
        <v>165</v>
      </c>
      <c r="BX102" s="31" t="s">
        <v>165</v>
      </c>
      <c r="BY102" s="31" t="s">
        <v>165</v>
      </c>
      <c r="BZ102" s="31" t="s">
        <v>165</v>
      </c>
      <c r="CA102" s="31" t="s">
        <v>165</v>
      </c>
      <c r="CB102" s="31" t="s">
        <v>165</v>
      </c>
      <c r="CC102" s="31" t="s">
        <v>165</v>
      </c>
      <c r="CD102" s="31" t="s">
        <v>165</v>
      </c>
      <c r="CE102" s="31" t="s">
        <v>165</v>
      </c>
      <c r="CG102" s="15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</row>
    <row r="103" spans="1:106" outlineLevel="4" x14ac:dyDescent="0.2">
      <c r="A103" s="14">
        <v>1</v>
      </c>
      <c r="C103" s="10" t="str">
        <f>"                Total Trade and Other Payables, Current"</f>
        <v xml:space="preserve">                Total Trade and Other Payables, Current</v>
      </c>
      <c r="D103" s="29">
        <f t="shared" si="16"/>
        <v>26365.5</v>
      </c>
      <c r="E103" s="29">
        <f t="shared" si="17"/>
        <v>29554.413411764708</v>
      </c>
      <c r="F103" s="29">
        <f t="shared" si="18"/>
        <v>4839.634</v>
      </c>
      <c r="G103" s="29">
        <f t="shared" si="19"/>
        <v>70041.25</v>
      </c>
      <c r="H103" s="29">
        <f t="shared" si="20"/>
        <v>15763.615750000001</v>
      </c>
      <c r="I103" s="29">
        <f t="shared" si="21"/>
        <v>43184.25</v>
      </c>
      <c r="J103" s="29">
        <f t="shared" si="22"/>
        <v>16986.606959547578</v>
      </c>
      <c r="K103" s="30">
        <f t="shared" si="23"/>
        <v>0.57475703282900314</v>
      </c>
      <c r="L103" s="31"/>
      <c r="M103" s="31">
        <v>39723</v>
      </c>
      <c r="N103" s="31">
        <v>70041.25</v>
      </c>
      <c r="O103" s="31">
        <v>63313.25</v>
      </c>
      <c r="P103" s="31">
        <v>37690.5</v>
      </c>
      <c r="Q103" s="31">
        <v>37352.25</v>
      </c>
      <c r="R103" s="31">
        <v>45752</v>
      </c>
      <c r="S103" s="31">
        <v>43483</v>
      </c>
      <c r="T103" s="31">
        <v>63292</v>
      </c>
      <c r="U103" s="31">
        <v>57927</v>
      </c>
      <c r="V103" s="31">
        <v>52990</v>
      </c>
      <c r="W103" s="31">
        <v>59748</v>
      </c>
      <c r="X103" s="31">
        <v>58622</v>
      </c>
      <c r="Y103" s="31">
        <v>44405</v>
      </c>
      <c r="Z103" s="31">
        <v>35937</v>
      </c>
      <c r="AA103" s="31">
        <v>43131</v>
      </c>
      <c r="AB103" s="31">
        <v>45227</v>
      </c>
      <c r="AC103" s="31">
        <v>25738</v>
      </c>
      <c r="AD103" s="31">
        <v>28223</v>
      </c>
      <c r="AE103" s="31">
        <v>44339</v>
      </c>
      <c r="AF103" s="31">
        <v>45241</v>
      </c>
      <c r="AG103" s="31">
        <v>51501</v>
      </c>
      <c r="AH103" s="31">
        <v>54537</v>
      </c>
      <c r="AI103" s="31">
        <v>38849</v>
      </c>
      <c r="AJ103" s="31">
        <v>38111</v>
      </c>
      <c r="AK103" s="31">
        <v>29769</v>
      </c>
      <c r="AL103" s="31">
        <v>30988</v>
      </c>
      <c r="AM103" s="31">
        <v>38005</v>
      </c>
      <c r="AN103" s="31">
        <v>34962</v>
      </c>
      <c r="AO103" s="31">
        <v>29818</v>
      </c>
      <c r="AP103" s="31">
        <v>35216</v>
      </c>
      <c r="AQ103" s="31">
        <v>43344</v>
      </c>
      <c r="AR103" s="31">
        <v>53115</v>
      </c>
      <c r="AS103" s="31">
        <v>24105</v>
      </c>
      <c r="AT103" s="31">
        <v>32623</v>
      </c>
      <c r="AU103" s="31">
        <v>26007</v>
      </c>
      <c r="AV103" s="31">
        <v>32979</v>
      </c>
      <c r="AW103" s="31">
        <v>20259</v>
      </c>
      <c r="AX103" s="31">
        <v>21669</v>
      </c>
      <c r="AY103" s="31">
        <v>26724</v>
      </c>
      <c r="AZ103" s="31">
        <v>26007</v>
      </c>
      <c r="BA103" s="31">
        <v>17639.22</v>
      </c>
      <c r="BB103" s="31">
        <v>20138.023000000001</v>
      </c>
      <c r="BC103" s="31">
        <v>15831.108</v>
      </c>
      <c r="BD103" s="31">
        <v>21995.705000000002</v>
      </c>
      <c r="BE103" s="31">
        <v>18904.909</v>
      </c>
      <c r="BF103" s="31">
        <v>22067.239000000001</v>
      </c>
      <c r="BG103" s="31">
        <v>19807.043000000001</v>
      </c>
      <c r="BH103" s="31">
        <v>21088.621999999999</v>
      </c>
      <c r="BI103" s="31">
        <v>15561.138999999999</v>
      </c>
      <c r="BJ103" s="31">
        <v>11428.999</v>
      </c>
      <c r="BK103" s="31">
        <v>13463.406999999999</v>
      </c>
      <c r="BL103" s="31">
        <v>13560.027</v>
      </c>
      <c r="BM103" s="31">
        <v>9143.3420000000006</v>
      </c>
      <c r="BN103" s="31">
        <v>10605.985000000001</v>
      </c>
      <c r="BO103" s="31">
        <v>8852.6370000000006</v>
      </c>
      <c r="BP103" s="31">
        <v>12034.691999999999</v>
      </c>
      <c r="BQ103" s="31">
        <v>10754.523999999999</v>
      </c>
      <c r="BR103" s="31">
        <v>8580.1029999999992</v>
      </c>
      <c r="BS103" s="31">
        <v>7375.7129999999997</v>
      </c>
      <c r="BT103" s="31">
        <v>9608.9750000000004</v>
      </c>
      <c r="BU103" s="31">
        <v>4950.8590000000004</v>
      </c>
      <c r="BV103" s="31">
        <v>6137.6670000000004</v>
      </c>
      <c r="BW103" s="31">
        <v>4839.634</v>
      </c>
      <c r="BX103" s="31">
        <v>8009.5129999999999</v>
      </c>
      <c r="BY103" s="31">
        <v>19104.999</v>
      </c>
      <c r="BZ103" s="31">
        <v>20527.885999999999</v>
      </c>
      <c r="CA103" s="31">
        <v>19969.756000000001</v>
      </c>
      <c r="CB103" s="31">
        <v>6955.1360000000004</v>
      </c>
      <c r="CC103" s="31" t="s">
        <v>165</v>
      </c>
      <c r="CD103" s="31" t="s">
        <v>165</v>
      </c>
      <c r="CE103" s="31" t="s">
        <v>165</v>
      </c>
      <c r="CG103" s="15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</row>
    <row r="104" spans="1:106" outlineLevel="3" x14ac:dyDescent="0.2">
      <c r="A104" s="14">
        <v>1</v>
      </c>
      <c r="C104" s="9" t="str">
        <f>"            Accrued Expenses, Current"</f>
        <v xml:space="preserve">            Accrued Expenses, Current</v>
      </c>
      <c r="D104" s="17">
        <f t="shared" si="16"/>
        <v>33696</v>
      </c>
      <c r="E104" s="17">
        <f t="shared" si="17"/>
        <v>33447.915176470589</v>
      </c>
      <c r="F104" s="17">
        <f t="shared" si="18"/>
        <v>34.040999999999997</v>
      </c>
      <c r="G104" s="17">
        <f t="shared" si="19"/>
        <v>76057</v>
      </c>
      <c r="H104" s="17">
        <f t="shared" si="20"/>
        <v>17655.967250000002</v>
      </c>
      <c r="I104" s="17">
        <f t="shared" si="21"/>
        <v>41913.25</v>
      </c>
      <c r="J104" s="17">
        <f t="shared" si="22"/>
        <v>16886.153710616505</v>
      </c>
      <c r="K104" s="18">
        <f t="shared" si="23"/>
        <v>0.50484921471264999</v>
      </c>
      <c r="L104" s="21"/>
      <c r="M104" s="21">
        <v>42865</v>
      </c>
      <c r="N104" s="21">
        <v>41255.5</v>
      </c>
      <c r="O104" s="21">
        <v>39248.5</v>
      </c>
      <c r="P104" s="21">
        <v>48927</v>
      </c>
      <c r="Q104" s="21">
        <v>49920.5</v>
      </c>
      <c r="R104" s="21">
        <v>54716</v>
      </c>
      <c r="S104" s="21">
        <v>63564</v>
      </c>
      <c r="T104" s="21">
        <v>76057</v>
      </c>
      <c r="U104" s="21">
        <v>70311</v>
      </c>
      <c r="V104" s="21">
        <v>61475</v>
      </c>
      <c r="W104" s="21">
        <v>60418</v>
      </c>
      <c r="X104" s="21">
        <v>51889</v>
      </c>
      <c r="Y104" s="21">
        <v>50184</v>
      </c>
      <c r="Z104" s="21">
        <v>44007</v>
      </c>
      <c r="AA104" s="21">
        <v>39648</v>
      </c>
      <c r="AB104" s="21">
        <v>32223</v>
      </c>
      <c r="AC104" s="21">
        <v>33462</v>
      </c>
      <c r="AD104" s="21">
        <v>30796</v>
      </c>
      <c r="AE104" s="21">
        <v>41224</v>
      </c>
      <c r="AF104" s="21">
        <v>44238</v>
      </c>
      <c r="AG104" s="21">
        <v>32589</v>
      </c>
      <c r="AH104" s="21">
        <v>32633</v>
      </c>
      <c r="AI104" s="21">
        <v>39836</v>
      </c>
      <c r="AJ104" s="21">
        <v>41124</v>
      </c>
      <c r="AK104" s="21">
        <v>34768</v>
      </c>
      <c r="AL104" s="21">
        <v>35596</v>
      </c>
      <c r="AM104" s="21">
        <v>38517</v>
      </c>
      <c r="AN104" s="21">
        <v>39604</v>
      </c>
      <c r="AO104" s="21">
        <v>31262</v>
      </c>
      <c r="AP104" s="21">
        <v>35973</v>
      </c>
      <c r="AQ104" s="21">
        <v>37861</v>
      </c>
      <c r="AR104" s="21">
        <v>33930</v>
      </c>
      <c r="AS104" s="21">
        <v>38349</v>
      </c>
      <c r="AT104" s="21">
        <v>41596</v>
      </c>
      <c r="AU104" s="21">
        <v>58001</v>
      </c>
      <c r="AV104" s="21">
        <v>61204</v>
      </c>
      <c r="AW104" s="21">
        <v>39397</v>
      </c>
      <c r="AX104" s="21">
        <v>43817</v>
      </c>
      <c r="AY104" s="21">
        <v>46530</v>
      </c>
      <c r="AZ104" s="21">
        <v>38981</v>
      </c>
      <c r="BA104" s="21">
        <v>31943.383000000002</v>
      </c>
      <c r="BB104" s="21">
        <v>31722.621999999999</v>
      </c>
      <c r="BC104" s="21">
        <v>30347.845000000001</v>
      </c>
      <c r="BD104" s="21">
        <v>32321.159</v>
      </c>
      <c r="BE104" s="21">
        <v>28209.453000000001</v>
      </c>
      <c r="BF104" s="21">
        <v>25772.114000000001</v>
      </c>
      <c r="BG104" s="21">
        <v>26185.538</v>
      </c>
      <c r="BH104" s="21">
        <v>31781.947</v>
      </c>
      <c r="BI104" s="21">
        <v>25381.455999999998</v>
      </c>
      <c r="BJ104" s="21">
        <v>16263.548000000001</v>
      </c>
      <c r="BK104" s="21">
        <v>15145.468999999999</v>
      </c>
      <c r="BL104" s="21">
        <v>16439.255000000001</v>
      </c>
      <c r="BM104" s="21">
        <v>13878.028</v>
      </c>
      <c r="BN104" s="21">
        <v>13024.069</v>
      </c>
      <c r="BO104" s="21">
        <v>15048.64</v>
      </c>
      <c r="BP104" s="21">
        <v>14173.484</v>
      </c>
      <c r="BQ104" s="21">
        <v>12966.471</v>
      </c>
      <c r="BR104" s="21">
        <v>13579.777</v>
      </c>
      <c r="BS104" s="21">
        <v>12094.16</v>
      </c>
      <c r="BT104" s="21">
        <v>15781.02</v>
      </c>
      <c r="BU104" s="21">
        <v>16077.188</v>
      </c>
      <c r="BV104" s="21">
        <v>19850.208999999999</v>
      </c>
      <c r="BW104" s="21">
        <v>18061.538</v>
      </c>
      <c r="BX104" s="21">
        <v>12127.323</v>
      </c>
      <c r="BY104" s="21" t="s">
        <v>165</v>
      </c>
      <c r="BZ104" s="21" t="s">
        <v>165</v>
      </c>
      <c r="CA104" s="21" t="s">
        <v>165</v>
      </c>
      <c r="CB104" s="21">
        <v>7999.45</v>
      </c>
      <c r="CC104" s="21">
        <v>131.43100000000001</v>
      </c>
      <c r="CD104" s="21">
        <v>121.114</v>
      </c>
      <c r="CE104" s="21">
        <v>34.040999999999997</v>
      </c>
      <c r="CG104" s="15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</row>
    <row r="105" spans="1:106" outlineLevel="3" x14ac:dyDescent="0.2">
      <c r="A105" s="14">
        <v>1</v>
      </c>
      <c r="C105" s="10" t="str">
        <f>"            Total Payables and Accrued Expenses, Current"</f>
        <v xml:space="preserve">            Total Payables and Accrued Expenses, Current</v>
      </c>
      <c r="D105" s="29">
        <f t="shared" si="16"/>
        <v>62454</v>
      </c>
      <c r="E105" s="29">
        <f t="shared" si="17"/>
        <v>60340.258366197188</v>
      </c>
      <c r="F105" s="29">
        <f t="shared" si="18"/>
        <v>34.040999999999997</v>
      </c>
      <c r="G105" s="29">
        <f t="shared" si="19"/>
        <v>139349</v>
      </c>
      <c r="H105" s="29">
        <f t="shared" si="20"/>
        <v>26098.025999999998</v>
      </c>
      <c r="I105" s="29">
        <f t="shared" si="21"/>
        <v>84049</v>
      </c>
      <c r="J105" s="29">
        <f t="shared" si="22"/>
        <v>33509.520686478667</v>
      </c>
      <c r="K105" s="30">
        <f t="shared" si="23"/>
        <v>0.55534267823504735</v>
      </c>
      <c r="L105" s="31"/>
      <c r="M105" s="31">
        <v>82588</v>
      </c>
      <c r="N105" s="31">
        <v>111296.75</v>
      </c>
      <c r="O105" s="31">
        <v>102561.75</v>
      </c>
      <c r="P105" s="31">
        <v>86617.5</v>
      </c>
      <c r="Q105" s="31">
        <v>87272.75</v>
      </c>
      <c r="R105" s="31">
        <v>100468</v>
      </c>
      <c r="S105" s="31">
        <v>107047</v>
      </c>
      <c r="T105" s="31">
        <v>139349</v>
      </c>
      <c r="U105" s="31">
        <v>128238</v>
      </c>
      <c r="V105" s="31">
        <v>114465</v>
      </c>
      <c r="W105" s="31">
        <v>120166</v>
      </c>
      <c r="X105" s="31">
        <v>110511</v>
      </c>
      <c r="Y105" s="31">
        <v>94589</v>
      </c>
      <c r="Z105" s="31">
        <v>79944</v>
      </c>
      <c r="AA105" s="31">
        <v>82779</v>
      </c>
      <c r="AB105" s="31">
        <v>77450</v>
      </c>
      <c r="AC105" s="31">
        <v>59200</v>
      </c>
      <c r="AD105" s="31">
        <v>59019</v>
      </c>
      <c r="AE105" s="31">
        <v>85563</v>
      </c>
      <c r="AF105" s="31">
        <v>89479</v>
      </c>
      <c r="AG105" s="31">
        <v>84090</v>
      </c>
      <c r="AH105" s="31">
        <v>87170</v>
      </c>
      <c r="AI105" s="31">
        <v>78685</v>
      </c>
      <c r="AJ105" s="31">
        <v>79235</v>
      </c>
      <c r="AK105" s="31">
        <v>64537</v>
      </c>
      <c r="AL105" s="31">
        <v>66584</v>
      </c>
      <c r="AM105" s="31">
        <v>76522</v>
      </c>
      <c r="AN105" s="31">
        <v>74566</v>
      </c>
      <c r="AO105" s="31">
        <v>61080</v>
      </c>
      <c r="AP105" s="31">
        <v>71189</v>
      </c>
      <c r="AQ105" s="31">
        <v>81205</v>
      </c>
      <c r="AR105" s="31">
        <v>87045</v>
      </c>
      <c r="AS105" s="31">
        <v>62454</v>
      </c>
      <c r="AT105" s="31">
        <v>74219</v>
      </c>
      <c r="AU105" s="31">
        <v>84008</v>
      </c>
      <c r="AV105" s="31">
        <v>94183</v>
      </c>
      <c r="AW105" s="31">
        <v>59656</v>
      </c>
      <c r="AX105" s="31">
        <v>65486</v>
      </c>
      <c r="AY105" s="31">
        <v>73254</v>
      </c>
      <c r="AZ105" s="31">
        <v>64988</v>
      </c>
      <c r="BA105" s="31">
        <v>49582.603000000003</v>
      </c>
      <c r="BB105" s="31">
        <v>51860.644999999997</v>
      </c>
      <c r="BC105" s="31">
        <v>46178.953000000001</v>
      </c>
      <c r="BD105" s="31">
        <v>54316.864000000001</v>
      </c>
      <c r="BE105" s="31">
        <v>47114.362000000001</v>
      </c>
      <c r="BF105" s="31">
        <v>47839.353000000003</v>
      </c>
      <c r="BG105" s="31">
        <v>45992.580999999998</v>
      </c>
      <c r="BH105" s="31">
        <v>52870.569000000003</v>
      </c>
      <c r="BI105" s="31">
        <v>40942.595000000001</v>
      </c>
      <c r="BJ105" s="31">
        <v>27692.546999999999</v>
      </c>
      <c r="BK105" s="31">
        <v>28608.876</v>
      </c>
      <c r="BL105" s="31">
        <v>29999.281999999999</v>
      </c>
      <c r="BM105" s="31">
        <v>23021.37</v>
      </c>
      <c r="BN105" s="31">
        <v>23630.054</v>
      </c>
      <c r="BO105" s="31">
        <v>23901.276999999998</v>
      </c>
      <c r="BP105" s="31">
        <v>26208.175999999999</v>
      </c>
      <c r="BQ105" s="31">
        <v>23720.994999999999</v>
      </c>
      <c r="BR105" s="31">
        <v>22159.88</v>
      </c>
      <c r="BS105" s="31">
        <v>19469.873</v>
      </c>
      <c r="BT105" s="31">
        <v>25389.994999999999</v>
      </c>
      <c r="BU105" s="31">
        <v>21028.046999999999</v>
      </c>
      <c r="BV105" s="31">
        <v>25987.876</v>
      </c>
      <c r="BW105" s="31">
        <v>22901.171999999999</v>
      </c>
      <c r="BX105" s="31">
        <v>20136.835999999999</v>
      </c>
      <c r="BY105" s="31">
        <v>19104.999</v>
      </c>
      <c r="BZ105" s="31">
        <v>20527.885999999999</v>
      </c>
      <c r="CA105" s="31">
        <v>19969.756000000001</v>
      </c>
      <c r="CB105" s="31">
        <v>14954.585999999999</v>
      </c>
      <c r="CC105" s="31">
        <v>131.43100000000001</v>
      </c>
      <c r="CD105" s="31">
        <v>121.114</v>
      </c>
      <c r="CE105" s="31">
        <v>34.040999999999997</v>
      </c>
      <c r="CG105" s="15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</row>
    <row r="106" spans="1:106" outlineLevel="2" x14ac:dyDescent="0.2">
      <c r="A106" s="14">
        <v>1</v>
      </c>
      <c r="C106" s="9" t="str">
        <f>IF(SUBTOTAL(109,A106)=A106,"        Financial Liabilities, Current","        Financial Liabilities, Current")</f>
        <v xml:space="preserve">        Financial Liabilities, Current</v>
      </c>
      <c r="D106" s="17" t="str">
        <f t="shared" si="16"/>
        <v/>
      </c>
      <c r="E106" s="17" t="str">
        <f t="shared" si="17"/>
        <v/>
      </c>
      <c r="F106" s="17" t="str">
        <f t="shared" si="18"/>
        <v/>
      </c>
      <c r="G106" s="17" t="str">
        <f t="shared" si="19"/>
        <v/>
      </c>
      <c r="H106" s="17" t="str">
        <f t="shared" si="20"/>
        <v/>
      </c>
      <c r="I106" s="17" t="str">
        <f t="shared" si="21"/>
        <v/>
      </c>
      <c r="J106" s="17" t="str">
        <f t="shared" si="22"/>
        <v/>
      </c>
      <c r="K106" s="18" t="str">
        <f t="shared" si="23"/>
        <v/>
      </c>
      <c r="L106" s="21"/>
      <c r="M106" s="21" t="str">
        <f>IF(SUBTOTAL(109,A106)=A106,"",2653)</f>
        <v/>
      </c>
      <c r="N106" s="21"/>
      <c r="O106" s="21"/>
      <c r="P106" s="21"/>
      <c r="Q106" s="21"/>
      <c r="R106" s="21" t="str">
        <f>IF(SUBTOTAL(109,A106)=A106,"",81300)</f>
        <v/>
      </c>
      <c r="S106" s="21" t="str">
        <f>IF(SUBTOTAL(109,A106)=A106,"",81904)</f>
        <v/>
      </c>
      <c r="T106" s="21" t="str">
        <f>IF(SUBTOTAL(109,A106)=A106,"",7322)</f>
        <v/>
      </c>
      <c r="U106" s="21" t="str">
        <f>IF(SUBTOTAL(109,A106)=A106,"",6300)</f>
        <v/>
      </c>
      <c r="V106" s="21" t="str">
        <f>IF(SUBTOTAL(109,A106)=A106,"",6300)</f>
        <v/>
      </c>
      <c r="W106" s="21" t="str">
        <f>IF(SUBTOTAL(109,A106)=A106,"",6300)</f>
        <v/>
      </c>
      <c r="X106" s="21" t="str">
        <f>IF(SUBTOTAL(109,A106)=A106,"",7755)</f>
        <v/>
      </c>
      <c r="Y106" s="21" t="str">
        <f>IF(SUBTOTAL(109,A106)=A106,"",6300)</f>
        <v/>
      </c>
      <c r="Z106" s="21" t="str">
        <f>IF(SUBTOTAL(109,A106)=A106,"",6300)</f>
        <v/>
      </c>
      <c r="AA106" s="21" t="str">
        <f>IF(SUBTOTAL(109,A106)=A106,"",6300)</f>
        <v/>
      </c>
      <c r="AB106" s="21" t="str">
        <f>IF(SUBTOTAL(109,A106)=A106,"",496)</f>
        <v/>
      </c>
      <c r="AC106" s="21" t="str">
        <f>IF(SUBTOTAL(109,A106)=A106,"","")</f>
        <v/>
      </c>
      <c r="AD106" s="21" t="str">
        <f>IF(SUBTOTAL(109,A106)=A106,"","")</f>
        <v/>
      </c>
      <c r="AE106" s="21" t="str">
        <f>IF(SUBTOTAL(109,A106)=A106,"","")</f>
        <v/>
      </c>
      <c r="AF106" s="21" t="str">
        <f>IF(SUBTOTAL(109,A106)=A106,"","")</f>
        <v/>
      </c>
      <c r="AG106" s="21" t="str">
        <f>IF(SUBTOTAL(109,A106)=A106,"",781)</f>
        <v/>
      </c>
      <c r="AH106" s="21" t="str">
        <f>IF(SUBTOTAL(109,A106)=A106,"",1243)</f>
        <v/>
      </c>
      <c r="AI106" s="21" t="str">
        <f>IF(SUBTOTAL(109,A106)=A106,"",1718)</f>
        <v/>
      </c>
      <c r="AJ106" s="21" t="str">
        <f>IF(SUBTOTAL(109,A106)=A106,"",442)</f>
        <v/>
      </c>
      <c r="AK106" s="21" t="str">
        <f>IF(SUBTOTAL(109,A106)=A106,"",436)</f>
        <v/>
      </c>
      <c r="AL106" s="21" t="str">
        <f>IF(SUBTOTAL(109,A106)=A106,"",1219)</f>
        <v/>
      </c>
      <c r="AM106" s="21" t="str">
        <f>IF(SUBTOTAL(109,A106)=A106,"",1695)</f>
        <v/>
      </c>
      <c r="AN106" s="21" t="str">
        <f>IF(SUBTOTAL(109,A106)=A106,"",418)</f>
        <v/>
      </c>
      <c r="AO106" s="21" t="str">
        <f>IF(SUBTOTAL(109,A106)=A106,"",0)</f>
        <v/>
      </c>
      <c r="AP106" s="21" t="str">
        <f>IF(SUBTOTAL(109,A106)=A106,"",30542)</f>
        <v/>
      </c>
      <c r="AQ106" s="21" t="str">
        <f>IF(SUBTOTAL(109,A106)=A106,"",31111)</f>
        <v/>
      </c>
      <c r="AR106" s="21" t="str">
        <f>IF(SUBTOTAL(109,A106)=A106,"",30000)</f>
        <v/>
      </c>
      <c r="AS106" s="21" t="str">
        <f>IF(SUBTOTAL(109,A106)=A106,"",30275)</f>
        <v/>
      </c>
      <c r="AT106" s="21" t="str">
        <f>IF(SUBTOTAL(109,A106)=A106,"",685)</f>
        <v/>
      </c>
      <c r="AU106" s="21" t="str">
        <f>IF(SUBTOTAL(109,A106)=A106,"",1094)</f>
        <v/>
      </c>
      <c r="AV106" s="21" t="str">
        <f>IF(SUBTOTAL(109,A106)=A106,"",0)</f>
        <v/>
      </c>
      <c r="AW106" s="21" t="str">
        <f>IF(SUBTOTAL(109,A106)=A106,"",540)</f>
        <v/>
      </c>
      <c r="AX106" s="21" t="str">
        <f>IF(SUBTOTAL(109,A106)=A106,"",3592)</f>
        <v/>
      </c>
      <c r="AY106" s="21" t="str">
        <f>IF(SUBTOTAL(109,A106)=A106,"",4492)</f>
        <v/>
      </c>
      <c r="AZ106" s="21" t="str">
        <f>IF(SUBTOTAL(109,A106)=A106,"",2378)</f>
        <v/>
      </c>
      <c r="BA106" s="21" t="str">
        <f>IF(SUBTOTAL(109,A106)=A106,"",3362.265)</f>
        <v/>
      </c>
      <c r="BB106" s="21" t="str">
        <f>IF(SUBTOTAL(109,A106)=A106,"",5586.794)</f>
        <v/>
      </c>
      <c r="BC106" s="21" t="str">
        <f>IF(SUBTOTAL(109,A106)=A106,"",23005.442)</f>
        <v/>
      </c>
      <c r="BD106" s="21" t="str">
        <f>IF(SUBTOTAL(109,A106)=A106,"",8919.64)</f>
        <v/>
      </c>
      <c r="BE106" s="21" t="str">
        <f>IF(SUBTOTAL(109,A106)=A106,"",22057.359)</f>
        <v/>
      </c>
      <c r="BF106" s="21" t="str">
        <f>IF(SUBTOTAL(109,A106)=A106,"",15652.733)</f>
        <v/>
      </c>
      <c r="BG106" s="21" t="str">
        <f>IF(SUBTOTAL(109,A106)=A106,"",14792.758)</f>
        <v/>
      </c>
      <c r="BH106" s="21" t="str">
        <f>IF(SUBTOTAL(109,A106)=A106,"",2887.403)</f>
        <v/>
      </c>
      <c r="BI106" s="21" t="str">
        <f>IF(SUBTOTAL(109,A106)=A106,"",1773.526)</f>
        <v/>
      </c>
      <c r="BJ106" s="21" t="str">
        <f>IF(SUBTOTAL(109,A106)=A106,"",6245.335)</f>
        <v/>
      </c>
      <c r="BK106" s="21" t="str">
        <f>IF(SUBTOTAL(109,A106)=A106,"",4717.593)</f>
        <v/>
      </c>
      <c r="BL106" s="21" t="str">
        <f>IF(SUBTOTAL(109,A106)=A106,"",1690.584)</f>
        <v/>
      </c>
      <c r="BM106" s="21" t="str">
        <f>IF(SUBTOTAL(109,A106)=A106,"",4164.292)</f>
        <v/>
      </c>
      <c r="BN106" s="21" t="str">
        <f>IF(SUBTOTAL(109,A106)=A106,"",6137.839)</f>
        <v/>
      </c>
      <c r="BO106" s="21" t="str">
        <f>IF(SUBTOTAL(109,A106)=A106,"",4111.807)</f>
        <v/>
      </c>
      <c r="BP106" s="21" t="str">
        <f>IF(SUBTOTAL(109,A106)=A106,"",1586.464)</f>
        <v/>
      </c>
      <c r="BQ106" s="21" t="str">
        <f>IF(SUBTOTAL(109,A106)=A106,"",1561.79)</f>
        <v/>
      </c>
      <c r="BR106" s="21" t="str">
        <f>IF(SUBTOTAL(109,A106)=A106,"",4206.744)</f>
        <v/>
      </c>
      <c r="BS106" s="21" t="str">
        <f>IF(SUBTOTAL(109,A106)=A106,"",4122.136)</f>
        <v/>
      </c>
      <c r="BT106" s="21" t="str">
        <f>IF(SUBTOTAL(109,A106)=A106,"",4039.456)</f>
        <v/>
      </c>
      <c r="BU106" s="21" t="str">
        <f>IF(SUBTOTAL(109,A106)=A106,"",3094.156)</f>
        <v/>
      </c>
      <c r="BV106" s="21" t="str">
        <f>IF(SUBTOTAL(109,A106)=A106,"",2073.252)</f>
        <v/>
      </c>
      <c r="BW106" s="21" t="str">
        <f>IF(SUBTOTAL(109,A106)=A106,"",1072.766)</f>
        <v/>
      </c>
      <c r="BX106" s="21" t="str">
        <f>IF(SUBTOTAL(109,A106)=A106,"",92.278)</f>
        <v/>
      </c>
      <c r="BY106" s="21" t="str">
        <f>IF(SUBTOTAL(109,A106)=A106,"","")</f>
        <v/>
      </c>
      <c r="BZ106" s="21" t="str">
        <f>IF(SUBTOTAL(109,A106)=A106,"","")</f>
        <v/>
      </c>
      <c r="CA106" s="21" t="str">
        <f>IF(SUBTOTAL(109,A106)=A106,"","")</f>
        <v/>
      </c>
      <c r="CB106" s="21" t="str">
        <f>IF(SUBTOTAL(109,A106)=A106,"",357.425)</f>
        <v/>
      </c>
      <c r="CC106" s="21" t="str">
        <f>IF(SUBTOTAL(109,A106)=A106,"",500)</f>
        <v/>
      </c>
      <c r="CD106" s="21" t="str">
        <f>IF(SUBTOTAL(109,A106)=A106,"","")</f>
        <v/>
      </c>
      <c r="CE106" s="21" t="str">
        <f>IF(SUBTOTAL(109,A106)=A106,"","")</f>
        <v/>
      </c>
      <c r="CG106" s="15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</row>
    <row r="107" spans="1:106" outlineLevel="3" x14ac:dyDescent="0.2">
      <c r="A107" s="14">
        <v>1</v>
      </c>
      <c r="C107" s="9" t="str">
        <f>IF(SUBTOTAL(109,A107)=A107,"            Current Debt and Capital Lease Obligation","            Current Debt and Capital Lease Obligation")</f>
        <v xml:space="preserve">            Current Debt and Capital Lease Obligation</v>
      </c>
      <c r="D107" s="17" t="str">
        <f t="shared" ref="D107:D138" si="24">IF(COUNT(M107:CE107)&gt;0,MEDIAN(M107:CE107),"")</f>
        <v/>
      </c>
      <c r="E107" s="17" t="str">
        <f t="shared" ref="E107:E138" si="25">IF(COUNT(M107:CE107)&gt;0,AVERAGE(M107:CE107),"")</f>
        <v/>
      </c>
      <c r="F107" s="17" t="str">
        <f t="shared" ref="F107:F138" si="26">IF(COUNT(M107:CE107)&gt;0,MIN(M107:CE107),"")</f>
        <v/>
      </c>
      <c r="G107" s="17" t="str">
        <f t="shared" ref="G107:G138" si="27">IF(COUNT(M107:CE107)&gt;0,MAX(M107:CE107),"")</f>
        <v/>
      </c>
      <c r="H107" s="17" t="str">
        <f t="shared" ref="H107:H138" si="28">IF(COUNT(M107:CE107)&gt;0,QUARTILE(M107:CE107,1),"")</f>
        <v/>
      </c>
      <c r="I107" s="17" t="str">
        <f t="shared" ref="I107:I138" si="29">IF(COUNT(M107:CE107)&gt;0,QUARTILE(M107:CE107,3),"")</f>
        <v/>
      </c>
      <c r="J107" s="17" t="str">
        <f t="shared" ref="J107:J138" si="30">IF(COUNT(M107:CE107)&gt;1,STDEV(M107:CE107),"")</f>
        <v/>
      </c>
      <c r="K107" s="18" t="str">
        <f t="shared" ref="K107:K138" si="31">IF(COUNT(M107:CE107)&gt;1,STDEV(M107:CE107)/AVERAGE(M107:CE107),"")</f>
        <v/>
      </c>
      <c r="L107" s="21"/>
      <c r="M107" s="21" t="str">
        <f>IF(SUBTOTAL(109,A107)=A107,"",2653)</f>
        <v/>
      </c>
      <c r="N107" s="21"/>
      <c r="O107" s="21"/>
      <c r="P107" s="21"/>
      <c r="Q107" s="21"/>
      <c r="R107" s="21" t="str">
        <f>IF(SUBTOTAL(109,A107)=A107,"",81300)</f>
        <v/>
      </c>
      <c r="S107" s="21" t="str">
        <f>IF(SUBTOTAL(109,A107)=A107,"",81904)</f>
        <v/>
      </c>
      <c r="T107" s="21" t="str">
        <f>IF(SUBTOTAL(109,A107)=A107,"",7322)</f>
        <v/>
      </c>
      <c r="U107" s="21" t="str">
        <f>IF(SUBTOTAL(109,A107)=A107,"",6300)</f>
        <v/>
      </c>
      <c r="V107" s="21" t="str">
        <f>IF(SUBTOTAL(109,A107)=A107,"",6300)</f>
        <v/>
      </c>
      <c r="W107" s="21" t="str">
        <f>IF(SUBTOTAL(109,A107)=A107,"",6300)</f>
        <v/>
      </c>
      <c r="X107" s="21" t="str">
        <f>IF(SUBTOTAL(109,A107)=A107,"",7755)</f>
        <v/>
      </c>
      <c r="Y107" s="21" t="str">
        <f>IF(SUBTOTAL(109,A107)=A107,"",6300)</f>
        <v/>
      </c>
      <c r="Z107" s="21" t="str">
        <f>IF(SUBTOTAL(109,A107)=A107,"",6300)</f>
        <v/>
      </c>
      <c r="AA107" s="21" t="str">
        <f>IF(SUBTOTAL(109,A107)=A107,"",6300)</f>
        <v/>
      </c>
      <c r="AB107" s="21" t="str">
        <f>IF(SUBTOTAL(109,A107)=A107,"",496)</f>
        <v/>
      </c>
      <c r="AC107" s="21" t="str">
        <f>IF(SUBTOTAL(109,A107)=A107,"","")</f>
        <v/>
      </c>
      <c r="AD107" s="21" t="str">
        <f>IF(SUBTOTAL(109,A107)=A107,"","")</f>
        <v/>
      </c>
      <c r="AE107" s="21" t="str">
        <f>IF(SUBTOTAL(109,A107)=A107,"","")</f>
        <v/>
      </c>
      <c r="AF107" s="21" t="str">
        <f>IF(SUBTOTAL(109,A107)=A107,"","")</f>
        <v/>
      </c>
      <c r="AG107" s="21" t="str">
        <f>IF(SUBTOTAL(109,A107)=A107,"",781)</f>
        <v/>
      </c>
      <c r="AH107" s="21" t="str">
        <f>IF(SUBTOTAL(109,A107)=A107,"",1243)</f>
        <v/>
      </c>
      <c r="AI107" s="21" t="str">
        <f>IF(SUBTOTAL(109,A107)=A107,"",1718)</f>
        <v/>
      </c>
      <c r="AJ107" s="21" t="str">
        <f>IF(SUBTOTAL(109,A107)=A107,"",442)</f>
        <v/>
      </c>
      <c r="AK107" s="21" t="str">
        <f>IF(SUBTOTAL(109,A107)=A107,"",436)</f>
        <v/>
      </c>
      <c r="AL107" s="21" t="str">
        <f>IF(SUBTOTAL(109,A107)=A107,"",1219)</f>
        <v/>
      </c>
      <c r="AM107" s="21" t="str">
        <f>IF(SUBTOTAL(109,A107)=A107,"",1695)</f>
        <v/>
      </c>
      <c r="AN107" s="21" t="str">
        <f>IF(SUBTOTAL(109,A107)=A107,"",418)</f>
        <v/>
      </c>
      <c r="AO107" s="21" t="str">
        <f>IF(SUBTOTAL(109,A107)=A107,"",0)</f>
        <v/>
      </c>
      <c r="AP107" s="21" t="str">
        <f>IF(SUBTOTAL(109,A107)=A107,"",30542)</f>
        <v/>
      </c>
      <c r="AQ107" s="21" t="str">
        <f>IF(SUBTOTAL(109,A107)=A107,"",31111)</f>
        <v/>
      </c>
      <c r="AR107" s="21" t="str">
        <f>IF(SUBTOTAL(109,A107)=A107,"",30000)</f>
        <v/>
      </c>
      <c r="AS107" s="21" t="str">
        <f>IF(SUBTOTAL(109,A107)=A107,"",30275)</f>
        <v/>
      </c>
      <c r="AT107" s="21" t="str">
        <f>IF(SUBTOTAL(109,A107)=A107,"",685)</f>
        <v/>
      </c>
      <c r="AU107" s="21" t="str">
        <f>IF(SUBTOTAL(109,A107)=A107,"",1094)</f>
        <v/>
      </c>
      <c r="AV107" s="21" t="str">
        <f>IF(SUBTOTAL(109,A107)=A107,"",0)</f>
        <v/>
      </c>
      <c r="AW107" s="21" t="str">
        <f>IF(SUBTOTAL(109,A107)=A107,"",540)</f>
        <v/>
      </c>
      <c r="AX107" s="21" t="str">
        <f>IF(SUBTOTAL(109,A107)=A107,"",3592)</f>
        <v/>
      </c>
      <c r="AY107" s="21" t="str">
        <f>IF(SUBTOTAL(109,A107)=A107,"",4492)</f>
        <v/>
      </c>
      <c r="AZ107" s="21" t="str">
        <f>IF(SUBTOTAL(109,A107)=A107,"",2378)</f>
        <v/>
      </c>
      <c r="BA107" s="21" t="str">
        <f>IF(SUBTOTAL(109,A107)=A107,"",3362.265)</f>
        <v/>
      </c>
      <c r="BB107" s="21" t="str">
        <f>IF(SUBTOTAL(109,A107)=A107,"",5586.794)</f>
        <v/>
      </c>
      <c r="BC107" s="21" t="str">
        <f>IF(SUBTOTAL(109,A107)=A107,"",23005.442)</f>
        <v/>
      </c>
      <c r="BD107" s="21" t="str">
        <f>IF(SUBTOTAL(109,A107)=A107,"",8919.64)</f>
        <v/>
      </c>
      <c r="BE107" s="21" t="str">
        <f>IF(SUBTOTAL(109,A107)=A107,"",22057.359)</f>
        <v/>
      </c>
      <c r="BF107" s="21" t="str">
        <f>IF(SUBTOTAL(109,A107)=A107,"",15652.733)</f>
        <v/>
      </c>
      <c r="BG107" s="21" t="str">
        <f>IF(SUBTOTAL(109,A107)=A107,"",14792.758)</f>
        <v/>
      </c>
      <c r="BH107" s="21" t="str">
        <f>IF(SUBTOTAL(109,A107)=A107,"",2887.403)</f>
        <v/>
      </c>
      <c r="BI107" s="21" t="str">
        <f>IF(SUBTOTAL(109,A107)=A107,"",1773.526)</f>
        <v/>
      </c>
      <c r="BJ107" s="21" t="str">
        <f>IF(SUBTOTAL(109,A107)=A107,"",6245.335)</f>
        <v/>
      </c>
      <c r="BK107" s="21" t="str">
        <f>IF(SUBTOTAL(109,A107)=A107,"",4717.593)</f>
        <v/>
      </c>
      <c r="BL107" s="21" t="str">
        <f>IF(SUBTOTAL(109,A107)=A107,"",1690.584)</f>
        <v/>
      </c>
      <c r="BM107" s="21" t="str">
        <f>IF(SUBTOTAL(109,A107)=A107,"",4164.292)</f>
        <v/>
      </c>
      <c r="BN107" s="21" t="str">
        <f>IF(SUBTOTAL(109,A107)=A107,"",6137.839)</f>
        <v/>
      </c>
      <c r="BO107" s="21" t="str">
        <f>IF(SUBTOTAL(109,A107)=A107,"",4111.807)</f>
        <v/>
      </c>
      <c r="BP107" s="21" t="str">
        <f>IF(SUBTOTAL(109,A107)=A107,"",1586.464)</f>
        <v/>
      </c>
      <c r="BQ107" s="21" t="str">
        <f>IF(SUBTOTAL(109,A107)=A107,"",1561.79)</f>
        <v/>
      </c>
      <c r="BR107" s="21" t="str">
        <f>IF(SUBTOTAL(109,A107)=A107,"",4206.744)</f>
        <v/>
      </c>
      <c r="BS107" s="21" t="str">
        <f>IF(SUBTOTAL(109,A107)=A107,"",4122.136)</f>
        <v/>
      </c>
      <c r="BT107" s="21" t="str">
        <f>IF(SUBTOTAL(109,A107)=A107,"",4039.456)</f>
        <v/>
      </c>
      <c r="BU107" s="21" t="str">
        <f>IF(SUBTOTAL(109,A107)=A107,"",3094.156)</f>
        <v/>
      </c>
      <c r="BV107" s="21" t="str">
        <f>IF(SUBTOTAL(109,A107)=A107,"",2073.252)</f>
        <v/>
      </c>
      <c r="BW107" s="21" t="str">
        <f>IF(SUBTOTAL(109,A107)=A107,"",1072.766)</f>
        <v/>
      </c>
      <c r="BX107" s="21" t="str">
        <f>IF(SUBTOTAL(109,A107)=A107,"",92.278)</f>
        <v/>
      </c>
      <c r="BY107" s="21" t="str">
        <f>IF(SUBTOTAL(109,A107)=A107,"","")</f>
        <v/>
      </c>
      <c r="BZ107" s="21" t="str">
        <f>IF(SUBTOTAL(109,A107)=A107,"","")</f>
        <v/>
      </c>
      <c r="CA107" s="21" t="str">
        <f>IF(SUBTOTAL(109,A107)=A107,"","")</f>
        <v/>
      </c>
      <c r="CB107" s="21" t="str">
        <f>IF(SUBTOTAL(109,A107)=A107,"",357.425)</f>
        <v/>
      </c>
      <c r="CC107" s="21" t="str">
        <f>IF(SUBTOTAL(109,A107)=A107,"",500)</f>
        <v/>
      </c>
      <c r="CD107" s="21" t="str">
        <f>IF(SUBTOTAL(109,A107)=A107,"","")</f>
        <v/>
      </c>
      <c r="CE107" s="21" t="str">
        <f>IF(SUBTOTAL(109,A107)=A107,"","")</f>
        <v/>
      </c>
      <c r="CG107" s="15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</row>
    <row r="108" spans="1:106" outlineLevel="4" x14ac:dyDescent="0.2">
      <c r="A108" s="14">
        <v>1</v>
      </c>
      <c r="C108" s="9" t="str">
        <f>IF(SUBTOTAL(109,A108)=A108,"                Current Debt","                Current Debt")</f>
        <v xml:space="preserve">                Current Debt</v>
      </c>
      <c r="D108" s="17" t="str">
        <f t="shared" si="24"/>
        <v/>
      </c>
      <c r="E108" s="17" t="str">
        <f t="shared" si="25"/>
        <v/>
      </c>
      <c r="F108" s="17" t="str">
        <f t="shared" si="26"/>
        <v/>
      </c>
      <c r="G108" s="17" t="str">
        <f t="shared" si="27"/>
        <v/>
      </c>
      <c r="H108" s="17" t="str">
        <f t="shared" si="28"/>
        <v/>
      </c>
      <c r="I108" s="17" t="str">
        <f t="shared" si="29"/>
        <v/>
      </c>
      <c r="J108" s="17" t="str">
        <f t="shared" si="30"/>
        <v/>
      </c>
      <c r="K108" s="18" t="str">
        <f t="shared" si="31"/>
        <v/>
      </c>
      <c r="L108" s="21"/>
      <c r="M108" s="21" t="str">
        <f>IF(SUBTOTAL(109,A108)=A108,"","")</f>
        <v/>
      </c>
      <c r="N108" s="21"/>
      <c r="O108" s="21"/>
      <c r="P108" s="21"/>
      <c r="Q108" s="21"/>
      <c r="R108" s="21" t="str">
        <f>IF(SUBTOTAL(109,A108)=A108,"","")</f>
        <v/>
      </c>
      <c r="S108" s="21" t="str">
        <f>IF(SUBTOTAL(109,A108)=A108,"","")</f>
        <v/>
      </c>
      <c r="T108" s="21" t="str">
        <f>IF(SUBTOTAL(109,A108)=A108,"","")</f>
        <v/>
      </c>
      <c r="U108" s="21" t="str">
        <f>IF(SUBTOTAL(109,A108)=A108,"","")</f>
        <v/>
      </c>
      <c r="V108" s="21" t="str">
        <f>IF(SUBTOTAL(109,A108)=A108,"","")</f>
        <v/>
      </c>
      <c r="W108" s="21" t="str">
        <f>IF(SUBTOTAL(109,A108)=A108,"","")</f>
        <v/>
      </c>
      <c r="X108" s="21" t="str">
        <f>IF(SUBTOTAL(109,A108)=A108,"","")</f>
        <v/>
      </c>
      <c r="Y108" s="21" t="str">
        <f>IF(SUBTOTAL(109,A108)=A108,"","")</f>
        <v/>
      </c>
      <c r="Z108" s="21" t="str">
        <f>IF(SUBTOTAL(109,A108)=A108,"","")</f>
        <v/>
      </c>
      <c r="AA108" s="21" t="str">
        <f>IF(SUBTOTAL(109,A108)=A108,"","")</f>
        <v/>
      </c>
      <c r="AB108" s="21" t="str">
        <f>IF(SUBTOTAL(109,A108)=A108,"","")</f>
        <v/>
      </c>
      <c r="AC108" s="21" t="str">
        <f>IF(SUBTOTAL(109,A108)=A108,"","")</f>
        <v/>
      </c>
      <c r="AD108" s="21" t="str">
        <f>IF(SUBTOTAL(109,A108)=A108,"","")</f>
        <v/>
      </c>
      <c r="AE108" s="21" t="str">
        <f>IF(SUBTOTAL(109,A108)=A108,"","")</f>
        <v/>
      </c>
      <c r="AF108" s="21" t="str">
        <f>IF(SUBTOTAL(109,A108)=A108,"","")</f>
        <v/>
      </c>
      <c r="AG108" s="21" t="str">
        <f>IF(SUBTOTAL(109,A108)=A108,"","")</f>
        <v/>
      </c>
      <c r="AH108" s="21" t="str">
        <f>IF(SUBTOTAL(109,A108)=A108,"","")</f>
        <v/>
      </c>
      <c r="AI108" s="21" t="str">
        <f>IF(SUBTOTAL(109,A108)=A108,"","")</f>
        <v/>
      </c>
      <c r="AJ108" s="21" t="str">
        <f>IF(SUBTOTAL(109,A108)=A108,"","")</f>
        <v/>
      </c>
      <c r="AK108" s="21" t="str">
        <f>IF(SUBTOTAL(109,A108)=A108,"","")</f>
        <v/>
      </c>
      <c r="AL108" s="21" t="str">
        <f>IF(SUBTOTAL(109,A108)=A108,"","")</f>
        <v/>
      </c>
      <c r="AM108" s="21" t="str">
        <f>IF(SUBTOTAL(109,A108)=A108,"","")</f>
        <v/>
      </c>
      <c r="AN108" s="21" t="str">
        <f>IF(SUBTOTAL(109,A108)=A108,"","")</f>
        <v/>
      </c>
      <c r="AO108" s="21" t="str">
        <f>IF(SUBTOTAL(109,A108)=A108,"","")</f>
        <v/>
      </c>
      <c r="AP108" s="21" t="str">
        <f>IF(SUBTOTAL(109,A108)=A108,"",30542)</f>
        <v/>
      </c>
      <c r="AQ108" s="21" t="str">
        <f>IF(SUBTOTAL(109,A108)=A108,"",31111)</f>
        <v/>
      </c>
      <c r="AR108" s="21" t="str">
        <f>IF(SUBTOTAL(109,A108)=A108,"","")</f>
        <v/>
      </c>
      <c r="AS108" s="21" t="str">
        <f>IF(SUBTOTAL(109,A108)=A108,"",30275)</f>
        <v/>
      </c>
      <c r="AT108" s="21" t="str">
        <f>IF(SUBTOTAL(109,A108)=A108,"",685)</f>
        <v/>
      </c>
      <c r="AU108" s="21" t="str">
        <f>IF(SUBTOTAL(109,A108)=A108,"",1094)</f>
        <v/>
      </c>
      <c r="AV108" s="21" t="str">
        <f>IF(SUBTOTAL(109,A108)=A108,"","")</f>
        <v/>
      </c>
      <c r="AW108" s="21" t="str">
        <f>IF(SUBTOTAL(109,A108)=A108,"",540)</f>
        <v/>
      </c>
      <c r="AX108" s="21" t="str">
        <f>IF(SUBTOTAL(109,A108)=A108,"",3592)</f>
        <v/>
      </c>
      <c r="AY108" s="21" t="str">
        <f>IF(SUBTOTAL(109,A108)=A108,"",4492)</f>
        <v/>
      </c>
      <c r="AZ108" s="21" t="str">
        <f>IF(SUBTOTAL(109,A108)=A108,"",2378)</f>
        <v/>
      </c>
      <c r="BA108" s="21" t="str">
        <f>IF(SUBTOTAL(109,A108)=A108,"",3362.265)</f>
        <v/>
      </c>
      <c r="BB108" s="21" t="str">
        <f>IF(SUBTOTAL(109,A108)=A108,"",5586.794)</f>
        <v/>
      </c>
      <c r="BC108" s="21" t="str">
        <f>IF(SUBTOTAL(109,A108)=A108,"",23005.442)</f>
        <v/>
      </c>
      <c r="BD108" s="21" t="str">
        <f>IF(SUBTOTAL(109,A108)=A108,"",8919.64)</f>
        <v/>
      </c>
      <c r="BE108" s="21" t="str">
        <f>IF(SUBTOTAL(109,A108)=A108,"",22057.359)</f>
        <v/>
      </c>
      <c r="BF108" s="21" t="str">
        <f>IF(SUBTOTAL(109,A108)=A108,"",15652.733)</f>
        <v/>
      </c>
      <c r="BG108" s="21" t="str">
        <f>IF(SUBTOTAL(109,A108)=A108,"",14792.758)</f>
        <v/>
      </c>
      <c r="BH108" s="21" t="str">
        <f>IF(SUBTOTAL(109,A108)=A108,"",2887.403)</f>
        <v/>
      </c>
      <c r="BI108" s="21" t="str">
        <f>IF(SUBTOTAL(109,A108)=A108,"",1773.526)</f>
        <v/>
      </c>
      <c r="BJ108" s="21" t="str">
        <f>IF(SUBTOTAL(109,A108)=A108,"",6245.335)</f>
        <v/>
      </c>
      <c r="BK108" s="21" t="str">
        <f>IF(SUBTOTAL(109,A108)=A108,"",4717.593)</f>
        <v/>
      </c>
      <c r="BL108" s="21" t="str">
        <f>IF(SUBTOTAL(109,A108)=A108,"",1690.584)</f>
        <v/>
      </c>
      <c r="BM108" s="21" t="str">
        <f>IF(SUBTOTAL(109,A108)=A108,"",4164.292)</f>
        <v/>
      </c>
      <c r="BN108" s="21" t="str">
        <f>IF(SUBTOTAL(109,A108)=A108,"",6137.839)</f>
        <v/>
      </c>
      <c r="BO108" s="21" t="str">
        <f>IF(SUBTOTAL(109,A108)=A108,"",4111.807)</f>
        <v/>
      </c>
      <c r="BP108" s="21" t="str">
        <f>IF(SUBTOTAL(109,A108)=A108,"",1586.464)</f>
        <v/>
      </c>
      <c r="BQ108" s="21" t="str">
        <f>IF(SUBTOTAL(109,A108)=A108,"",1561.79)</f>
        <v/>
      </c>
      <c r="BR108" s="21" t="str">
        <f>IF(SUBTOTAL(109,A108)=A108,"",4206.744)</f>
        <v/>
      </c>
      <c r="BS108" s="21" t="str">
        <f>IF(SUBTOTAL(109,A108)=A108,"",4122.136)</f>
        <v/>
      </c>
      <c r="BT108" s="21" t="str">
        <f>IF(SUBTOTAL(109,A108)=A108,"",4039.456)</f>
        <v/>
      </c>
      <c r="BU108" s="21" t="str">
        <f>IF(SUBTOTAL(109,A108)=A108,"",3094.156)</f>
        <v/>
      </c>
      <c r="BV108" s="21" t="str">
        <f>IF(SUBTOTAL(109,A108)=A108,"",2073.252)</f>
        <v/>
      </c>
      <c r="BW108" s="21" t="str">
        <f>IF(SUBTOTAL(109,A108)=A108,"",1072.766)</f>
        <v/>
      </c>
      <c r="BX108" s="21" t="str">
        <f>IF(SUBTOTAL(109,A108)=A108,"",92.278)</f>
        <v/>
      </c>
      <c r="BY108" s="21" t="str">
        <f>IF(SUBTOTAL(109,A108)=A108,"","")</f>
        <v/>
      </c>
      <c r="BZ108" s="21" t="str">
        <f>IF(SUBTOTAL(109,A108)=A108,"","")</f>
        <v/>
      </c>
      <c r="CA108" s="21" t="str">
        <f>IF(SUBTOTAL(109,A108)=A108,"","")</f>
        <v/>
      </c>
      <c r="CB108" s="21" t="str">
        <f>IF(SUBTOTAL(109,A108)=A108,"",357.425)</f>
        <v/>
      </c>
      <c r="CC108" s="21" t="str">
        <f>IF(SUBTOTAL(109,A108)=A108,"",500)</f>
        <v/>
      </c>
      <c r="CD108" s="21" t="str">
        <f>IF(SUBTOTAL(109,A108)=A108,"","")</f>
        <v/>
      </c>
      <c r="CE108" s="21" t="str">
        <f>IF(SUBTOTAL(109,A108)=A108,"","")</f>
        <v/>
      </c>
      <c r="CG108" s="15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</row>
    <row r="109" spans="1:106" outlineLevel="5" x14ac:dyDescent="0.2">
      <c r="A109" s="14">
        <v>1</v>
      </c>
      <c r="C109" s="9" t="str">
        <f>"                    Notes Payable, Current Debt"</f>
        <v xml:space="preserve">                    Notes Payable, Current Debt</v>
      </c>
      <c r="D109" s="17">
        <f t="shared" si="24"/>
        <v>3815.7280000000001</v>
      </c>
      <c r="E109" s="17">
        <f t="shared" si="25"/>
        <v>7011.9044166666672</v>
      </c>
      <c r="F109" s="17">
        <f t="shared" si="26"/>
        <v>0</v>
      </c>
      <c r="G109" s="17">
        <f t="shared" si="27"/>
        <v>31111</v>
      </c>
      <c r="H109" s="17">
        <f t="shared" si="28"/>
        <v>1580.2954999999999</v>
      </c>
      <c r="I109" s="17">
        <f t="shared" si="29"/>
        <v>6164.7129999999997</v>
      </c>
      <c r="J109" s="17">
        <f t="shared" si="30"/>
        <v>9115.9900947518581</v>
      </c>
      <c r="K109" s="18">
        <f t="shared" si="31"/>
        <v>1.3000733542636389</v>
      </c>
      <c r="L109" s="21"/>
      <c r="M109" s="21" t="s">
        <v>165</v>
      </c>
      <c r="N109" s="21"/>
      <c r="O109" s="21"/>
      <c r="P109" s="21"/>
      <c r="Q109" s="21"/>
      <c r="R109" s="21" t="s">
        <v>165</v>
      </c>
      <c r="S109" s="21" t="s">
        <v>165</v>
      </c>
      <c r="T109" s="21" t="s">
        <v>165</v>
      </c>
      <c r="U109" s="21" t="s">
        <v>165</v>
      </c>
      <c r="V109" s="21" t="s">
        <v>165</v>
      </c>
      <c r="W109" s="21" t="s">
        <v>165</v>
      </c>
      <c r="X109" s="21" t="s">
        <v>165</v>
      </c>
      <c r="Y109" s="21" t="s">
        <v>165</v>
      </c>
      <c r="Z109" s="21" t="s">
        <v>165</v>
      </c>
      <c r="AA109" s="21" t="s">
        <v>165</v>
      </c>
      <c r="AB109" s="21" t="s">
        <v>165</v>
      </c>
      <c r="AC109" s="21" t="s">
        <v>165</v>
      </c>
      <c r="AD109" s="21" t="s">
        <v>165</v>
      </c>
      <c r="AE109" s="21" t="s">
        <v>165</v>
      </c>
      <c r="AF109" s="21" t="s">
        <v>165</v>
      </c>
      <c r="AG109" s="21" t="s">
        <v>165</v>
      </c>
      <c r="AH109" s="21" t="s">
        <v>165</v>
      </c>
      <c r="AI109" s="21" t="s">
        <v>165</v>
      </c>
      <c r="AJ109" s="21" t="s">
        <v>165</v>
      </c>
      <c r="AK109" s="21" t="s">
        <v>165</v>
      </c>
      <c r="AL109" s="21" t="s">
        <v>165</v>
      </c>
      <c r="AM109" s="21" t="s">
        <v>165</v>
      </c>
      <c r="AN109" s="21" t="s">
        <v>165</v>
      </c>
      <c r="AO109" s="21">
        <v>0</v>
      </c>
      <c r="AP109" s="21">
        <v>30542</v>
      </c>
      <c r="AQ109" s="21">
        <v>31111</v>
      </c>
      <c r="AR109" s="21" t="s">
        <v>165</v>
      </c>
      <c r="AS109" s="21">
        <v>30275</v>
      </c>
      <c r="AT109" s="21">
        <v>685</v>
      </c>
      <c r="AU109" s="21">
        <v>1094</v>
      </c>
      <c r="AV109" s="21">
        <v>0</v>
      </c>
      <c r="AW109" s="21">
        <v>540</v>
      </c>
      <c r="AX109" s="21">
        <v>3592</v>
      </c>
      <c r="AY109" s="21">
        <v>4492</v>
      </c>
      <c r="AZ109" s="21">
        <v>2378</v>
      </c>
      <c r="BA109" s="21">
        <v>3362.2649999999999</v>
      </c>
      <c r="BB109" s="21">
        <v>5586.7939999999999</v>
      </c>
      <c r="BC109" s="21">
        <v>23005.441999999999</v>
      </c>
      <c r="BD109" s="21">
        <v>8919.64</v>
      </c>
      <c r="BE109" s="21">
        <v>22057.359</v>
      </c>
      <c r="BF109" s="21">
        <v>15652.733</v>
      </c>
      <c r="BG109" s="21">
        <v>14792.758</v>
      </c>
      <c r="BH109" s="21">
        <v>2887.4029999999998</v>
      </c>
      <c r="BI109" s="21">
        <v>1773.5260000000001</v>
      </c>
      <c r="BJ109" s="21">
        <v>6245.335</v>
      </c>
      <c r="BK109" s="21">
        <v>4717.5929999999998</v>
      </c>
      <c r="BL109" s="21">
        <v>1690.5840000000001</v>
      </c>
      <c r="BM109" s="21">
        <v>4164.2920000000004</v>
      </c>
      <c r="BN109" s="21">
        <v>6137.8389999999999</v>
      </c>
      <c r="BO109" s="21">
        <v>4111.8069999999998</v>
      </c>
      <c r="BP109" s="21">
        <v>1586.4639999999999</v>
      </c>
      <c r="BQ109" s="21">
        <v>1561.79</v>
      </c>
      <c r="BR109" s="21">
        <v>4206.7439999999997</v>
      </c>
      <c r="BS109" s="21">
        <v>4122.1360000000004</v>
      </c>
      <c r="BT109" s="21">
        <v>4039.4560000000001</v>
      </c>
      <c r="BU109" s="21">
        <v>3094.1559999999999</v>
      </c>
      <c r="BV109" s="21">
        <v>2073.252</v>
      </c>
      <c r="BW109" s="21">
        <v>1072.7660000000001</v>
      </c>
      <c r="BX109" s="21" t="s">
        <v>165</v>
      </c>
      <c r="BY109" s="21" t="s">
        <v>165</v>
      </c>
      <c r="BZ109" s="21" t="s">
        <v>165</v>
      </c>
      <c r="CA109" s="21" t="s">
        <v>165</v>
      </c>
      <c r="CB109" s="21">
        <v>357.42500000000001</v>
      </c>
      <c r="CC109" s="21">
        <v>500</v>
      </c>
      <c r="CD109" s="21" t="s">
        <v>165</v>
      </c>
      <c r="CE109" s="21" t="s">
        <v>165</v>
      </c>
      <c r="CG109" s="15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</row>
    <row r="110" spans="1:106" outlineLevel="5" x14ac:dyDescent="0.2">
      <c r="A110" s="14">
        <v>1</v>
      </c>
      <c r="C110" s="10" t="str">
        <f>"                    Total Current Debt"</f>
        <v xml:space="preserve">                    Total Current Debt</v>
      </c>
      <c r="D110" s="29">
        <f t="shared" si="24"/>
        <v>4039.4560000000001</v>
      </c>
      <c r="E110" s="29">
        <f t="shared" si="25"/>
        <v>7214.8810571428576</v>
      </c>
      <c r="F110" s="29">
        <f t="shared" si="26"/>
        <v>92.278000000000006</v>
      </c>
      <c r="G110" s="29">
        <f t="shared" si="27"/>
        <v>31111</v>
      </c>
      <c r="H110" s="29">
        <f t="shared" si="28"/>
        <v>1638.5239999999999</v>
      </c>
      <c r="I110" s="29">
        <f t="shared" si="29"/>
        <v>6191.5869999999995</v>
      </c>
      <c r="J110" s="29">
        <f t="shared" si="30"/>
        <v>9166.1947310813484</v>
      </c>
      <c r="K110" s="30">
        <f t="shared" si="31"/>
        <v>1.2704568042749169</v>
      </c>
      <c r="L110" s="31"/>
      <c r="M110" s="31" t="s">
        <v>165</v>
      </c>
      <c r="N110" s="31"/>
      <c r="O110" s="31"/>
      <c r="P110" s="31"/>
      <c r="Q110" s="31"/>
      <c r="R110" s="31" t="s">
        <v>165</v>
      </c>
      <c r="S110" s="31" t="s">
        <v>165</v>
      </c>
      <c r="T110" s="31" t="s">
        <v>165</v>
      </c>
      <c r="U110" s="31" t="s">
        <v>165</v>
      </c>
      <c r="V110" s="31" t="s">
        <v>165</v>
      </c>
      <c r="W110" s="31" t="s">
        <v>165</v>
      </c>
      <c r="X110" s="31" t="s">
        <v>165</v>
      </c>
      <c r="Y110" s="31" t="s">
        <v>165</v>
      </c>
      <c r="Z110" s="31" t="s">
        <v>165</v>
      </c>
      <c r="AA110" s="31" t="s">
        <v>165</v>
      </c>
      <c r="AB110" s="31" t="s">
        <v>165</v>
      </c>
      <c r="AC110" s="31" t="s">
        <v>165</v>
      </c>
      <c r="AD110" s="31" t="s">
        <v>165</v>
      </c>
      <c r="AE110" s="31" t="s">
        <v>165</v>
      </c>
      <c r="AF110" s="31" t="s">
        <v>165</v>
      </c>
      <c r="AG110" s="31" t="s">
        <v>165</v>
      </c>
      <c r="AH110" s="31" t="s">
        <v>165</v>
      </c>
      <c r="AI110" s="31" t="s">
        <v>165</v>
      </c>
      <c r="AJ110" s="31" t="s">
        <v>165</v>
      </c>
      <c r="AK110" s="31" t="s">
        <v>165</v>
      </c>
      <c r="AL110" s="31" t="s">
        <v>165</v>
      </c>
      <c r="AM110" s="31" t="s">
        <v>165</v>
      </c>
      <c r="AN110" s="31" t="s">
        <v>165</v>
      </c>
      <c r="AO110" s="31" t="s">
        <v>165</v>
      </c>
      <c r="AP110" s="31">
        <v>30542</v>
      </c>
      <c r="AQ110" s="31">
        <v>31111</v>
      </c>
      <c r="AR110" s="31" t="s">
        <v>165</v>
      </c>
      <c r="AS110" s="31">
        <v>30275</v>
      </c>
      <c r="AT110" s="31">
        <v>685</v>
      </c>
      <c r="AU110" s="31">
        <v>1094</v>
      </c>
      <c r="AV110" s="31" t="s">
        <v>165</v>
      </c>
      <c r="AW110" s="31">
        <v>540</v>
      </c>
      <c r="AX110" s="31">
        <v>3592</v>
      </c>
      <c r="AY110" s="31">
        <v>4492</v>
      </c>
      <c r="AZ110" s="31">
        <v>2378</v>
      </c>
      <c r="BA110" s="31">
        <v>3362.2649999999999</v>
      </c>
      <c r="BB110" s="31">
        <v>5586.7939999999999</v>
      </c>
      <c r="BC110" s="31">
        <v>23005.441999999999</v>
      </c>
      <c r="BD110" s="31">
        <v>8919.64</v>
      </c>
      <c r="BE110" s="31">
        <v>22057.359</v>
      </c>
      <c r="BF110" s="31">
        <v>15652.733</v>
      </c>
      <c r="BG110" s="31">
        <v>14792.758</v>
      </c>
      <c r="BH110" s="31">
        <v>2887.4029999999998</v>
      </c>
      <c r="BI110" s="31">
        <v>1773.5260000000001</v>
      </c>
      <c r="BJ110" s="31">
        <v>6245.335</v>
      </c>
      <c r="BK110" s="31">
        <v>4717.5929999999998</v>
      </c>
      <c r="BL110" s="31">
        <v>1690.5840000000001</v>
      </c>
      <c r="BM110" s="31">
        <v>4164.2920000000004</v>
      </c>
      <c r="BN110" s="31">
        <v>6137.8389999999999</v>
      </c>
      <c r="BO110" s="31">
        <v>4111.8069999999998</v>
      </c>
      <c r="BP110" s="31">
        <v>1586.4639999999999</v>
      </c>
      <c r="BQ110" s="31">
        <v>1561.79</v>
      </c>
      <c r="BR110" s="31">
        <v>4206.7439999999997</v>
      </c>
      <c r="BS110" s="31">
        <v>4122.1360000000004</v>
      </c>
      <c r="BT110" s="31">
        <v>4039.4560000000001</v>
      </c>
      <c r="BU110" s="31">
        <v>3094.1559999999999</v>
      </c>
      <c r="BV110" s="31">
        <v>2073.252</v>
      </c>
      <c r="BW110" s="31">
        <v>1072.7660000000001</v>
      </c>
      <c r="BX110" s="31">
        <v>92.278000000000006</v>
      </c>
      <c r="BY110" s="31" t="s">
        <v>165</v>
      </c>
      <c r="BZ110" s="31" t="s">
        <v>165</v>
      </c>
      <c r="CA110" s="31" t="s">
        <v>165</v>
      </c>
      <c r="CB110" s="31">
        <v>357.42500000000001</v>
      </c>
      <c r="CC110" s="31">
        <v>500</v>
      </c>
      <c r="CD110" s="31" t="s">
        <v>165</v>
      </c>
      <c r="CE110" s="31" t="s">
        <v>165</v>
      </c>
      <c r="CG110" s="15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</row>
    <row r="111" spans="1:106" outlineLevel="4" x14ac:dyDescent="0.2">
      <c r="A111" s="14">
        <v>1</v>
      </c>
      <c r="C111" s="9" t="str">
        <f>IF(SUBTOTAL(109,A111)=A111,"                Current Portion of Long Term Debt and Capital Lease","                Current Portion of Long Term Debt and Capital Lease")</f>
        <v xml:space="preserve">                Current Portion of Long Term Debt and Capital Lease</v>
      </c>
      <c r="D111" s="17" t="str">
        <f t="shared" si="24"/>
        <v/>
      </c>
      <c r="E111" s="17" t="str">
        <f t="shared" si="25"/>
        <v/>
      </c>
      <c r="F111" s="17" t="str">
        <f t="shared" si="26"/>
        <v/>
      </c>
      <c r="G111" s="17" t="str">
        <f t="shared" si="27"/>
        <v/>
      </c>
      <c r="H111" s="17" t="str">
        <f t="shared" si="28"/>
        <v/>
      </c>
      <c r="I111" s="17" t="str">
        <f t="shared" si="29"/>
        <v/>
      </c>
      <c r="J111" s="17" t="str">
        <f t="shared" si="30"/>
        <v/>
      </c>
      <c r="K111" s="18" t="str">
        <f t="shared" si="31"/>
        <v/>
      </c>
      <c r="L111" s="21"/>
      <c r="M111" s="21" t="str">
        <f>IF(SUBTOTAL(109,A111)=A111,"",2653)</f>
        <v/>
      </c>
      <c r="N111" s="21"/>
      <c r="O111" s="21"/>
      <c r="P111" s="21"/>
      <c r="Q111" s="21"/>
      <c r="R111" s="21" t="str">
        <f>IF(SUBTOTAL(109,A111)=A111,"",81300)</f>
        <v/>
      </c>
      <c r="S111" s="21" t="str">
        <f>IF(SUBTOTAL(109,A111)=A111,"",81904)</f>
        <v/>
      </c>
      <c r="T111" s="21" t="str">
        <f>IF(SUBTOTAL(109,A111)=A111,"",7322)</f>
        <v/>
      </c>
      <c r="U111" s="21" t="str">
        <f>IF(SUBTOTAL(109,A111)=A111,"",6300)</f>
        <v/>
      </c>
      <c r="V111" s="21" t="str">
        <f>IF(SUBTOTAL(109,A111)=A111,"",6300)</f>
        <v/>
      </c>
      <c r="W111" s="21" t="str">
        <f>IF(SUBTOTAL(109,A111)=A111,"",6300)</f>
        <v/>
      </c>
      <c r="X111" s="21" t="str">
        <f>IF(SUBTOTAL(109,A111)=A111,"",7755)</f>
        <v/>
      </c>
      <c r="Y111" s="21" t="str">
        <f>IF(SUBTOTAL(109,A111)=A111,"",6300)</f>
        <v/>
      </c>
      <c r="Z111" s="21" t="str">
        <f>IF(SUBTOTAL(109,A111)=A111,"",6300)</f>
        <v/>
      </c>
      <c r="AA111" s="21" t="str">
        <f>IF(SUBTOTAL(109,A111)=A111,"",6300)</f>
        <v/>
      </c>
      <c r="AB111" s="21" t="str">
        <f>IF(SUBTOTAL(109,A111)=A111,"",496)</f>
        <v/>
      </c>
      <c r="AC111" s="21" t="str">
        <f>IF(SUBTOTAL(109,A111)=A111,"","")</f>
        <v/>
      </c>
      <c r="AD111" s="21" t="str">
        <f>IF(SUBTOTAL(109,A111)=A111,"","")</f>
        <v/>
      </c>
      <c r="AE111" s="21" t="str">
        <f>IF(SUBTOTAL(109,A111)=A111,"","")</f>
        <v/>
      </c>
      <c r="AF111" s="21" t="str">
        <f>IF(SUBTOTAL(109,A111)=A111,"","")</f>
        <v/>
      </c>
      <c r="AG111" s="21" t="str">
        <f>IF(SUBTOTAL(109,A111)=A111,"",781)</f>
        <v/>
      </c>
      <c r="AH111" s="21" t="str">
        <f>IF(SUBTOTAL(109,A111)=A111,"",1243)</f>
        <v/>
      </c>
      <c r="AI111" s="21" t="str">
        <f>IF(SUBTOTAL(109,A111)=A111,"",1718)</f>
        <v/>
      </c>
      <c r="AJ111" s="21" t="str">
        <f>IF(SUBTOTAL(109,A111)=A111,"",442)</f>
        <v/>
      </c>
      <c r="AK111" s="21" t="str">
        <f>IF(SUBTOTAL(109,A111)=A111,"",436)</f>
        <v/>
      </c>
      <c r="AL111" s="21" t="str">
        <f>IF(SUBTOTAL(109,A111)=A111,"",1219)</f>
        <v/>
      </c>
      <c r="AM111" s="21" t="str">
        <f>IF(SUBTOTAL(109,A111)=A111,"",1695)</f>
        <v/>
      </c>
      <c r="AN111" s="21" t="str">
        <f>IF(SUBTOTAL(109,A111)=A111,"",418)</f>
        <v/>
      </c>
      <c r="AO111" s="21" t="str">
        <f>IF(SUBTOTAL(109,A111)=A111,"","")</f>
        <v/>
      </c>
      <c r="AP111" s="21" t="str">
        <f>IF(SUBTOTAL(109,A111)=A111,"","")</f>
        <v/>
      </c>
      <c r="AQ111" s="21" t="str">
        <f>IF(SUBTOTAL(109,A111)=A111,"","")</f>
        <v/>
      </c>
      <c r="AR111" s="21" t="str">
        <f>IF(SUBTOTAL(109,A111)=A111,"",30000)</f>
        <v/>
      </c>
      <c r="AS111" s="21" t="str">
        <f>IF(SUBTOTAL(109,A111)=A111,"","")</f>
        <v/>
      </c>
      <c r="AT111" s="21" t="str">
        <f>IF(SUBTOTAL(109,A111)=A111,"","")</f>
        <v/>
      </c>
      <c r="AU111" s="21" t="str">
        <f>IF(SUBTOTAL(109,A111)=A111,"","")</f>
        <v/>
      </c>
      <c r="AV111" s="21" t="str">
        <f>IF(SUBTOTAL(109,A111)=A111,"","")</f>
        <v/>
      </c>
      <c r="AW111" s="21" t="str">
        <f>IF(SUBTOTAL(109,A111)=A111,"","")</f>
        <v/>
      </c>
      <c r="AX111" s="21" t="str">
        <f>IF(SUBTOTAL(109,A111)=A111,"","")</f>
        <v/>
      </c>
      <c r="AY111" s="21" t="str">
        <f>IF(SUBTOTAL(109,A111)=A111,"","")</f>
        <v/>
      </c>
      <c r="AZ111" s="21" t="str">
        <f>IF(SUBTOTAL(109,A111)=A111,"","")</f>
        <v/>
      </c>
      <c r="BA111" s="21" t="str">
        <f>IF(SUBTOTAL(109,A111)=A111,"","")</f>
        <v/>
      </c>
      <c r="BB111" s="21" t="str">
        <f>IF(SUBTOTAL(109,A111)=A111,"","")</f>
        <v/>
      </c>
      <c r="BC111" s="21" t="str">
        <f>IF(SUBTOTAL(109,A111)=A111,"","")</f>
        <v/>
      </c>
      <c r="BD111" s="21" t="str">
        <f>IF(SUBTOTAL(109,A111)=A111,"","")</f>
        <v/>
      </c>
      <c r="BE111" s="21" t="str">
        <f>IF(SUBTOTAL(109,A111)=A111,"","")</f>
        <v/>
      </c>
      <c r="BF111" s="21" t="str">
        <f>IF(SUBTOTAL(109,A111)=A111,"","")</f>
        <v/>
      </c>
      <c r="BG111" s="21" t="str">
        <f>IF(SUBTOTAL(109,A111)=A111,"","")</f>
        <v/>
      </c>
      <c r="BH111" s="21" t="str">
        <f>IF(SUBTOTAL(109,A111)=A111,"","")</f>
        <v/>
      </c>
      <c r="BI111" s="21" t="str">
        <f>IF(SUBTOTAL(109,A111)=A111,"","")</f>
        <v/>
      </c>
      <c r="BJ111" s="21" t="str">
        <f>IF(SUBTOTAL(109,A111)=A111,"","")</f>
        <v/>
      </c>
      <c r="BK111" s="21" t="str">
        <f>IF(SUBTOTAL(109,A111)=A111,"","")</f>
        <v/>
      </c>
      <c r="BL111" s="21" t="str">
        <f>IF(SUBTOTAL(109,A111)=A111,"","")</f>
        <v/>
      </c>
      <c r="BM111" s="21" t="str">
        <f>IF(SUBTOTAL(109,A111)=A111,"","")</f>
        <v/>
      </c>
      <c r="BN111" s="21" t="str">
        <f>IF(SUBTOTAL(109,A111)=A111,"","")</f>
        <v/>
      </c>
      <c r="BO111" s="21" t="str">
        <f>IF(SUBTOTAL(109,A111)=A111,"","")</f>
        <v/>
      </c>
      <c r="BP111" s="21" t="str">
        <f>IF(SUBTOTAL(109,A111)=A111,"","")</f>
        <v/>
      </c>
      <c r="BQ111" s="21" t="str">
        <f>IF(SUBTOTAL(109,A111)=A111,"","")</f>
        <v/>
      </c>
      <c r="BR111" s="21" t="str">
        <f>IF(SUBTOTAL(109,A111)=A111,"","")</f>
        <v/>
      </c>
      <c r="BS111" s="21" t="str">
        <f>IF(SUBTOTAL(109,A111)=A111,"","")</f>
        <v/>
      </c>
      <c r="BT111" s="21" t="str">
        <f>IF(SUBTOTAL(109,A111)=A111,"","")</f>
        <v/>
      </c>
      <c r="BU111" s="21" t="str">
        <f>IF(SUBTOTAL(109,A111)=A111,"","")</f>
        <v/>
      </c>
      <c r="BV111" s="21" t="str">
        <f>IF(SUBTOTAL(109,A111)=A111,"","")</f>
        <v/>
      </c>
      <c r="BW111" s="21" t="str">
        <f>IF(SUBTOTAL(109,A111)=A111,"","")</f>
        <v/>
      </c>
      <c r="BX111" s="21" t="str">
        <f>IF(SUBTOTAL(109,A111)=A111,"","")</f>
        <v/>
      </c>
      <c r="BY111" s="21" t="str">
        <f>IF(SUBTOTAL(109,A111)=A111,"","")</f>
        <v/>
      </c>
      <c r="BZ111" s="21" t="str">
        <f>IF(SUBTOTAL(109,A111)=A111,"","")</f>
        <v/>
      </c>
      <c r="CA111" s="21" t="str">
        <f>IF(SUBTOTAL(109,A111)=A111,"","")</f>
        <v/>
      </c>
      <c r="CB111" s="21" t="str">
        <f>IF(SUBTOTAL(109,A111)=A111,"","")</f>
        <v/>
      </c>
      <c r="CC111" s="21" t="str">
        <f>IF(SUBTOTAL(109,A111)=A111,"","")</f>
        <v/>
      </c>
      <c r="CD111" s="21" t="str">
        <f>IF(SUBTOTAL(109,A111)=A111,"","")</f>
        <v/>
      </c>
      <c r="CE111" s="21" t="str">
        <f>IF(SUBTOTAL(109,A111)=A111,"","")</f>
        <v/>
      </c>
      <c r="CG111" s="15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</row>
    <row r="112" spans="1:106" outlineLevel="5" x14ac:dyDescent="0.2">
      <c r="A112" s="14">
        <v>1</v>
      </c>
      <c r="C112" s="9" t="str">
        <f>IF(SUBTOTAL(109,A112)=A112,"                    Current Portion of Long Term Debt","                    Current Portion of Long Term Debt")</f>
        <v xml:space="preserve">                    Current Portion of Long Term Debt</v>
      </c>
      <c r="D112" s="17" t="str">
        <f t="shared" si="24"/>
        <v/>
      </c>
      <c r="E112" s="17" t="str">
        <f t="shared" si="25"/>
        <v/>
      </c>
      <c r="F112" s="17" t="str">
        <f t="shared" si="26"/>
        <v/>
      </c>
      <c r="G112" s="17" t="str">
        <f t="shared" si="27"/>
        <v/>
      </c>
      <c r="H112" s="17" t="str">
        <f t="shared" si="28"/>
        <v/>
      </c>
      <c r="I112" s="17" t="str">
        <f t="shared" si="29"/>
        <v/>
      </c>
      <c r="J112" s="17" t="str">
        <f t="shared" si="30"/>
        <v/>
      </c>
      <c r="K112" s="18" t="str">
        <f t="shared" si="31"/>
        <v/>
      </c>
      <c r="L112" s="21"/>
      <c r="M112" s="21" t="str">
        <f>IF(SUBTOTAL(109,A112)=A112,"","")</f>
        <v/>
      </c>
      <c r="N112" s="21"/>
      <c r="O112" s="21"/>
      <c r="P112" s="21"/>
      <c r="Q112" s="21"/>
      <c r="R112" s="21" t="str">
        <f>IF(SUBTOTAL(109,A112)=A112,"",81300)</f>
        <v/>
      </c>
      <c r="S112" s="21" t="str">
        <f>IF(SUBTOTAL(109,A112)=A112,"",81300)</f>
        <v/>
      </c>
      <c r="T112" s="21" t="str">
        <f>IF(SUBTOTAL(109,A112)=A112,"",6300)</f>
        <v/>
      </c>
      <c r="U112" s="21" t="str">
        <f>IF(SUBTOTAL(109,A112)=A112,"",6300)</f>
        <v/>
      </c>
      <c r="V112" s="21" t="str">
        <f>IF(SUBTOTAL(109,A112)=A112,"",6300)</f>
        <v/>
      </c>
      <c r="W112" s="21" t="str">
        <f>IF(SUBTOTAL(109,A112)=A112,"",6300)</f>
        <v/>
      </c>
      <c r="X112" s="21" t="str">
        <f>IF(SUBTOTAL(109,A112)=A112,"",6300)</f>
        <v/>
      </c>
      <c r="Y112" s="21" t="str">
        <f>IF(SUBTOTAL(109,A112)=A112,"",6300)</f>
        <v/>
      </c>
      <c r="Z112" s="21" t="str">
        <f>IF(SUBTOTAL(109,A112)=A112,"",6300)</f>
        <v/>
      </c>
      <c r="AA112" s="21" t="str">
        <f>IF(SUBTOTAL(109,A112)=A112,"",6300)</f>
        <v/>
      </c>
      <c r="AB112" s="21" t="str">
        <f>IF(SUBTOTAL(109,A112)=A112,"",0)</f>
        <v/>
      </c>
      <c r="AC112" s="21" t="str">
        <f>IF(SUBTOTAL(109,A112)=A112,"","")</f>
        <v/>
      </c>
      <c r="AD112" s="21" t="str">
        <f>IF(SUBTOTAL(109,A112)=A112,"","")</f>
        <v/>
      </c>
      <c r="AE112" s="21" t="str">
        <f>IF(SUBTOTAL(109,A112)=A112,"","")</f>
        <v/>
      </c>
      <c r="AF112" s="21" t="str">
        <f>IF(SUBTOTAL(109,A112)=A112,"","")</f>
        <v/>
      </c>
      <c r="AG112" s="21" t="str">
        <f>IF(SUBTOTAL(109,A112)=A112,"",319)</f>
        <v/>
      </c>
      <c r="AH112" s="21" t="str">
        <f>IF(SUBTOTAL(109,A112)=A112,"",788)</f>
        <v/>
      </c>
      <c r="AI112" s="21" t="str">
        <f>IF(SUBTOTAL(109,A112)=A112,"",1269)</f>
        <v/>
      </c>
      <c r="AJ112" s="21" t="str">
        <f>IF(SUBTOTAL(109,A112)=A112,"","")</f>
        <v/>
      </c>
      <c r="AK112" s="21" t="str">
        <f>IF(SUBTOTAL(109,A112)=A112,"","")</f>
        <v/>
      </c>
      <c r="AL112" s="21" t="str">
        <f>IF(SUBTOTAL(109,A112)=A112,"",789)</f>
        <v/>
      </c>
      <c r="AM112" s="21" t="str">
        <f>IF(SUBTOTAL(109,A112)=A112,"",1271)</f>
        <v/>
      </c>
      <c r="AN112" s="21" t="str">
        <f>IF(SUBTOTAL(109,A112)=A112,"","")</f>
        <v/>
      </c>
      <c r="AO112" s="21" t="str">
        <f>IF(SUBTOTAL(109,A112)=A112,"","")</f>
        <v/>
      </c>
      <c r="AP112" s="21" t="str">
        <f>IF(SUBTOTAL(109,A112)=A112,"","")</f>
        <v/>
      </c>
      <c r="AQ112" s="21" t="str">
        <f>IF(SUBTOTAL(109,A112)=A112,"","")</f>
        <v/>
      </c>
      <c r="AR112" s="21" t="str">
        <f>IF(SUBTOTAL(109,A112)=A112,"",30000)</f>
        <v/>
      </c>
      <c r="AS112" s="21" t="str">
        <f>IF(SUBTOTAL(109,A112)=A112,"","")</f>
        <v/>
      </c>
      <c r="AT112" s="21" t="str">
        <f>IF(SUBTOTAL(109,A112)=A112,"","")</f>
        <v/>
      </c>
      <c r="AU112" s="21" t="str">
        <f>IF(SUBTOTAL(109,A112)=A112,"","")</f>
        <v/>
      </c>
      <c r="AV112" s="21" t="str">
        <f>IF(SUBTOTAL(109,A112)=A112,"","")</f>
        <v/>
      </c>
      <c r="AW112" s="21" t="str">
        <f>IF(SUBTOTAL(109,A112)=A112,"","")</f>
        <v/>
      </c>
      <c r="AX112" s="21" t="str">
        <f>IF(SUBTOTAL(109,A112)=A112,"","")</f>
        <v/>
      </c>
      <c r="AY112" s="21" t="str">
        <f>IF(SUBTOTAL(109,A112)=A112,"","")</f>
        <v/>
      </c>
      <c r="AZ112" s="21" t="str">
        <f>IF(SUBTOTAL(109,A112)=A112,"","")</f>
        <v/>
      </c>
      <c r="BA112" s="21" t="str">
        <f>IF(SUBTOTAL(109,A112)=A112,"","")</f>
        <v/>
      </c>
      <c r="BB112" s="21" t="str">
        <f>IF(SUBTOTAL(109,A112)=A112,"","")</f>
        <v/>
      </c>
      <c r="BC112" s="21" t="str">
        <f>IF(SUBTOTAL(109,A112)=A112,"","")</f>
        <v/>
      </c>
      <c r="BD112" s="21" t="str">
        <f>IF(SUBTOTAL(109,A112)=A112,"","")</f>
        <v/>
      </c>
      <c r="BE112" s="21" t="str">
        <f>IF(SUBTOTAL(109,A112)=A112,"","")</f>
        <v/>
      </c>
      <c r="BF112" s="21" t="str">
        <f>IF(SUBTOTAL(109,A112)=A112,"","")</f>
        <v/>
      </c>
      <c r="BG112" s="21" t="str">
        <f>IF(SUBTOTAL(109,A112)=A112,"","")</f>
        <v/>
      </c>
      <c r="BH112" s="21" t="str">
        <f>IF(SUBTOTAL(109,A112)=A112,"","")</f>
        <v/>
      </c>
      <c r="BI112" s="21" t="str">
        <f>IF(SUBTOTAL(109,A112)=A112,"","")</f>
        <v/>
      </c>
      <c r="BJ112" s="21" t="str">
        <f>IF(SUBTOTAL(109,A112)=A112,"","")</f>
        <v/>
      </c>
      <c r="BK112" s="21" t="str">
        <f>IF(SUBTOTAL(109,A112)=A112,"","")</f>
        <v/>
      </c>
      <c r="BL112" s="21" t="str">
        <f>IF(SUBTOTAL(109,A112)=A112,"","")</f>
        <v/>
      </c>
      <c r="BM112" s="21" t="str">
        <f>IF(SUBTOTAL(109,A112)=A112,"","")</f>
        <v/>
      </c>
      <c r="BN112" s="21" t="str">
        <f>IF(SUBTOTAL(109,A112)=A112,"","")</f>
        <v/>
      </c>
      <c r="BO112" s="21" t="str">
        <f>IF(SUBTOTAL(109,A112)=A112,"","")</f>
        <v/>
      </c>
      <c r="BP112" s="21" t="str">
        <f>IF(SUBTOTAL(109,A112)=A112,"","")</f>
        <v/>
      </c>
      <c r="BQ112" s="21" t="str">
        <f>IF(SUBTOTAL(109,A112)=A112,"","")</f>
        <v/>
      </c>
      <c r="BR112" s="21" t="str">
        <f>IF(SUBTOTAL(109,A112)=A112,"","")</f>
        <v/>
      </c>
      <c r="BS112" s="21" t="str">
        <f>IF(SUBTOTAL(109,A112)=A112,"","")</f>
        <v/>
      </c>
      <c r="BT112" s="21" t="str">
        <f>IF(SUBTOTAL(109,A112)=A112,"","")</f>
        <v/>
      </c>
      <c r="BU112" s="21" t="str">
        <f>IF(SUBTOTAL(109,A112)=A112,"","")</f>
        <v/>
      </c>
      <c r="BV112" s="21" t="str">
        <f>IF(SUBTOTAL(109,A112)=A112,"","")</f>
        <v/>
      </c>
      <c r="BW112" s="21" t="str">
        <f>IF(SUBTOTAL(109,A112)=A112,"","")</f>
        <v/>
      </c>
      <c r="BX112" s="21" t="str">
        <f>IF(SUBTOTAL(109,A112)=A112,"","")</f>
        <v/>
      </c>
      <c r="BY112" s="21" t="str">
        <f>IF(SUBTOTAL(109,A112)=A112,"","")</f>
        <v/>
      </c>
      <c r="BZ112" s="21" t="str">
        <f>IF(SUBTOTAL(109,A112)=A112,"","")</f>
        <v/>
      </c>
      <c r="CA112" s="21" t="str">
        <f>IF(SUBTOTAL(109,A112)=A112,"","")</f>
        <v/>
      </c>
      <c r="CB112" s="21" t="str">
        <f>IF(SUBTOTAL(109,A112)=A112,"","")</f>
        <v/>
      </c>
      <c r="CC112" s="21" t="str">
        <f>IF(SUBTOTAL(109,A112)=A112,"","")</f>
        <v/>
      </c>
      <c r="CD112" s="21" t="str">
        <f>IF(SUBTOTAL(109,A112)=A112,"","")</f>
        <v/>
      </c>
      <c r="CE112" s="21" t="str">
        <f>IF(SUBTOTAL(109,A112)=A112,"","")</f>
        <v/>
      </c>
      <c r="CG112" s="15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</row>
    <row r="113" spans="1:106" outlineLevel="6" x14ac:dyDescent="0.2">
      <c r="A113" s="14">
        <v>1</v>
      </c>
      <c r="C113" s="9" t="str">
        <f>"                        Other Current Portion of LT Debt"</f>
        <v xml:space="preserve">                        Other Current Portion of LT Debt</v>
      </c>
      <c r="D113" s="17">
        <f t="shared" si="24"/>
        <v>6300</v>
      </c>
      <c r="E113" s="17">
        <f t="shared" si="25"/>
        <v>15071</v>
      </c>
      <c r="F113" s="17">
        <f t="shared" si="26"/>
        <v>0</v>
      </c>
      <c r="G113" s="17">
        <f t="shared" si="27"/>
        <v>81300</v>
      </c>
      <c r="H113" s="17">
        <f t="shared" si="28"/>
        <v>1149</v>
      </c>
      <c r="I113" s="17">
        <f t="shared" si="29"/>
        <v>6300</v>
      </c>
      <c r="J113" s="17">
        <f t="shared" si="30"/>
        <v>26792.561619474411</v>
      </c>
      <c r="K113" s="18">
        <f t="shared" si="31"/>
        <v>1.7777560626019779</v>
      </c>
      <c r="L113" s="21"/>
      <c r="M113" s="21" t="s">
        <v>165</v>
      </c>
      <c r="N113" s="21"/>
      <c r="O113" s="21"/>
      <c r="P113" s="21"/>
      <c r="Q113" s="21"/>
      <c r="R113" s="21">
        <v>81300</v>
      </c>
      <c r="S113" s="21">
        <v>81300</v>
      </c>
      <c r="T113" s="21" t="s">
        <v>165</v>
      </c>
      <c r="U113" s="21">
        <v>6300</v>
      </c>
      <c r="V113" s="21">
        <v>6300</v>
      </c>
      <c r="W113" s="21">
        <v>6300</v>
      </c>
      <c r="X113" s="21">
        <v>6300</v>
      </c>
      <c r="Y113" s="21">
        <v>6300</v>
      </c>
      <c r="Z113" s="21">
        <v>6300</v>
      </c>
      <c r="AA113" s="21">
        <v>6300</v>
      </c>
      <c r="AB113" s="21">
        <v>0</v>
      </c>
      <c r="AC113" s="21" t="s">
        <v>165</v>
      </c>
      <c r="AD113" s="21" t="s">
        <v>165</v>
      </c>
      <c r="AE113" s="21" t="s">
        <v>165</v>
      </c>
      <c r="AF113" s="21" t="s">
        <v>165</v>
      </c>
      <c r="AG113" s="21">
        <v>319</v>
      </c>
      <c r="AH113" s="21">
        <v>788</v>
      </c>
      <c r="AI113" s="21">
        <v>1269</v>
      </c>
      <c r="AJ113" s="21" t="s">
        <v>165</v>
      </c>
      <c r="AK113" s="21" t="s">
        <v>165</v>
      </c>
      <c r="AL113" s="21">
        <v>789</v>
      </c>
      <c r="AM113" s="21">
        <v>1271</v>
      </c>
      <c r="AN113" s="21" t="s">
        <v>165</v>
      </c>
      <c r="AO113" s="21" t="s">
        <v>165</v>
      </c>
      <c r="AP113" s="21" t="s">
        <v>165</v>
      </c>
      <c r="AQ113" s="21" t="s">
        <v>165</v>
      </c>
      <c r="AR113" s="21">
        <v>30000</v>
      </c>
      <c r="AS113" s="21" t="s">
        <v>165</v>
      </c>
      <c r="AT113" s="21" t="s">
        <v>165</v>
      </c>
      <c r="AU113" s="21" t="s">
        <v>165</v>
      </c>
      <c r="AV113" s="21" t="s">
        <v>165</v>
      </c>
      <c r="AW113" s="21" t="s">
        <v>165</v>
      </c>
      <c r="AX113" s="21" t="s">
        <v>165</v>
      </c>
      <c r="AY113" s="21" t="s">
        <v>165</v>
      </c>
      <c r="AZ113" s="21" t="s">
        <v>165</v>
      </c>
      <c r="BA113" s="21" t="s">
        <v>165</v>
      </c>
      <c r="BB113" s="21" t="s">
        <v>165</v>
      </c>
      <c r="BC113" s="21" t="s">
        <v>165</v>
      </c>
      <c r="BD113" s="21" t="s">
        <v>165</v>
      </c>
      <c r="BE113" s="21" t="s">
        <v>165</v>
      </c>
      <c r="BF113" s="21" t="s">
        <v>165</v>
      </c>
      <c r="BG113" s="21" t="s">
        <v>165</v>
      </c>
      <c r="BH113" s="21" t="s">
        <v>165</v>
      </c>
      <c r="BI113" s="21" t="s">
        <v>165</v>
      </c>
      <c r="BJ113" s="21" t="s">
        <v>165</v>
      </c>
      <c r="BK113" s="21" t="s">
        <v>165</v>
      </c>
      <c r="BL113" s="21" t="s">
        <v>165</v>
      </c>
      <c r="BM113" s="21" t="s">
        <v>165</v>
      </c>
      <c r="BN113" s="21" t="s">
        <v>165</v>
      </c>
      <c r="BO113" s="21" t="s">
        <v>165</v>
      </c>
      <c r="BP113" s="21" t="s">
        <v>165</v>
      </c>
      <c r="BQ113" s="21" t="s">
        <v>165</v>
      </c>
      <c r="BR113" s="21" t="s">
        <v>165</v>
      </c>
      <c r="BS113" s="21" t="s">
        <v>165</v>
      </c>
      <c r="BT113" s="21" t="s">
        <v>165</v>
      </c>
      <c r="BU113" s="21" t="s">
        <v>165</v>
      </c>
      <c r="BV113" s="21" t="s">
        <v>165</v>
      </c>
      <c r="BW113" s="21" t="s">
        <v>165</v>
      </c>
      <c r="BX113" s="21" t="s">
        <v>165</v>
      </c>
      <c r="BY113" s="21" t="s">
        <v>165</v>
      </c>
      <c r="BZ113" s="21" t="s">
        <v>165</v>
      </c>
      <c r="CA113" s="21" t="s">
        <v>165</v>
      </c>
      <c r="CB113" s="21" t="s">
        <v>165</v>
      </c>
      <c r="CC113" s="21" t="s">
        <v>165</v>
      </c>
      <c r="CD113" s="21" t="s">
        <v>165</v>
      </c>
      <c r="CE113" s="21" t="s">
        <v>165</v>
      </c>
      <c r="CG113" s="15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</row>
    <row r="114" spans="1:106" outlineLevel="6" x14ac:dyDescent="0.2">
      <c r="A114" s="14">
        <v>1</v>
      </c>
      <c r="C114" s="10" t="str">
        <f>"                        Total Current Portion of Long Term Debt"</f>
        <v xml:space="preserve">                        Total Current Portion of Long Term Debt</v>
      </c>
      <c r="D114" s="29">
        <f t="shared" si="24"/>
        <v>6300</v>
      </c>
      <c r="E114" s="29">
        <f t="shared" si="25"/>
        <v>15557.157894736842</v>
      </c>
      <c r="F114" s="29">
        <f t="shared" si="26"/>
        <v>0</v>
      </c>
      <c r="G114" s="29">
        <f t="shared" si="27"/>
        <v>81300</v>
      </c>
      <c r="H114" s="29">
        <f t="shared" si="28"/>
        <v>1270</v>
      </c>
      <c r="I114" s="29">
        <f t="shared" si="29"/>
        <v>6300</v>
      </c>
      <c r="J114" s="29">
        <f t="shared" si="30"/>
        <v>25423.201842374783</v>
      </c>
      <c r="K114" s="30">
        <f t="shared" si="31"/>
        <v>1.6341803570031088</v>
      </c>
      <c r="L114" s="31"/>
      <c r="M114" s="31" t="s">
        <v>165</v>
      </c>
      <c r="N114" s="31"/>
      <c r="O114" s="31"/>
      <c r="P114" s="31">
        <v>41850</v>
      </c>
      <c r="Q114" s="31">
        <v>6300</v>
      </c>
      <c r="R114" s="31">
        <v>81300</v>
      </c>
      <c r="S114" s="31">
        <v>81300</v>
      </c>
      <c r="T114" s="31">
        <v>6300</v>
      </c>
      <c r="U114" s="31">
        <v>6300</v>
      </c>
      <c r="V114" s="31">
        <v>6300</v>
      </c>
      <c r="W114" s="31">
        <v>6300</v>
      </c>
      <c r="X114" s="31">
        <v>6300</v>
      </c>
      <c r="Y114" s="31">
        <v>6300</v>
      </c>
      <c r="Z114" s="31">
        <v>6300</v>
      </c>
      <c r="AA114" s="31">
        <v>6300</v>
      </c>
      <c r="AB114" s="31">
        <v>0</v>
      </c>
      <c r="AC114" s="31" t="s">
        <v>165</v>
      </c>
      <c r="AD114" s="31" t="s">
        <v>165</v>
      </c>
      <c r="AE114" s="31" t="s">
        <v>165</v>
      </c>
      <c r="AF114" s="31" t="s">
        <v>165</v>
      </c>
      <c r="AG114" s="31">
        <v>319</v>
      </c>
      <c r="AH114" s="31">
        <v>788</v>
      </c>
      <c r="AI114" s="31">
        <v>1269</v>
      </c>
      <c r="AJ114" s="31" t="s">
        <v>165</v>
      </c>
      <c r="AK114" s="31" t="s">
        <v>165</v>
      </c>
      <c r="AL114" s="31">
        <v>789</v>
      </c>
      <c r="AM114" s="31">
        <v>1271</v>
      </c>
      <c r="AN114" s="31" t="s">
        <v>165</v>
      </c>
      <c r="AO114" s="31" t="s">
        <v>165</v>
      </c>
      <c r="AP114" s="31" t="s">
        <v>165</v>
      </c>
      <c r="AQ114" s="31" t="s">
        <v>165</v>
      </c>
      <c r="AR114" s="31">
        <v>30000</v>
      </c>
      <c r="AS114" s="31" t="s">
        <v>165</v>
      </c>
      <c r="AT114" s="31" t="s">
        <v>165</v>
      </c>
      <c r="AU114" s="31" t="s">
        <v>165</v>
      </c>
      <c r="AV114" s="31" t="s">
        <v>165</v>
      </c>
      <c r="AW114" s="31" t="s">
        <v>165</v>
      </c>
      <c r="AX114" s="31" t="s">
        <v>165</v>
      </c>
      <c r="AY114" s="31" t="s">
        <v>165</v>
      </c>
      <c r="AZ114" s="31" t="s">
        <v>165</v>
      </c>
      <c r="BA114" s="31" t="s">
        <v>165</v>
      </c>
      <c r="BB114" s="31" t="s">
        <v>165</v>
      </c>
      <c r="BC114" s="31" t="s">
        <v>165</v>
      </c>
      <c r="BD114" s="31" t="s">
        <v>165</v>
      </c>
      <c r="BE114" s="31" t="s">
        <v>165</v>
      </c>
      <c r="BF114" s="31" t="s">
        <v>165</v>
      </c>
      <c r="BG114" s="31" t="s">
        <v>165</v>
      </c>
      <c r="BH114" s="31" t="s">
        <v>165</v>
      </c>
      <c r="BI114" s="31" t="s">
        <v>165</v>
      </c>
      <c r="BJ114" s="31" t="s">
        <v>165</v>
      </c>
      <c r="BK114" s="31" t="s">
        <v>165</v>
      </c>
      <c r="BL114" s="31" t="s">
        <v>165</v>
      </c>
      <c r="BM114" s="31" t="s">
        <v>165</v>
      </c>
      <c r="BN114" s="31" t="s">
        <v>165</v>
      </c>
      <c r="BO114" s="31" t="s">
        <v>165</v>
      </c>
      <c r="BP114" s="31" t="s">
        <v>165</v>
      </c>
      <c r="BQ114" s="31" t="s">
        <v>165</v>
      </c>
      <c r="BR114" s="31" t="s">
        <v>165</v>
      </c>
      <c r="BS114" s="31" t="s">
        <v>165</v>
      </c>
      <c r="BT114" s="31" t="s">
        <v>165</v>
      </c>
      <c r="BU114" s="31" t="s">
        <v>165</v>
      </c>
      <c r="BV114" s="31" t="s">
        <v>165</v>
      </c>
      <c r="BW114" s="31" t="s">
        <v>165</v>
      </c>
      <c r="BX114" s="31" t="s">
        <v>165</v>
      </c>
      <c r="BY114" s="31" t="s">
        <v>165</v>
      </c>
      <c r="BZ114" s="31" t="s">
        <v>165</v>
      </c>
      <c r="CA114" s="31" t="s">
        <v>165</v>
      </c>
      <c r="CB114" s="31" t="s">
        <v>165</v>
      </c>
      <c r="CC114" s="31" t="s">
        <v>165</v>
      </c>
      <c r="CD114" s="31" t="s">
        <v>165</v>
      </c>
      <c r="CE114" s="31" t="s">
        <v>165</v>
      </c>
      <c r="CG114" s="15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</row>
    <row r="115" spans="1:106" outlineLevel="5" x14ac:dyDescent="0.2">
      <c r="A115" s="14">
        <v>1</v>
      </c>
      <c r="C115" s="9" t="str">
        <f>"                    Capital Lease Obligations, Current"</f>
        <v xml:space="preserve">                    Capital Lease Obligations, Current</v>
      </c>
      <c r="D115" s="17">
        <f t="shared" si="24"/>
        <v>458.5</v>
      </c>
      <c r="E115" s="17">
        <f t="shared" si="25"/>
        <v>989.27777777777783</v>
      </c>
      <c r="F115" s="17">
        <f t="shared" si="26"/>
        <v>0</v>
      </c>
      <c r="G115" s="17">
        <f t="shared" si="27"/>
        <v>3043</v>
      </c>
      <c r="H115" s="17">
        <f t="shared" si="28"/>
        <v>431.5</v>
      </c>
      <c r="I115" s="17">
        <f t="shared" si="29"/>
        <v>1346.75</v>
      </c>
      <c r="J115" s="17">
        <f t="shared" si="30"/>
        <v>939.3743885321046</v>
      </c>
      <c r="K115" s="18">
        <f t="shared" si="31"/>
        <v>0.94955573614746347</v>
      </c>
      <c r="L115" s="21"/>
      <c r="M115" s="21">
        <v>2653</v>
      </c>
      <c r="N115" s="21">
        <v>2428.5</v>
      </c>
      <c r="O115" s="21">
        <v>3043</v>
      </c>
      <c r="P115" s="21">
        <v>2230</v>
      </c>
      <c r="Q115" s="21">
        <v>359.5</v>
      </c>
      <c r="R115" s="21" t="s">
        <v>165</v>
      </c>
      <c r="S115" s="21">
        <v>604</v>
      </c>
      <c r="T115" s="21">
        <v>1022</v>
      </c>
      <c r="U115" s="21" t="s">
        <v>165</v>
      </c>
      <c r="V115" s="21" t="s">
        <v>165</v>
      </c>
      <c r="W115" s="21" t="s">
        <v>165</v>
      </c>
      <c r="X115" s="21">
        <v>1455</v>
      </c>
      <c r="Y115" s="21" t="s">
        <v>165</v>
      </c>
      <c r="Z115" s="21" t="s">
        <v>165</v>
      </c>
      <c r="AA115" s="21" t="s">
        <v>165</v>
      </c>
      <c r="AB115" s="21">
        <v>496</v>
      </c>
      <c r="AC115" s="21" t="s">
        <v>165</v>
      </c>
      <c r="AD115" s="21" t="s">
        <v>165</v>
      </c>
      <c r="AE115" s="21" t="s">
        <v>165</v>
      </c>
      <c r="AF115" s="21" t="s">
        <v>165</v>
      </c>
      <c r="AG115" s="21">
        <v>462</v>
      </c>
      <c r="AH115" s="21">
        <v>455</v>
      </c>
      <c r="AI115" s="21">
        <v>449</v>
      </c>
      <c r="AJ115" s="21">
        <v>442</v>
      </c>
      <c r="AK115" s="21">
        <v>436</v>
      </c>
      <c r="AL115" s="21">
        <v>430</v>
      </c>
      <c r="AM115" s="21">
        <v>424</v>
      </c>
      <c r="AN115" s="21">
        <v>418</v>
      </c>
      <c r="AO115" s="21" t="s">
        <v>165</v>
      </c>
      <c r="AP115" s="21" t="s">
        <v>165</v>
      </c>
      <c r="AQ115" s="21" t="s">
        <v>165</v>
      </c>
      <c r="AR115" s="21">
        <v>0</v>
      </c>
      <c r="AS115" s="21" t="s">
        <v>165</v>
      </c>
      <c r="AT115" s="21" t="s">
        <v>165</v>
      </c>
      <c r="AU115" s="21" t="s">
        <v>165</v>
      </c>
      <c r="AV115" s="21" t="s">
        <v>165</v>
      </c>
      <c r="AW115" s="21" t="s">
        <v>165</v>
      </c>
      <c r="AX115" s="21" t="s">
        <v>165</v>
      </c>
      <c r="AY115" s="21" t="s">
        <v>165</v>
      </c>
      <c r="AZ115" s="21" t="s">
        <v>165</v>
      </c>
      <c r="BA115" s="21" t="s">
        <v>165</v>
      </c>
      <c r="BB115" s="21" t="s">
        <v>165</v>
      </c>
      <c r="BC115" s="21" t="s">
        <v>165</v>
      </c>
      <c r="BD115" s="21" t="s">
        <v>165</v>
      </c>
      <c r="BE115" s="21" t="s">
        <v>165</v>
      </c>
      <c r="BF115" s="21" t="s">
        <v>165</v>
      </c>
      <c r="BG115" s="21" t="s">
        <v>165</v>
      </c>
      <c r="BH115" s="21" t="s">
        <v>165</v>
      </c>
      <c r="BI115" s="21" t="s">
        <v>165</v>
      </c>
      <c r="BJ115" s="21" t="s">
        <v>165</v>
      </c>
      <c r="BK115" s="21" t="s">
        <v>165</v>
      </c>
      <c r="BL115" s="21" t="s">
        <v>165</v>
      </c>
      <c r="BM115" s="21" t="s">
        <v>165</v>
      </c>
      <c r="BN115" s="21" t="s">
        <v>165</v>
      </c>
      <c r="BO115" s="21" t="s">
        <v>165</v>
      </c>
      <c r="BP115" s="21" t="s">
        <v>165</v>
      </c>
      <c r="BQ115" s="21" t="s">
        <v>165</v>
      </c>
      <c r="BR115" s="21" t="s">
        <v>165</v>
      </c>
      <c r="BS115" s="21" t="s">
        <v>165</v>
      </c>
      <c r="BT115" s="21" t="s">
        <v>165</v>
      </c>
      <c r="BU115" s="21" t="s">
        <v>165</v>
      </c>
      <c r="BV115" s="21" t="s">
        <v>165</v>
      </c>
      <c r="BW115" s="21" t="s">
        <v>165</v>
      </c>
      <c r="BX115" s="21" t="s">
        <v>165</v>
      </c>
      <c r="BY115" s="21" t="s">
        <v>165</v>
      </c>
      <c r="BZ115" s="21" t="s">
        <v>165</v>
      </c>
      <c r="CA115" s="21" t="s">
        <v>165</v>
      </c>
      <c r="CB115" s="21" t="s">
        <v>165</v>
      </c>
      <c r="CC115" s="21" t="s">
        <v>165</v>
      </c>
      <c r="CD115" s="21" t="s">
        <v>165</v>
      </c>
      <c r="CE115" s="21" t="s">
        <v>165</v>
      </c>
      <c r="CG115" s="15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</row>
    <row r="116" spans="1:106" outlineLevel="5" x14ac:dyDescent="0.2">
      <c r="A116" s="14">
        <v>1</v>
      </c>
      <c r="C116" s="10" t="str">
        <f>"                    Total Current Portion of Long Term Debt and Capital Lease"</f>
        <v xml:space="preserve">                    Total Current Portion of Long Term Debt and Capital Lease</v>
      </c>
      <c r="D116" s="29">
        <f t="shared" si="24"/>
        <v>6300</v>
      </c>
      <c r="E116" s="29">
        <f t="shared" si="25"/>
        <v>12483.93</v>
      </c>
      <c r="F116" s="29">
        <f t="shared" si="26"/>
        <v>418</v>
      </c>
      <c r="G116" s="29">
        <f t="shared" si="27"/>
        <v>81904</v>
      </c>
      <c r="H116" s="29">
        <f t="shared" si="28"/>
        <v>1243</v>
      </c>
      <c r="I116" s="29">
        <f t="shared" si="29"/>
        <v>6479.75</v>
      </c>
      <c r="J116" s="29">
        <f t="shared" si="30"/>
        <v>22907.495311023929</v>
      </c>
      <c r="K116" s="30">
        <f t="shared" si="31"/>
        <v>1.8349586477194224</v>
      </c>
      <c r="L116" s="31"/>
      <c r="M116" s="31">
        <v>2653</v>
      </c>
      <c r="N116" s="31">
        <v>2428.5</v>
      </c>
      <c r="O116" s="31">
        <v>3043</v>
      </c>
      <c r="P116" s="31">
        <v>42965</v>
      </c>
      <c r="Q116" s="31">
        <v>6479.75</v>
      </c>
      <c r="R116" s="31">
        <v>81300</v>
      </c>
      <c r="S116" s="31">
        <v>81904</v>
      </c>
      <c r="T116" s="31">
        <v>7322</v>
      </c>
      <c r="U116" s="31">
        <v>6300</v>
      </c>
      <c r="V116" s="31">
        <v>6300</v>
      </c>
      <c r="W116" s="31">
        <v>6300</v>
      </c>
      <c r="X116" s="31">
        <v>7755</v>
      </c>
      <c r="Y116" s="31">
        <v>6300</v>
      </c>
      <c r="Z116" s="31">
        <v>6300</v>
      </c>
      <c r="AA116" s="31">
        <v>6300</v>
      </c>
      <c r="AB116" s="31">
        <v>496</v>
      </c>
      <c r="AC116" s="31" t="s">
        <v>165</v>
      </c>
      <c r="AD116" s="31" t="s">
        <v>165</v>
      </c>
      <c r="AE116" s="31" t="s">
        <v>165</v>
      </c>
      <c r="AF116" s="31" t="s">
        <v>165</v>
      </c>
      <c r="AG116" s="31">
        <v>781</v>
      </c>
      <c r="AH116" s="31">
        <v>1243</v>
      </c>
      <c r="AI116" s="31">
        <v>1718</v>
      </c>
      <c r="AJ116" s="31">
        <v>442</v>
      </c>
      <c r="AK116" s="31">
        <v>436</v>
      </c>
      <c r="AL116" s="31">
        <v>1219</v>
      </c>
      <c r="AM116" s="31">
        <v>1695</v>
      </c>
      <c r="AN116" s="31">
        <v>418</v>
      </c>
      <c r="AO116" s="31" t="s">
        <v>165</v>
      </c>
      <c r="AP116" s="31" t="s">
        <v>165</v>
      </c>
      <c r="AQ116" s="31" t="s">
        <v>165</v>
      </c>
      <c r="AR116" s="31">
        <v>30000</v>
      </c>
      <c r="AS116" s="31" t="s">
        <v>165</v>
      </c>
      <c r="AT116" s="31" t="s">
        <v>165</v>
      </c>
      <c r="AU116" s="31" t="s">
        <v>165</v>
      </c>
      <c r="AV116" s="31" t="s">
        <v>165</v>
      </c>
      <c r="AW116" s="31" t="s">
        <v>165</v>
      </c>
      <c r="AX116" s="31" t="s">
        <v>165</v>
      </c>
      <c r="AY116" s="31" t="s">
        <v>165</v>
      </c>
      <c r="AZ116" s="31" t="s">
        <v>165</v>
      </c>
      <c r="BA116" s="31" t="s">
        <v>165</v>
      </c>
      <c r="BB116" s="31" t="s">
        <v>165</v>
      </c>
      <c r="BC116" s="31" t="s">
        <v>165</v>
      </c>
      <c r="BD116" s="31" t="s">
        <v>165</v>
      </c>
      <c r="BE116" s="31" t="s">
        <v>165</v>
      </c>
      <c r="BF116" s="31" t="s">
        <v>165</v>
      </c>
      <c r="BG116" s="31" t="s">
        <v>165</v>
      </c>
      <c r="BH116" s="31" t="s">
        <v>165</v>
      </c>
      <c r="BI116" s="31" t="s">
        <v>165</v>
      </c>
      <c r="BJ116" s="31" t="s">
        <v>165</v>
      </c>
      <c r="BK116" s="31" t="s">
        <v>165</v>
      </c>
      <c r="BL116" s="31" t="s">
        <v>165</v>
      </c>
      <c r="BM116" s="31" t="s">
        <v>165</v>
      </c>
      <c r="BN116" s="31" t="s">
        <v>165</v>
      </c>
      <c r="BO116" s="31" t="s">
        <v>165</v>
      </c>
      <c r="BP116" s="31" t="s">
        <v>165</v>
      </c>
      <c r="BQ116" s="31" t="s">
        <v>165</v>
      </c>
      <c r="BR116" s="31" t="s">
        <v>165</v>
      </c>
      <c r="BS116" s="31" t="s">
        <v>165</v>
      </c>
      <c r="BT116" s="31" t="s">
        <v>165</v>
      </c>
      <c r="BU116" s="31" t="s">
        <v>165</v>
      </c>
      <c r="BV116" s="31" t="s">
        <v>165</v>
      </c>
      <c r="BW116" s="31" t="s">
        <v>165</v>
      </c>
      <c r="BX116" s="31" t="s">
        <v>165</v>
      </c>
      <c r="BY116" s="31" t="s">
        <v>165</v>
      </c>
      <c r="BZ116" s="31" t="s">
        <v>165</v>
      </c>
      <c r="CA116" s="31" t="s">
        <v>165</v>
      </c>
      <c r="CB116" s="31" t="s">
        <v>165</v>
      </c>
      <c r="CC116" s="31" t="s">
        <v>165</v>
      </c>
      <c r="CD116" s="31" t="s">
        <v>165</v>
      </c>
      <c r="CE116" s="31" t="s">
        <v>165</v>
      </c>
      <c r="CG116" s="15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</row>
    <row r="117" spans="1:106" outlineLevel="4" x14ac:dyDescent="0.2">
      <c r="A117" s="14">
        <v>1</v>
      </c>
      <c r="C117" s="10" t="str">
        <f>"                Total Current Debt and Capital Lease Obligation"</f>
        <v xml:space="preserve">                Total Current Debt and Capital Lease Obligation</v>
      </c>
      <c r="D117" s="29">
        <f t="shared" si="24"/>
        <v>3815.7280000000001</v>
      </c>
      <c r="E117" s="29">
        <f t="shared" si="25"/>
        <v>9106.7594677419384</v>
      </c>
      <c r="F117" s="29">
        <f t="shared" si="26"/>
        <v>0</v>
      </c>
      <c r="G117" s="29">
        <f t="shared" si="27"/>
        <v>81904</v>
      </c>
      <c r="H117" s="29">
        <f t="shared" si="28"/>
        <v>1322.6975</v>
      </c>
      <c r="I117" s="29">
        <f t="shared" si="29"/>
        <v>6300</v>
      </c>
      <c r="J117" s="29">
        <f t="shared" si="30"/>
        <v>16209.186206627297</v>
      </c>
      <c r="K117" s="30">
        <f t="shared" si="31"/>
        <v>1.7799071408489102</v>
      </c>
      <c r="L117" s="31"/>
      <c r="M117" s="31">
        <v>2653</v>
      </c>
      <c r="N117" s="31">
        <v>2428.5</v>
      </c>
      <c r="O117" s="31">
        <v>3043</v>
      </c>
      <c r="P117" s="31">
        <v>42965</v>
      </c>
      <c r="Q117" s="31">
        <v>6479.75</v>
      </c>
      <c r="R117" s="31">
        <v>81300</v>
      </c>
      <c r="S117" s="31">
        <v>81904</v>
      </c>
      <c r="T117" s="31">
        <v>7322</v>
      </c>
      <c r="U117" s="31">
        <v>6300</v>
      </c>
      <c r="V117" s="31">
        <v>6300</v>
      </c>
      <c r="W117" s="31">
        <v>6300</v>
      </c>
      <c r="X117" s="31">
        <v>7755</v>
      </c>
      <c r="Y117" s="31">
        <v>6300</v>
      </c>
      <c r="Z117" s="31">
        <v>6300</v>
      </c>
      <c r="AA117" s="31">
        <v>6300</v>
      </c>
      <c r="AB117" s="31">
        <v>496</v>
      </c>
      <c r="AC117" s="31" t="s">
        <v>165</v>
      </c>
      <c r="AD117" s="31" t="s">
        <v>165</v>
      </c>
      <c r="AE117" s="31" t="s">
        <v>165</v>
      </c>
      <c r="AF117" s="31" t="s">
        <v>165</v>
      </c>
      <c r="AG117" s="31">
        <v>781</v>
      </c>
      <c r="AH117" s="31">
        <v>1243</v>
      </c>
      <c r="AI117" s="31">
        <v>1718</v>
      </c>
      <c r="AJ117" s="31">
        <v>442</v>
      </c>
      <c r="AK117" s="31">
        <v>436</v>
      </c>
      <c r="AL117" s="31">
        <v>1219</v>
      </c>
      <c r="AM117" s="31">
        <v>1695</v>
      </c>
      <c r="AN117" s="31">
        <v>418</v>
      </c>
      <c r="AO117" s="31">
        <v>0</v>
      </c>
      <c r="AP117" s="31">
        <v>30542</v>
      </c>
      <c r="AQ117" s="31">
        <v>31111</v>
      </c>
      <c r="AR117" s="31">
        <v>30000</v>
      </c>
      <c r="AS117" s="31">
        <v>30275</v>
      </c>
      <c r="AT117" s="31">
        <v>685</v>
      </c>
      <c r="AU117" s="31">
        <v>1094</v>
      </c>
      <c r="AV117" s="31">
        <v>0</v>
      </c>
      <c r="AW117" s="31">
        <v>540</v>
      </c>
      <c r="AX117" s="31">
        <v>3592</v>
      </c>
      <c r="AY117" s="31">
        <v>4492</v>
      </c>
      <c r="AZ117" s="31">
        <v>2378</v>
      </c>
      <c r="BA117" s="31">
        <v>3362.2649999999999</v>
      </c>
      <c r="BB117" s="31">
        <v>5586.7939999999999</v>
      </c>
      <c r="BC117" s="31">
        <v>23005.441999999999</v>
      </c>
      <c r="BD117" s="31">
        <v>8919.64</v>
      </c>
      <c r="BE117" s="31">
        <v>22057.359</v>
      </c>
      <c r="BF117" s="31">
        <v>15652.733</v>
      </c>
      <c r="BG117" s="31">
        <v>14792.758</v>
      </c>
      <c r="BH117" s="31">
        <v>2887.4029999999998</v>
      </c>
      <c r="BI117" s="31">
        <v>1773.5260000000001</v>
      </c>
      <c r="BJ117" s="31">
        <v>6245.335</v>
      </c>
      <c r="BK117" s="31">
        <v>4717.5929999999998</v>
      </c>
      <c r="BL117" s="31">
        <v>1690.5840000000001</v>
      </c>
      <c r="BM117" s="31">
        <v>4164.2920000000004</v>
      </c>
      <c r="BN117" s="31">
        <v>6137.8389999999999</v>
      </c>
      <c r="BO117" s="31">
        <v>4111.8069999999998</v>
      </c>
      <c r="BP117" s="31">
        <v>1586.4639999999999</v>
      </c>
      <c r="BQ117" s="31">
        <v>1561.79</v>
      </c>
      <c r="BR117" s="31">
        <v>4206.7439999999997</v>
      </c>
      <c r="BS117" s="31">
        <v>4122.1360000000004</v>
      </c>
      <c r="BT117" s="31">
        <v>4039.4560000000001</v>
      </c>
      <c r="BU117" s="31">
        <v>3094.1559999999999</v>
      </c>
      <c r="BV117" s="31">
        <v>2073.252</v>
      </c>
      <c r="BW117" s="31">
        <v>1072.7660000000001</v>
      </c>
      <c r="BX117" s="31">
        <v>92.278000000000006</v>
      </c>
      <c r="BY117" s="31" t="s">
        <v>165</v>
      </c>
      <c r="BZ117" s="31" t="s">
        <v>165</v>
      </c>
      <c r="CA117" s="31" t="s">
        <v>165</v>
      </c>
      <c r="CB117" s="31">
        <v>357.42500000000001</v>
      </c>
      <c r="CC117" s="31">
        <v>500</v>
      </c>
      <c r="CD117" s="31" t="s">
        <v>165</v>
      </c>
      <c r="CE117" s="31" t="s">
        <v>165</v>
      </c>
      <c r="CG117" s="15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</row>
    <row r="118" spans="1:106" outlineLevel="3" x14ac:dyDescent="0.2">
      <c r="A118" s="14">
        <v>1</v>
      </c>
      <c r="C118" s="10" t="str">
        <f>"            Total Financial Liabilities, Current"</f>
        <v xml:space="preserve">            Total Financial Liabilities, Current</v>
      </c>
      <c r="D118" s="29">
        <f t="shared" si="24"/>
        <v>3815.7280000000001</v>
      </c>
      <c r="E118" s="29">
        <f t="shared" si="25"/>
        <v>9106.7594677419384</v>
      </c>
      <c r="F118" s="29">
        <f t="shared" si="26"/>
        <v>0</v>
      </c>
      <c r="G118" s="29">
        <f t="shared" si="27"/>
        <v>81904</v>
      </c>
      <c r="H118" s="29">
        <f t="shared" si="28"/>
        <v>1322.6975</v>
      </c>
      <c r="I118" s="29">
        <f t="shared" si="29"/>
        <v>6300</v>
      </c>
      <c r="J118" s="29">
        <f t="shared" si="30"/>
        <v>16209.186206627297</v>
      </c>
      <c r="K118" s="30">
        <f t="shared" si="31"/>
        <v>1.7799071408489102</v>
      </c>
      <c r="L118" s="31"/>
      <c r="M118" s="31">
        <v>2653</v>
      </c>
      <c r="N118" s="31">
        <v>2428.5</v>
      </c>
      <c r="O118" s="31">
        <v>3043</v>
      </c>
      <c r="P118" s="31">
        <v>42965</v>
      </c>
      <c r="Q118" s="31">
        <v>6479.75</v>
      </c>
      <c r="R118" s="31">
        <v>81300</v>
      </c>
      <c r="S118" s="31">
        <v>81904</v>
      </c>
      <c r="T118" s="31">
        <v>7322</v>
      </c>
      <c r="U118" s="31">
        <v>6300</v>
      </c>
      <c r="V118" s="31">
        <v>6300</v>
      </c>
      <c r="W118" s="31">
        <v>6300</v>
      </c>
      <c r="X118" s="31">
        <v>7755</v>
      </c>
      <c r="Y118" s="31">
        <v>6300</v>
      </c>
      <c r="Z118" s="31">
        <v>6300</v>
      </c>
      <c r="AA118" s="31">
        <v>6300</v>
      </c>
      <c r="AB118" s="31">
        <v>496</v>
      </c>
      <c r="AC118" s="31" t="s">
        <v>165</v>
      </c>
      <c r="AD118" s="31" t="s">
        <v>165</v>
      </c>
      <c r="AE118" s="31" t="s">
        <v>165</v>
      </c>
      <c r="AF118" s="31" t="s">
        <v>165</v>
      </c>
      <c r="AG118" s="31">
        <v>781</v>
      </c>
      <c r="AH118" s="31">
        <v>1243</v>
      </c>
      <c r="AI118" s="31">
        <v>1718</v>
      </c>
      <c r="AJ118" s="31">
        <v>442</v>
      </c>
      <c r="AK118" s="31">
        <v>436</v>
      </c>
      <c r="AL118" s="31">
        <v>1219</v>
      </c>
      <c r="AM118" s="31">
        <v>1695</v>
      </c>
      <c r="AN118" s="31">
        <v>418</v>
      </c>
      <c r="AO118" s="31">
        <v>0</v>
      </c>
      <c r="AP118" s="31">
        <v>30542</v>
      </c>
      <c r="AQ118" s="31">
        <v>31111</v>
      </c>
      <c r="AR118" s="31">
        <v>30000</v>
      </c>
      <c r="AS118" s="31">
        <v>30275</v>
      </c>
      <c r="AT118" s="31">
        <v>685</v>
      </c>
      <c r="AU118" s="31">
        <v>1094</v>
      </c>
      <c r="AV118" s="31">
        <v>0</v>
      </c>
      <c r="AW118" s="31">
        <v>540</v>
      </c>
      <c r="AX118" s="31">
        <v>3592</v>
      </c>
      <c r="AY118" s="31">
        <v>4492</v>
      </c>
      <c r="AZ118" s="31">
        <v>2378</v>
      </c>
      <c r="BA118" s="31">
        <v>3362.2649999999999</v>
      </c>
      <c r="BB118" s="31">
        <v>5586.7939999999999</v>
      </c>
      <c r="BC118" s="31">
        <v>23005.441999999999</v>
      </c>
      <c r="BD118" s="31">
        <v>8919.64</v>
      </c>
      <c r="BE118" s="31">
        <v>22057.359</v>
      </c>
      <c r="BF118" s="31">
        <v>15652.733</v>
      </c>
      <c r="BG118" s="31">
        <v>14792.758</v>
      </c>
      <c r="BH118" s="31">
        <v>2887.4029999999998</v>
      </c>
      <c r="BI118" s="31">
        <v>1773.5260000000001</v>
      </c>
      <c r="BJ118" s="31">
        <v>6245.335</v>
      </c>
      <c r="BK118" s="31">
        <v>4717.5929999999998</v>
      </c>
      <c r="BL118" s="31">
        <v>1690.5840000000001</v>
      </c>
      <c r="BM118" s="31">
        <v>4164.2920000000004</v>
      </c>
      <c r="BN118" s="31">
        <v>6137.8389999999999</v>
      </c>
      <c r="BO118" s="31">
        <v>4111.8069999999998</v>
      </c>
      <c r="BP118" s="31">
        <v>1586.4639999999999</v>
      </c>
      <c r="BQ118" s="31">
        <v>1561.79</v>
      </c>
      <c r="BR118" s="31">
        <v>4206.7439999999997</v>
      </c>
      <c r="BS118" s="31">
        <v>4122.1360000000004</v>
      </c>
      <c r="BT118" s="31">
        <v>4039.4560000000001</v>
      </c>
      <c r="BU118" s="31">
        <v>3094.1559999999999</v>
      </c>
      <c r="BV118" s="31">
        <v>2073.252</v>
      </c>
      <c r="BW118" s="31">
        <v>1072.7660000000001</v>
      </c>
      <c r="BX118" s="31">
        <v>92.278000000000006</v>
      </c>
      <c r="BY118" s="31" t="s">
        <v>165</v>
      </c>
      <c r="BZ118" s="31" t="s">
        <v>165</v>
      </c>
      <c r="CA118" s="31" t="s">
        <v>165</v>
      </c>
      <c r="CB118" s="31">
        <v>357.42500000000001</v>
      </c>
      <c r="CC118" s="31">
        <v>500</v>
      </c>
      <c r="CD118" s="31" t="s">
        <v>165</v>
      </c>
      <c r="CE118" s="31" t="s">
        <v>165</v>
      </c>
      <c r="CG118" s="15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</row>
    <row r="119" spans="1:106" outlineLevel="2" x14ac:dyDescent="0.2">
      <c r="A119" s="14">
        <v>1</v>
      </c>
      <c r="C119" s="9" t="str">
        <f>IF(SUBTOTAL(109,A119)=A119,"        Provisions, Current","        Provisions, Current")</f>
        <v xml:space="preserve">        Provisions, Current</v>
      </c>
      <c r="D119" s="17" t="str">
        <f t="shared" si="24"/>
        <v/>
      </c>
      <c r="E119" s="17" t="str">
        <f t="shared" si="25"/>
        <v/>
      </c>
      <c r="F119" s="17" t="str">
        <f t="shared" si="26"/>
        <v/>
      </c>
      <c r="G119" s="17" t="str">
        <f t="shared" si="27"/>
        <v/>
      </c>
      <c r="H119" s="17" t="str">
        <f t="shared" si="28"/>
        <v/>
      </c>
      <c r="I119" s="17" t="str">
        <f t="shared" si="29"/>
        <v/>
      </c>
      <c r="J119" s="17" t="str">
        <f t="shared" si="30"/>
        <v/>
      </c>
      <c r="K119" s="18" t="str">
        <f t="shared" si="31"/>
        <v/>
      </c>
      <c r="L119" s="21"/>
      <c r="M119" s="21" t="str">
        <f>IF(SUBTOTAL(109,A119)=A119,"",3705)</f>
        <v/>
      </c>
      <c r="N119" s="21"/>
      <c r="O119" s="21"/>
      <c r="P119" s="21"/>
      <c r="Q119" s="21"/>
      <c r="R119" s="21" t="str">
        <f>IF(SUBTOTAL(109,A119)=A119,"","")</f>
        <v/>
      </c>
      <c r="S119" s="21" t="str">
        <f>IF(SUBTOTAL(109,A119)=A119,"",6121)</f>
        <v/>
      </c>
      <c r="T119" s="21" t="str">
        <f>IF(SUBTOTAL(109,A119)=A119,"",4574)</f>
        <v/>
      </c>
      <c r="U119" s="21" t="str">
        <f>IF(SUBTOTAL(109,A119)=A119,"","")</f>
        <v/>
      </c>
      <c r="V119" s="21" t="str">
        <f>IF(SUBTOTAL(109,A119)=A119,"","")</f>
        <v/>
      </c>
      <c r="W119" s="21" t="str">
        <f>IF(SUBTOTAL(109,A119)=A119,"","")</f>
        <v/>
      </c>
      <c r="X119" s="21" t="str">
        <f>IF(SUBTOTAL(109,A119)=A119,"",4326)</f>
        <v/>
      </c>
      <c r="Y119" s="21" t="str">
        <f>IF(SUBTOTAL(109,A119)=A119,"","")</f>
        <v/>
      </c>
      <c r="Z119" s="21" t="str">
        <f>IF(SUBTOTAL(109,A119)=A119,"","")</f>
        <v/>
      </c>
      <c r="AA119" s="21" t="str">
        <f>IF(SUBTOTAL(109,A119)=A119,"","")</f>
        <v/>
      </c>
      <c r="AB119" s="21" t="str">
        <f>IF(SUBTOTAL(109,A119)=A119,"",3065)</f>
        <v/>
      </c>
      <c r="AC119" s="21" t="str">
        <f>IF(SUBTOTAL(109,A119)=A119,"","")</f>
        <v/>
      </c>
      <c r="AD119" s="21" t="str">
        <f>IF(SUBTOTAL(109,A119)=A119,"","")</f>
        <v/>
      </c>
      <c r="AE119" s="21" t="str">
        <f>IF(SUBTOTAL(109,A119)=A119,"","")</f>
        <v/>
      </c>
      <c r="AF119" s="21" t="str">
        <f>IF(SUBTOTAL(109,A119)=A119,"",3064)</f>
        <v/>
      </c>
      <c r="AG119" s="21" t="str">
        <f>IF(SUBTOTAL(109,A119)=A119,"",3346)</f>
        <v/>
      </c>
      <c r="AH119" s="21" t="str">
        <f>IF(SUBTOTAL(109,A119)=A119,"",3174)</f>
        <v/>
      </c>
      <c r="AI119" s="21" t="str">
        <f>IF(SUBTOTAL(109,A119)=A119,"",3491)</f>
        <v/>
      </c>
      <c r="AJ119" s="21" t="str">
        <f>IF(SUBTOTAL(109,A119)=A119,"",2916)</f>
        <v/>
      </c>
      <c r="AK119" s="21" t="str">
        <f>IF(SUBTOTAL(109,A119)=A119,"",3076)</f>
        <v/>
      </c>
      <c r="AL119" s="21" t="str">
        <f>IF(SUBTOTAL(109,A119)=A119,"",2899)</f>
        <v/>
      </c>
      <c r="AM119" s="21" t="str">
        <f>IF(SUBTOTAL(109,A119)=A119,"",3260)</f>
        <v/>
      </c>
      <c r="AN119" s="21" t="str">
        <f>IF(SUBTOTAL(109,A119)=A119,"",2668)</f>
        <v/>
      </c>
      <c r="AO119" s="21" t="str">
        <f>IF(SUBTOTAL(109,A119)=A119,"",8094)</f>
        <v/>
      </c>
      <c r="AP119" s="21" t="str">
        <f>IF(SUBTOTAL(109,A119)=A119,"",6606)</f>
        <v/>
      </c>
      <c r="AQ119" s="21" t="str">
        <f>IF(SUBTOTAL(109,A119)=A119,"","")</f>
        <v/>
      </c>
      <c r="AR119" s="21" t="str">
        <f>IF(SUBTOTAL(109,A119)=A119,"",3394)</f>
        <v/>
      </c>
      <c r="AS119" s="21" t="str">
        <f>IF(SUBTOTAL(109,A119)=A119,"","")</f>
        <v/>
      </c>
      <c r="AT119" s="21" t="str">
        <f>IF(SUBTOTAL(109,A119)=A119,"","")</f>
        <v/>
      </c>
      <c r="AU119" s="21" t="str">
        <f>IF(SUBTOTAL(109,A119)=A119,"","")</f>
        <v/>
      </c>
      <c r="AV119" s="21" t="str">
        <f>IF(SUBTOTAL(109,A119)=A119,"",2769)</f>
        <v/>
      </c>
      <c r="AW119" s="21" t="str">
        <f>IF(SUBTOTAL(109,A119)=A119,"","")</f>
        <v/>
      </c>
      <c r="AX119" s="21" t="str">
        <f>IF(SUBTOTAL(109,A119)=A119,"","")</f>
        <v/>
      </c>
      <c r="AY119" s="21" t="str">
        <f>IF(SUBTOTAL(109,A119)=A119,"","")</f>
        <v/>
      </c>
      <c r="AZ119" s="21" t="str">
        <f>IF(SUBTOTAL(109,A119)=A119,"","")</f>
        <v/>
      </c>
      <c r="BA119" s="21" t="str">
        <f>IF(SUBTOTAL(109,A119)=A119,"","")</f>
        <v/>
      </c>
      <c r="BB119" s="21" t="str">
        <f>IF(SUBTOTAL(109,A119)=A119,"","")</f>
        <v/>
      </c>
      <c r="BC119" s="21" t="str">
        <f>IF(SUBTOTAL(109,A119)=A119,"","")</f>
        <v/>
      </c>
      <c r="BD119" s="21" t="str">
        <f>IF(SUBTOTAL(109,A119)=A119,"","")</f>
        <v/>
      </c>
      <c r="BE119" s="21" t="str">
        <f>IF(SUBTOTAL(109,A119)=A119,"","")</f>
        <v/>
      </c>
      <c r="BF119" s="21" t="str">
        <f>IF(SUBTOTAL(109,A119)=A119,"","")</f>
        <v/>
      </c>
      <c r="BG119" s="21" t="str">
        <f>IF(SUBTOTAL(109,A119)=A119,"","")</f>
        <v/>
      </c>
      <c r="BH119" s="21" t="str">
        <f>IF(SUBTOTAL(109,A119)=A119,"","")</f>
        <v/>
      </c>
      <c r="BI119" s="21" t="str">
        <f>IF(SUBTOTAL(109,A119)=A119,"","")</f>
        <v/>
      </c>
      <c r="BJ119" s="21" t="str">
        <f>IF(SUBTOTAL(109,A119)=A119,"","")</f>
        <v/>
      </c>
      <c r="BK119" s="21" t="str">
        <f>IF(SUBTOTAL(109,A119)=A119,"","")</f>
        <v/>
      </c>
      <c r="BL119" s="21" t="str">
        <f>IF(SUBTOTAL(109,A119)=A119,"","")</f>
        <v/>
      </c>
      <c r="BM119" s="21" t="str">
        <f>IF(SUBTOTAL(109,A119)=A119,"","")</f>
        <v/>
      </c>
      <c r="BN119" s="21" t="str">
        <f>IF(SUBTOTAL(109,A119)=A119,"","")</f>
        <v/>
      </c>
      <c r="BO119" s="21" t="str">
        <f>IF(SUBTOTAL(109,A119)=A119,"","")</f>
        <v/>
      </c>
      <c r="BP119" s="21" t="str">
        <f>IF(SUBTOTAL(109,A119)=A119,"","")</f>
        <v/>
      </c>
      <c r="BQ119" s="21" t="str">
        <f>IF(SUBTOTAL(109,A119)=A119,"","")</f>
        <v/>
      </c>
      <c r="BR119" s="21" t="str">
        <f>IF(SUBTOTAL(109,A119)=A119,"","")</f>
        <v/>
      </c>
      <c r="BS119" s="21" t="str">
        <f>IF(SUBTOTAL(109,A119)=A119,"","")</f>
        <v/>
      </c>
      <c r="BT119" s="21" t="str">
        <f>IF(SUBTOTAL(109,A119)=A119,"","")</f>
        <v/>
      </c>
      <c r="BU119" s="21" t="str">
        <f>IF(SUBTOTAL(109,A119)=A119,"","")</f>
        <v/>
      </c>
      <c r="BV119" s="21" t="str">
        <f>IF(SUBTOTAL(109,A119)=A119,"","")</f>
        <v/>
      </c>
      <c r="BW119" s="21" t="str">
        <f>IF(SUBTOTAL(109,A119)=A119,"","")</f>
        <v/>
      </c>
      <c r="BX119" s="21" t="str">
        <f>IF(SUBTOTAL(109,A119)=A119,"","")</f>
        <v/>
      </c>
      <c r="BY119" s="21" t="str">
        <f>IF(SUBTOTAL(109,A119)=A119,"","")</f>
        <v/>
      </c>
      <c r="BZ119" s="21" t="str">
        <f>IF(SUBTOTAL(109,A119)=A119,"","")</f>
        <v/>
      </c>
      <c r="CA119" s="21" t="str">
        <f>IF(SUBTOTAL(109,A119)=A119,"","")</f>
        <v/>
      </c>
      <c r="CB119" s="21" t="str">
        <f>IF(SUBTOTAL(109,A119)=A119,"","")</f>
        <v/>
      </c>
      <c r="CC119" s="21" t="str">
        <f>IF(SUBTOTAL(109,A119)=A119,"","")</f>
        <v/>
      </c>
      <c r="CD119" s="21" t="str">
        <f>IF(SUBTOTAL(109,A119)=A119,"","")</f>
        <v/>
      </c>
      <c r="CE119" s="21" t="str">
        <f>IF(SUBTOTAL(109,A119)=A119,"","")</f>
        <v/>
      </c>
      <c r="CG119" s="15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</row>
    <row r="120" spans="1:106" outlineLevel="3" x14ac:dyDescent="0.2">
      <c r="A120" s="14">
        <v>1</v>
      </c>
      <c r="C120" s="9" t="str">
        <f>IF(SUBTOTAL(109,A120)=A120,"            Provision for Employee Entitlements, Current","            Provision for Employee Entitlements, Current")</f>
        <v xml:space="preserve">            Provision for Employee Entitlements, Current</v>
      </c>
      <c r="D120" s="17" t="str">
        <f t="shared" si="24"/>
        <v/>
      </c>
      <c r="E120" s="17" t="str">
        <f t="shared" si="25"/>
        <v/>
      </c>
      <c r="F120" s="17" t="str">
        <f t="shared" si="26"/>
        <v/>
      </c>
      <c r="G120" s="17" t="str">
        <f t="shared" si="27"/>
        <v/>
      </c>
      <c r="H120" s="17" t="str">
        <f t="shared" si="28"/>
        <v/>
      </c>
      <c r="I120" s="17" t="str">
        <f t="shared" si="29"/>
        <v/>
      </c>
      <c r="J120" s="17" t="str">
        <f t="shared" si="30"/>
        <v/>
      </c>
      <c r="K120" s="18" t="str">
        <f t="shared" si="31"/>
        <v/>
      </c>
      <c r="L120" s="21"/>
      <c r="M120" s="21" t="str">
        <f>IF(SUBTOTAL(109,A120)=A120,"",3705)</f>
        <v/>
      </c>
      <c r="N120" s="21"/>
      <c r="O120" s="21"/>
      <c r="P120" s="21"/>
      <c r="Q120" s="21"/>
      <c r="R120" s="21" t="str">
        <f>IF(SUBTOTAL(109,A120)=A120,"","")</f>
        <v/>
      </c>
      <c r="S120" s="21" t="str">
        <f>IF(SUBTOTAL(109,A120)=A120,"",6121)</f>
        <v/>
      </c>
      <c r="T120" s="21" t="str">
        <f>IF(SUBTOTAL(109,A120)=A120,"",4574)</f>
        <v/>
      </c>
      <c r="U120" s="21" t="str">
        <f>IF(SUBTOTAL(109,A120)=A120,"","")</f>
        <v/>
      </c>
      <c r="V120" s="21" t="str">
        <f>IF(SUBTOTAL(109,A120)=A120,"","")</f>
        <v/>
      </c>
      <c r="W120" s="21" t="str">
        <f>IF(SUBTOTAL(109,A120)=A120,"","")</f>
        <v/>
      </c>
      <c r="X120" s="21" t="str">
        <f>IF(SUBTOTAL(109,A120)=A120,"",4326)</f>
        <v/>
      </c>
      <c r="Y120" s="21" t="str">
        <f>IF(SUBTOTAL(109,A120)=A120,"","")</f>
        <v/>
      </c>
      <c r="Z120" s="21" t="str">
        <f>IF(SUBTOTAL(109,A120)=A120,"","")</f>
        <v/>
      </c>
      <c r="AA120" s="21" t="str">
        <f>IF(SUBTOTAL(109,A120)=A120,"","")</f>
        <v/>
      </c>
      <c r="AB120" s="21" t="str">
        <f>IF(SUBTOTAL(109,A120)=A120,"",3065)</f>
        <v/>
      </c>
      <c r="AC120" s="21" t="str">
        <f>IF(SUBTOTAL(109,A120)=A120,"","")</f>
        <v/>
      </c>
      <c r="AD120" s="21" t="str">
        <f>IF(SUBTOTAL(109,A120)=A120,"","")</f>
        <v/>
      </c>
      <c r="AE120" s="21" t="str">
        <f>IF(SUBTOTAL(109,A120)=A120,"","")</f>
        <v/>
      </c>
      <c r="AF120" s="21" t="str">
        <f>IF(SUBTOTAL(109,A120)=A120,"",3064)</f>
        <v/>
      </c>
      <c r="AG120" s="21" t="str">
        <f>IF(SUBTOTAL(109,A120)=A120,"",3346)</f>
        <v/>
      </c>
      <c r="AH120" s="21" t="str">
        <f>IF(SUBTOTAL(109,A120)=A120,"",3174)</f>
        <v/>
      </c>
      <c r="AI120" s="21" t="str">
        <f>IF(SUBTOTAL(109,A120)=A120,"",3491)</f>
        <v/>
      </c>
      <c r="AJ120" s="21" t="str">
        <f>IF(SUBTOTAL(109,A120)=A120,"",2916)</f>
        <v/>
      </c>
      <c r="AK120" s="21" t="str">
        <f>IF(SUBTOTAL(109,A120)=A120,"",3076)</f>
        <v/>
      </c>
      <c r="AL120" s="21" t="str">
        <f>IF(SUBTOTAL(109,A120)=A120,"",2899)</f>
        <v/>
      </c>
      <c r="AM120" s="21" t="str">
        <f>IF(SUBTOTAL(109,A120)=A120,"",3260)</f>
        <v/>
      </c>
      <c r="AN120" s="21" t="str">
        <f>IF(SUBTOTAL(109,A120)=A120,"",2668)</f>
        <v/>
      </c>
      <c r="AO120" s="21" t="str">
        <f>IF(SUBTOTAL(109,A120)=A120,"",8094)</f>
        <v/>
      </c>
      <c r="AP120" s="21" t="str">
        <f>IF(SUBTOTAL(109,A120)=A120,"",6606)</f>
        <v/>
      </c>
      <c r="AQ120" s="21" t="str">
        <f>IF(SUBTOTAL(109,A120)=A120,"","")</f>
        <v/>
      </c>
      <c r="AR120" s="21" t="str">
        <f>IF(SUBTOTAL(109,A120)=A120,"",3394)</f>
        <v/>
      </c>
      <c r="AS120" s="21" t="str">
        <f>IF(SUBTOTAL(109,A120)=A120,"","")</f>
        <v/>
      </c>
      <c r="AT120" s="21" t="str">
        <f>IF(SUBTOTAL(109,A120)=A120,"","")</f>
        <v/>
      </c>
      <c r="AU120" s="21" t="str">
        <f>IF(SUBTOTAL(109,A120)=A120,"","")</f>
        <v/>
      </c>
      <c r="AV120" s="21" t="str">
        <f>IF(SUBTOTAL(109,A120)=A120,"",2769)</f>
        <v/>
      </c>
      <c r="AW120" s="21" t="str">
        <f>IF(SUBTOTAL(109,A120)=A120,"","")</f>
        <v/>
      </c>
      <c r="AX120" s="21" t="str">
        <f>IF(SUBTOTAL(109,A120)=A120,"","")</f>
        <v/>
      </c>
      <c r="AY120" s="21" t="str">
        <f>IF(SUBTOTAL(109,A120)=A120,"","")</f>
        <v/>
      </c>
      <c r="AZ120" s="21" t="str">
        <f>IF(SUBTOTAL(109,A120)=A120,"","")</f>
        <v/>
      </c>
      <c r="BA120" s="21" t="str">
        <f>IF(SUBTOTAL(109,A120)=A120,"","")</f>
        <v/>
      </c>
      <c r="BB120" s="21" t="str">
        <f>IF(SUBTOTAL(109,A120)=A120,"","")</f>
        <v/>
      </c>
      <c r="BC120" s="21" t="str">
        <f>IF(SUBTOTAL(109,A120)=A120,"","")</f>
        <v/>
      </c>
      <c r="BD120" s="21" t="str">
        <f>IF(SUBTOTAL(109,A120)=A120,"","")</f>
        <v/>
      </c>
      <c r="BE120" s="21" t="str">
        <f>IF(SUBTOTAL(109,A120)=A120,"","")</f>
        <v/>
      </c>
      <c r="BF120" s="21" t="str">
        <f>IF(SUBTOTAL(109,A120)=A120,"","")</f>
        <v/>
      </c>
      <c r="BG120" s="21" t="str">
        <f>IF(SUBTOTAL(109,A120)=A120,"","")</f>
        <v/>
      </c>
      <c r="BH120" s="21" t="str">
        <f>IF(SUBTOTAL(109,A120)=A120,"","")</f>
        <v/>
      </c>
      <c r="BI120" s="21" t="str">
        <f>IF(SUBTOTAL(109,A120)=A120,"","")</f>
        <v/>
      </c>
      <c r="BJ120" s="21" t="str">
        <f>IF(SUBTOTAL(109,A120)=A120,"","")</f>
        <v/>
      </c>
      <c r="BK120" s="21" t="str">
        <f>IF(SUBTOTAL(109,A120)=A120,"","")</f>
        <v/>
      </c>
      <c r="BL120" s="21" t="str">
        <f>IF(SUBTOTAL(109,A120)=A120,"","")</f>
        <v/>
      </c>
      <c r="BM120" s="21" t="str">
        <f>IF(SUBTOTAL(109,A120)=A120,"","")</f>
        <v/>
      </c>
      <c r="BN120" s="21" t="str">
        <f>IF(SUBTOTAL(109,A120)=A120,"","")</f>
        <v/>
      </c>
      <c r="BO120" s="21" t="str">
        <f>IF(SUBTOTAL(109,A120)=A120,"","")</f>
        <v/>
      </c>
      <c r="BP120" s="21" t="str">
        <f>IF(SUBTOTAL(109,A120)=A120,"","")</f>
        <v/>
      </c>
      <c r="BQ120" s="21" t="str">
        <f>IF(SUBTOTAL(109,A120)=A120,"","")</f>
        <v/>
      </c>
      <c r="BR120" s="21" t="str">
        <f>IF(SUBTOTAL(109,A120)=A120,"","")</f>
        <v/>
      </c>
      <c r="BS120" s="21" t="str">
        <f>IF(SUBTOTAL(109,A120)=A120,"","")</f>
        <v/>
      </c>
      <c r="BT120" s="21" t="str">
        <f>IF(SUBTOTAL(109,A120)=A120,"","")</f>
        <v/>
      </c>
      <c r="BU120" s="21" t="str">
        <f>IF(SUBTOTAL(109,A120)=A120,"","")</f>
        <v/>
      </c>
      <c r="BV120" s="21" t="str">
        <f>IF(SUBTOTAL(109,A120)=A120,"","")</f>
        <v/>
      </c>
      <c r="BW120" s="21" t="str">
        <f>IF(SUBTOTAL(109,A120)=A120,"","")</f>
        <v/>
      </c>
      <c r="BX120" s="21" t="str">
        <f>IF(SUBTOTAL(109,A120)=A120,"","")</f>
        <v/>
      </c>
      <c r="BY120" s="21" t="str">
        <f>IF(SUBTOTAL(109,A120)=A120,"","")</f>
        <v/>
      </c>
      <c r="BZ120" s="21" t="str">
        <f>IF(SUBTOTAL(109,A120)=A120,"","")</f>
        <v/>
      </c>
      <c r="CA120" s="21" t="str">
        <f>IF(SUBTOTAL(109,A120)=A120,"","")</f>
        <v/>
      </c>
      <c r="CB120" s="21" t="str">
        <f>IF(SUBTOTAL(109,A120)=A120,"","")</f>
        <v/>
      </c>
      <c r="CC120" s="21" t="str">
        <f>IF(SUBTOTAL(109,A120)=A120,"","")</f>
        <v/>
      </c>
      <c r="CD120" s="21" t="str">
        <f>IF(SUBTOTAL(109,A120)=A120,"","")</f>
        <v/>
      </c>
      <c r="CE120" s="21" t="str">
        <f>IF(SUBTOTAL(109,A120)=A120,"","")</f>
        <v/>
      </c>
      <c r="CG120" s="15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</row>
    <row r="121" spans="1:106" outlineLevel="4" x14ac:dyDescent="0.2">
      <c r="A121" s="14">
        <v>1</v>
      </c>
      <c r="C121" s="9" t="str">
        <f>"                Pension and Other Post-Retirement Benefit Plans, Current"</f>
        <v xml:space="preserve">                Pension and Other Post-Retirement Benefit Plans, Current</v>
      </c>
      <c r="D121" s="17">
        <f t="shared" si="24"/>
        <v>2688.5</v>
      </c>
      <c r="E121" s="17">
        <f t="shared" si="25"/>
        <v>3483.0740740740739</v>
      </c>
      <c r="F121" s="17">
        <f t="shared" si="26"/>
        <v>1902</v>
      </c>
      <c r="G121" s="17">
        <f t="shared" si="27"/>
        <v>6121</v>
      </c>
      <c r="H121" s="17">
        <f t="shared" si="28"/>
        <v>2166</v>
      </c>
      <c r="I121" s="17">
        <f t="shared" si="29"/>
        <v>4621.5</v>
      </c>
      <c r="J121" s="17">
        <f t="shared" si="30"/>
        <v>1597.4010205124014</v>
      </c>
      <c r="K121" s="18">
        <f t="shared" si="31"/>
        <v>0.45861815928707972</v>
      </c>
      <c r="L121" s="21"/>
      <c r="M121" s="21" t="s">
        <v>165</v>
      </c>
      <c r="N121" s="21">
        <v>4637.333333333333</v>
      </c>
      <c r="O121" s="21">
        <v>5672</v>
      </c>
      <c r="P121" s="21">
        <v>5966</v>
      </c>
      <c r="Q121" s="21">
        <v>5910</v>
      </c>
      <c r="R121" s="21" t="s">
        <v>165</v>
      </c>
      <c r="S121" s="21">
        <v>6121</v>
      </c>
      <c r="T121" s="21">
        <v>4574</v>
      </c>
      <c r="U121" s="21" t="s">
        <v>165</v>
      </c>
      <c r="V121" s="21" t="s">
        <v>165</v>
      </c>
      <c r="W121" s="21" t="s">
        <v>165</v>
      </c>
      <c r="X121" s="21">
        <v>4326</v>
      </c>
      <c r="Y121" s="21" t="s">
        <v>165</v>
      </c>
      <c r="Z121" s="21" t="s">
        <v>165</v>
      </c>
      <c r="AA121" s="21" t="s">
        <v>165</v>
      </c>
      <c r="AB121" s="21">
        <v>3065</v>
      </c>
      <c r="AC121" s="21" t="s">
        <v>165</v>
      </c>
      <c r="AD121" s="21" t="s">
        <v>165</v>
      </c>
      <c r="AE121" s="21" t="s">
        <v>165</v>
      </c>
      <c r="AF121" s="21">
        <v>2148</v>
      </c>
      <c r="AG121" s="21">
        <v>2456</v>
      </c>
      <c r="AH121" s="21">
        <v>2214</v>
      </c>
      <c r="AI121" s="21">
        <v>2576</v>
      </c>
      <c r="AJ121" s="21">
        <v>1953</v>
      </c>
      <c r="AK121" s="21">
        <v>2150</v>
      </c>
      <c r="AL121" s="21">
        <v>1950</v>
      </c>
      <c r="AM121" s="21">
        <v>2274</v>
      </c>
      <c r="AN121" s="21">
        <v>1902</v>
      </c>
      <c r="AO121" s="21" t="s">
        <v>165</v>
      </c>
      <c r="AP121" s="21" t="s">
        <v>165</v>
      </c>
      <c r="AQ121" s="21" t="s">
        <v>165</v>
      </c>
      <c r="AR121" s="21">
        <v>2801</v>
      </c>
      <c r="AS121" s="21" t="s">
        <v>165</v>
      </c>
      <c r="AT121" s="21" t="s">
        <v>165</v>
      </c>
      <c r="AU121" s="21" t="s">
        <v>165</v>
      </c>
      <c r="AV121" s="21" t="s">
        <v>165</v>
      </c>
      <c r="AW121" s="21" t="s">
        <v>165</v>
      </c>
      <c r="AX121" s="21" t="s">
        <v>165</v>
      </c>
      <c r="AY121" s="21" t="s">
        <v>165</v>
      </c>
      <c r="AZ121" s="21" t="s">
        <v>165</v>
      </c>
      <c r="BA121" s="21" t="s">
        <v>165</v>
      </c>
      <c r="BB121" s="21" t="s">
        <v>165</v>
      </c>
      <c r="BC121" s="21" t="s">
        <v>165</v>
      </c>
      <c r="BD121" s="21" t="s">
        <v>165</v>
      </c>
      <c r="BE121" s="21" t="s">
        <v>165</v>
      </c>
      <c r="BF121" s="21" t="s">
        <v>165</v>
      </c>
      <c r="BG121" s="21" t="s">
        <v>165</v>
      </c>
      <c r="BH121" s="21" t="s">
        <v>165</v>
      </c>
      <c r="BI121" s="21" t="s">
        <v>165</v>
      </c>
      <c r="BJ121" s="21" t="s">
        <v>165</v>
      </c>
      <c r="BK121" s="21" t="s">
        <v>165</v>
      </c>
      <c r="BL121" s="21" t="s">
        <v>165</v>
      </c>
      <c r="BM121" s="21" t="s">
        <v>165</v>
      </c>
      <c r="BN121" s="21" t="s">
        <v>165</v>
      </c>
      <c r="BO121" s="21" t="s">
        <v>165</v>
      </c>
      <c r="BP121" s="21" t="s">
        <v>165</v>
      </c>
      <c r="BQ121" s="21" t="s">
        <v>165</v>
      </c>
      <c r="BR121" s="21" t="s">
        <v>165</v>
      </c>
      <c r="BS121" s="21" t="s">
        <v>165</v>
      </c>
      <c r="BT121" s="21" t="s">
        <v>165</v>
      </c>
      <c r="BU121" s="21" t="s">
        <v>165</v>
      </c>
      <c r="BV121" s="21" t="s">
        <v>165</v>
      </c>
      <c r="BW121" s="21" t="s">
        <v>165</v>
      </c>
      <c r="BX121" s="21" t="s">
        <v>165</v>
      </c>
      <c r="BY121" s="21" t="s">
        <v>165</v>
      </c>
      <c r="BZ121" s="21" t="s">
        <v>165</v>
      </c>
      <c r="CA121" s="21" t="s">
        <v>165</v>
      </c>
      <c r="CB121" s="21" t="s">
        <v>165</v>
      </c>
      <c r="CC121" s="21" t="s">
        <v>165</v>
      </c>
      <c r="CD121" s="21" t="s">
        <v>165</v>
      </c>
      <c r="CE121" s="21" t="s">
        <v>165</v>
      </c>
      <c r="CG121" s="15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</row>
    <row r="122" spans="1:106" outlineLevel="4" x14ac:dyDescent="0.2">
      <c r="A122" s="14">
        <v>1</v>
      </c>
      <c r="C122" s="9" t="str">
        <f>"                Other Employee-Related Liabilities, Current"</f>
        <v xml:space="preserve">                Other Employee-Related Liabilities, Current</v>
      </c>
      <c r="D122" s="17">
        <f t="shared" si="24"/>
        <v>921</v>
      </c>
      <c r="E122" s="17">
        <f t="shared" si="25"/>
        <v>886.4</v>
      </c>
      <c r="F122" s="17">
        <f t="shared" si="26"/>
        <v>593</v>
      </c>
      <c r="G122" s="17">
        <f t="shared" si="27"/>
        <v>986</v>
      </c>
      <c r="H122" s="17">
        <f t="shared" si="28"/>
        <v>896.25</v>
      </c>
      <c r="I122" s="17">
        <f t="shared" si="29"/>
        <v>957.25</v>
      </c>
      <c r="J122" s="17">
        <f t="shared" si="30"/>
        <v>119.71187632533947</v>
      </c>
      <c r="K122" s="18">
        <f t="shared" si="31"/>
        <v>0.1350540120998866</v>
      </c>
      <c r="L122" s="21"/>
      <c r="M122" s="21" t="s">
        <v>165</v>
      </c>
      <c r="N122" s="21"/>
      <c r="O122" s="21"/>
      <c r="P122" s="21"/>
      <c r="Q122" s="21"/>
      <c r="R122" s="21" t="s">
        <v>165</v>
      </c>
      <c r="S122" s="21" t="s">
        <v>165</v>
      </c>
      <c r="T122" s="21" t="s">
        <v>165</v>
      </c>
      <c r="U122" s="21" t="s">
        <v>165</v>
      </c>
      <c r="V122" s="21" t="s">
        <v>165</v>
      </c>
      <c r="W122" s="21" t="s">
        <v>165</v>
      </c>
      <c r="X122" s="21" t="s">
        <v>165</v>
      </c>
      <c r="Y122" s="21" t="s">
        <v>165</v>
      </c>
      <c r="Z122" s="21" t="s">
        <v>165</v>
      </c>
      <c r="AA122" s="21" t="s">
        <v>165</v>
      </c>
      <c r="AB122" s="21" t="s">
        <v>165</v>
      </c>
      <c r="AC122" s="21" t="s">
        <v>165</v>
      </c>
      <c r="AD122" s="21" t="s">
        <v>165</v>
      </c>
      <c r="AE122" s="21" t="s">
        <v>165</v>
      </c>
      <c r="AF122" s="21">
        <v>916</v>
      </c>
      <c r="AG122" s="21">
        <v>890</v>
      </c>
      <c r="AH122" s="21">
        <v>960</v>
      </c>
      <c r="AI122" s="21">
        <v>915</v>
      </c>
      <c r="AJ122" s="21">
        <v>963</v>
      </c>
      <c r="AK122" s="21">
        <v>926</v>
      </c>
      <c r="AL122" s="21">
        <v>949</v>
      </c>
      <c r="AM122" s="21">
        <v>986</v>
      </c>
      <c r="AN122" s="21">
        <v>766</v>
      </c>
      <c r="AO122" s="21" t="s">
        <v>165</v>
      </c>
      <c r="AP122" s="21" t="s">
        <v>165</v>
      </c>
      <c r="AQ122" s="21" t="s">
        <v>165</v>
      </c>
      <c r="AR122" s="21">
        <v>593</v>
      </c>
      <c r="AS122" s="21" t="s">
        <v>165</v>
      </c>
      <c r="AT122" s="21" t="s">
        <v>165</v>
      </c>
      <c r="AU122" s="21" t="s">
        <v>165</v>
      </c>
      <c r="AV122" s="21" t="s">
        <v>165</v>
      </c>
      <c r="AW122" s="21" t="s">
        <v>165</v>
      </c>
      <c r="AX122" s="21" t="s">
        <v>165</v>
      </c>
      <c r="AY122" s="21" t="s">
        <v>165</v>
      </c>
      <c r="AZ122" s="21" t="s">
        <v>165</v>
      </c>
      <c r="BA122" s="21" t="s">
        <v>165</v>
      </c>
      <c r="BB122" s="21" t="s">
        <v>165</v>
      </c>
      <c r="BC122" s="21" t="s">
        <v>165</v>
      </c>
      <c r="BD122" s="21" t="s">
        <v>165</v>
      </c>
      <c r="BE122" s="21" t="s">
        <v>165</v>
      </c>
      <c r="BF122" s="21" t="s">
        <v>165</v>
      </c>
      <c r="BG122" s="21" t="s">
        <v>165</v>
      </c>
      <c r="BH122" s="21" t="s">
        <v>165</v>
      </c>
      <c r="BI122" s="21" t="s">
        <v>165</v>
      </c>
      <c r="BJ122" s="21" t="s">
        <v>165</v>
      </c>
      <c r="BK122" s="21" t="s">
        <v>165</v>
      </c>
      <c r="BL122" s="21" t="s">
        <v>165</v>
      </c>
      <c r="BM122" s="21" t="s">
        <v>165</v>
      </c>
      <c r="BN122" s="21" t="s">
        <v>165</v>
      </c>
      <c r="BO122" s="21" t="s">
        <v>165</v>
      </c>
      <c r="BP122" s="21" t="s">
        <v>165</v>
      </c>
      <c r="BQ122" s="21" t="s">
        <v>165</v>
      </c>
      <c r="BR122" s="21" t="s">
        <v>165</v>
      </c>
      <c r="BS122" s="21" t="s">
        <v>165</v>
      </c>
      <c r="BT122" s="21" t="s">
        <v>165</v>
      </c>
      <c r="BU122" s="21" t="s">
        <v>165</v>
      </c>
      <c r="BV122" s="21" t="s">
        <v>165</v>
      </c>
      <c r="BW122" s="21" t="s">
        <v>165</v>
      </c>
      <c r="BX122" s="21" t="s">
        <v>165</v>
      </c>
      <c r="BY122" s="21" t="s">
        <v>165</v>
      </c>
      <c r="BZ122" s="21" t="s">
        <v>165</v>
      </c>
      <c r="CA122" s="21" t="s">
        <v>165</v>
      </c>
      <c r="CB122" s="21" t="s">
        <v>165</v>
      </c>
      <c r="CC122" s="21" t="s">
        <v>165</v>
      </c>
      <c r="CD122" s="21" t="s">
        <v>165</v>
      </c>
      <c r="CE122" s="21" t="s">
        <v>165</v>
      </c>
      <c r="CG122" s="15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</row>
    <row r="123" spans="1:106" outlineLevel="4" x14ac:dyDescent="0.2">
      <c r="A123" s="14">
        <v>1</v>
      </c>
      <c r="C123" s="10" t="str">
        <f>"                Total Provision for Employee Entitlements, Current"</f>
        <v xml:space="preserve">                Total Provision for Employee Entitlements, Current</v>
      </c>
      <c r="D123" s="29">
        <f t="shared" si="24"/>
        <v>3442.5</v>
      </c>
      <c r="E123" s="29">
        <f t="shared" si="25"/>
        <v>4164.306818181818</v>
      </c>
      <c r="F123" s="29">
        <f t="shared" si="26"/>
        <v>2668</v>
      </c>
      <c r="G123" s="29">
        <f t="shared" si="27"/>
        <v>8094</v>
      </c>
      <c r="H123" s="29">
        <f t="shared" si="28"/>
        <v>3067.75</v>
      </c>
      <c r="I123" s="29">
        <f t="shared" si="29"/>
        <v>4828.4375</v>
      </c>
      <c r="J123" s="29">
        <f t="shared" si="30"/>
        <v>1479.8888510624427</v>
      </c>
      <c r="K123" s="30">
        <f t="shared" si="31"/>
        <v>0.35537459550316669</v>
      </c>
      <c r="L123" s="31"/>
      <c r="M123" s="31">
        <v>3705</v>
      </c>
      <c r="N123" s="31">
        <v>4673</v>
      </c>
      <c r="O123" s="31">
        <v>4880.25</v>
      </c>
      <c r="P123" s="31">
        <v>5603.5</v>
      </c>
      <c r="Q123" s="31">
        <v>5910</v>
      </c>
      <c r="R123" s="31" t="s">
        <v>165</v>
      </c>
      <c r="S123" s="31">
        <v>6121</v>
      </c>
      <c r="T123" s="31">
        <v>4574</v>
      </c>
      <c r="U123" s="31" t="s">
        <v>165</v>
      </c>
      <c r="V123" s="31" t="s">
        <v>165</v>
      </c>
      <c r="W123" s="31" t="s">
        <v>165</v>
      </c>
      <c r="X123" s="31">
        <v>4326</v>
      </c>
      <c r="Y123" s="31" t="s">
        <v>165</v>
      </c>
      <c r="Z123" s="31" t="s">
        <v>165</v>
      </c>
      <c r="AA123" s="31" t="s">
        <v>165</v>
      </c>
      <c r="AB123" s="31">
        <v>3065</v>
      </c>
      <c r="AC123" s="31" t="s">
        <v>165</v>
      </c>
      <c r="AD123" s="31" t="s">
        <v>165</v>
      </c>
      <c r="AE123" s="31" t="s">
        <v>165</v>
      </c>
      <c r="AF123" s="31">
        <v>3064</v>
      </c>
      <c r="AG123" s="31">
        <v>3346</v>
      </c>
      <c r="AH123" s="31">
        <v>3174</v>
      </c>
      <c r="AI123" s="31">
        <v>3491</v>
      </c>
      <c r="AJ123" s="31">
        <v>2916</v>
      </c>
      <c r="AK123" s="31">
        <v>3076</v>
      </c>
      <c r="AL123" s="31">
        <v>2899</v>
      </c>
      <c r="AM123" s="31">
        <v>3260</v>
      </c>
      <c r="AN123" s="31">
        <v>2668</v>
      </c>
      <c r="AO123" s="31">
        <v>8094</v>
      </c>
      <c r="AP123" s="31">
        <v>6606</v>
      </c>
      <c r="AQ123" s="31" t="s">
        <v>165</v>
      </c>
      <c r="AR123" s="31">
        <v>3394</v>
      </c>
      <c r="AS123" s="31" t="s">
        <v>165</v>
      </c>
      <c r="AT123" s="31" t="s">
        <v>165</v>
      </c>
      <c r="AU123" s="31" t="s">
        <v>165</v>
      </c>
      <c r="AV123" s="31">
        <v>2769</v>
      </c>
      <c r="AW123" s="31" t="s">
        <v>165</v>
      </c>
      <c r="AX123" s="31" t="s">
        <v>165</v>
      </c>
      <c r="AY123" s="31" t="s">
        <v>165</v>
      </c>
      <c r="AZ123" s="31" t="s">
        <v>165</v>
      </c>
      <c r="BA123" s="31" t="s">
        <v>165</v>
      </c>
      <c r="BB123" s="31" t="s">
        <v>165</v>
      </c>
      <c r="BC123" s="31" t="s">
        <v>165</v>
      </c>
      <c r="BD123" s="31" t="s">
        <v>165</v>
      </c>
      <c r="BE123" s="31" t="s">
        <v>165</v>
      </c>
      <c r="BF123" s="31" t="s">
        <v>165</v>
      </c>
      <c r="BG123" s="31" t="s">
        <v>165</v>
      </c>
      <c r="BH123" s="31" t="s">
        <v>165</v>
      </c>
      <c r="BI123" s="31" t="s">
        <v>165</v>
      </c>
      <c r="BJ123" s="31" t="s">
        <v>165</v>
      </c>
      <c r="BK123" s="31" t="s">
        <v>165</v>
      </c>
      <c r="BL123" s="31" t="s">
        <v>165</v>
      </c>
      <c r="BM123" s="31" t="s">
        <v>165</v>
      </c>
      <c r="BN123" s="31" t="s">
        <v>165</v>
      </c>
      <c r="BO123" s="31" t="s">
        <v>165</v>
      </c>
      <c r="BP123" s="31" t="s">
        <v>165</v>
      </c>
      <c r="BQ123" s="31" t="s">
        <v>165</v>
      </c>
      <c r="BR123" s="31" t="s">
        <v>165</v>
      </c>
      <c r="BS123" s="31" t="s">
        <v>165</v>
      </c>
      <c r="BT123" s="31" t="s">
        <v>165</v>
      </c>
      <c r="BU123" s="31" t="s">
        <v>165</v>
      </c>
      <c r="BV123" s="31" t="s">
        <v>165</v>
      </c>
      <c r="BW123" s="31" t="s">
        <v>165</v>
      </c>
      <c r="BX123" s="31" t="s">
        <v>165</v>
      </c>
      <c r="BY123" s="31" t="s">
        <v>165</v>
      </c>
      <c r="BZ123" s="31" t="s">
        <v>165</v>
      </c>
      <c r="CA123" s="31" t="s">
        <v>165</v>
      </c>
      <c r="CB123" s="31" t="s">
        <v>165</v>
      </c>
      <c r="CC123" s="31" t="s">
        <v>165</v>
      </c>
      <c r="CD123" s="31" t="s">
        <v>165</v>
      </c>
      <c r="CE123" s="31" t="s">
        <v>165</v>
      </c>
      <c r="CG123" s="15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</row>
    <row r="124" spans="1:106" outlineLevel="3" x14ac:dyDescent="0.2">
      <c r="A124" s="14">
        <v>1</v>
      </c>
      <c r="C124" s="10" t="str">
        <f>"            Total Provisions, Current"</f>
        <v xml:space="preserve">            Total Provisions, Current</v>
      </c>
      <c r="D124" s="29">
        <f t="shared" si="24"/>
        <v>3442.5</v>
      </c>
      <c r="E124" s="29">
        <f t="shared" si="25"/>
        <v>4164.306818181818</v>
      </c>
      <c r="F124" s="29">
        <f t="shared" si="26"/>
        <v>2668</v>
      </c>
      <c r="G124" s="29">
        <f t="shared" si="27"/>
        <v>8094</v>
      </c>
      <c r="H124" s="29">
        <f t="shared" si="28"/>
        <v>3067.75</v>
      </c>
      <c r="I124" s="29">
        <f t="shared" si="29"/>
        <v>4828.4375</v>
      </c>
      <c r="J124" s="29">
        <f t="shared" si="30"/>
        <v>1479.8888510624427</v>
      </c>
      <c r="K124" s="30">
        <f t="shared" si="31"/>
        <v>0.35537459550316669</v>
      </c>
      <c r="L124" s="31"/>
      <c r="M124" s="31">
        <v>3705</v>
      </c>
      <c r="N124" s="31">
        <v>4673</v>
      </c>
      <c r="O124" s="31">
        <v>4880.25</v>
      </c>
      <c r="P124" s="31">
        <v>5603.5</v>
      </c>
      <c r="Q124" s="31">
        <v>5910</v>
      </c>
      <c r="R124" s="31" t="s">
        <v>165</v>
      </c>
      <c r="S124" s="31">
        <v>6121</v>
      </c>
      <c r="T124" s="31">
        <v>4574</v>
      </c>
      <c r="U124" s="31" t="s">
        <v>165</v>
      </c>
      <c r="V124" s="31" t="s">
        <v>165</v>
      </c>
      <c r="W124" s="31" t="s">
        <v>165</v>
      </c>
      <c r="X124" s="31">
        <v>4326</v>
      </c>
      <c r="Y124" s="31" t="s">
        <v>165</v>
      </c>
      <c r="Z124" s="31" t="s">
        <v>165</v>
      </c>
      <c r="AA124" s="31" t="s">
        <v>165</v>
      </c>
      <c r="AB124" s="31">
        <v>3065</v>
      </c>
      <c r="AC124" s="31" t="s">
        <v>165</v>
      </c>
      <c r="AD124" s="31" t="s">
        <v>165</v>
      </c>
      <c r="AE124" s="31" t="s">
        <v>165</v>
      </c>
      <c r="AF124" s="31">
        <v>3064</v>
      </c>
      <c r="AG124" s="31">
        <v>3346</v>
      </c>
      <c r="AH124" s="31">
        <v>3174</v>
      </c>
      <c r="AI124" s="31">
        <v>3491</v>
      </c>
      <c r="AJ124" s="31">
        <v>2916</v>
      </c>
      <c r="AK124" s="31">
        <v>3076</v>
      </c>
      <c r="AL124" s="31">
        <v>2899</v>
      </c>
      <c r="AM124" s="31">
        <v>3260</v>
      </c>
      <c r="AN124" s="31">
        <v>2668</v>
      </c>
      <c r="AO124" s="31">
        <v>8094</v>
      </c>
      <c r="AP124" s="31">
        <v>6606</v>
      </c>
      <c r="AQ124" s="31" t="s">
        <v>165</v>
      </c>
      <c r="AR124" s="31">
        <v>3394</v>
      </c>
      <c r="AS124" s="31" t="s">
        <v>165</v>
      </c>
      <c r="AT124" s="31" t="s">
        <v>165</v>
      </c>
      <c r="AU124" s="31" t="s">
        <v>165</v>
      </c>
      <c r="AV124" s="31">
        <v>2769</v>
      </c>
      <c r="AW124" s="31" t="s">
        <v>165</v>
      </c>
      <c r="AX124" s="31" t="s">
        <v>165</v>
      </c>
      <c r="AY124" s="31" t="s">
        <v>165</v>
      </c>
      <c r="AZ124" s="31" t="s">
        <v>165</v>
      </c>
      <c r="BA124" s="31" t="s">
        <v>165</v>
      </c>
      <c r="BB124" s="31" t="s">
        <v>165</v>
      </c>
      <c r="BC124" s="31" t="s">
        <v>165</v>
      </c>
      <c r="BD124" s="31" t="s">
        <v>165</v>
      </c>
      <c r="BE124" s="31" t="s">
        <v>165</v>
      </c>
      <c r="BF124" s="31" t="s">
        <v>165</v>
      </c>
      <c r="BG124" s="31" t="s">
        <v>165</v>
      </c>
      <c r="BH124" s="31" t="s">
        <v>165</v>
      </c>
      <c r="BI124" s="31" t="s">
        <v>165</v>
      </c>
      <c r="BJ124" s="31" t="s">
        <v>165</v>
      </c>
      <c r="BK124" s="31" t="s">
        <v>165</v>
      </c>
      <c r="BL124" s="31" t="s">
        <v>165</v>
      </c>
      <c r="BM124" s="31" t="s">
        <v>165</v>
      </c>
      <c r="BN124" s="31" t="s">
        <v>165</v>
      </c>
      <c r="BO124" s="31" t="s">
        <v>165</v>
      </c>
      <c r="BP124" s="31" t="s">
        <v>165</v>
      </c>
      <c r="BQ124" s="31" t="s">
        <v>165</v>
      </c>
      <c r="BR124" s="31" t="s">
        <v>165</v>
      </c>
      <c r="BS124" s="31" t="s">
        <v>165</v>
      </c>
      <c r="BT124" s="31" t="s">
        <v>165</v>
      </c>
      <c r="BU124" s="31" t="s">
        <v>165</v>
      </c>
      <c r="BV124" s="31" t="s">
        <v>165</v>
      </c>
      <c r="BW124" s="31" t="s">
        <v>165</v>
      </c>
      <c r="BX124" s="31" t="s">
        <v>165</v>
      </c>
      <c r="BY124" s="31" t="s">
        <v>165</v>
      </c>
      <c r="BZ124" s="31" t="s">
        <v>165</v>
      </c>
      <c r="CA124" s="31" t="s">
        <v>165</v>
      </c>
      <c r="CB124" s="31" t="s">
        <v>165</v>
      </c>
      <c r="CC124" s="31" t="s">
        <v>165</v>
      </c>
      <c r="CD124" s="31" t="s">
        <v>165</v>
      </c>
      <c r="CE124" s="31" t="s">
        <v>165</v>
      </c>
      <c r="CG124" s="15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</row>
    <row r="125" spans="1:106" outlineLevel="2" x14ac:dyDescent="0.2">
      <c r="A125" s="14">
        <v>1</v>
      </c>
      <c r="C125" s="9" t="str">
        <f>IF(SUBTOTAL(109,A125)=A125,"        Deferred Liabilities, Current","        Deferred Liabilities, Current")</f>
        <v xml:space="preserve">        Deferred Liabilities, Current</v>
      </c>
      <c r="D125" s="17" t="str">
        <f t="shared" si="24"/>
        <v/>
      </c>
      <c r="E125" s="17" t="str">
        <f t="shared" si="25"/>
        <v/>
      </c>
      <c r="F125" s="17" t="str">
        <f t="shared" si="26"/>
        <v/>
      </c>
      <c r="G125" s="17" t="str">
        <f t="shared" si="27"/>
        <v/>
      </c>
      <c r="H125" s="17" t="str">
        <f t="shared" si="28"/>
        <v/>
      </c>
      <c r="I125" s="17" t="str">
        <f t="shared" si="29"/>
        <v/>
      </c>
      <c r="J125" s="17" t="str">
        <f t="shared" si="30"/>
        <v/>
      </c>
      <c r="K125" s="18" t="str">
        <f t="shared" si="31"/>
        <v/>
      </c>
      <c r="L125" s="21"/>
      <c r="M125" s="21" t="str">
        <f>IF(SUBTOTAL(109,A125)=A125,"",3)</f>
        <v/>
      </c>
      <c r="N125" s="21"/>
      <c r="O125" s="21"/>
      <c r="P125" s="21"/>
      <c r="Q125" s="21"/>
      <c r="R125" s="21" t="str">
        <f>IF(SUBTOTAL(109,A125)=A125,"","")</f>
        <v/>
      </c>
      <c r="S125" s="21" t="str">
        <f>IF(SUBTOTAL(109,A125)=A125,"","")</f>
        <v/>
      </c>
      <c r="T125" s="21" t="str">
        <f>IF(SUBTOTAL(109,A125)=A125,"","")</f>
        <v/>
      </c>
      <c r="U125" s="21" t="str">
        <f>IF(SUBTOTAL(109,A125)=A125,"","")</f>
        <v/>
      </c>
      <c r="V125" s="21" t="str">
        <f>IF(SUBTOTAL(109,A125)=A125,"","")</f>
        <v/>
      </c>
      <c r="W125" s="21" t="str">
        <f>IF(SUBTOTAL(109,A125)=A125,"","")</f>
        <v/>
      </c>
      <c r="X125" s="21" t="str">
        <f>IF(SUBTOTAL(109,A125)=A125,"","")</f>
        <v/>
      </c>
      <c r="Y125" s="21" t="str">
        <f>IF(SUBTOTAL(109,A125)=A125,"","")</f>
        <v/>
      </c>
      <c r="Z125" s="21" t="str">
        <f>IF(SUBTOTAL(109,A125)=A125,"","")</f>
        <v/>
      </c>
      <c r="AA125" s="21" t="str">
        <f>IF(SUBTOTAL(109,A125)=A125,"","")</f>
        <v/>
      </c>
      <c r="AB125" s="21" t="str">
        <f>IF(SUBTOTAL(109,A125)=A125,"","")</f>
        <v/>
      </c>
      <c r="AC125" s="21" t="str">
        <f>IF(SUBTOTAL(109,A125)=A125,"","")</f>
        <v/>
      </c>
      <c r="AD125" s="21" t="str">
        <f>IF(SUBTOTAL(109,A125)=A125,"","")</f>
        <v/>
      </c>
      <c r="AE125" s="21" t="str">
        <f>IF(SUBTOTAL(109,A125)=A125,"","")</f>
        <v/>
      </c>
      <c r="AF125" s="21" t="str">
        <f>IF(SUBTOTAL(109,A125)=A125,"","")</f>
        <v/>
      </c>
      <c r="AG125" s="21" t="str">
        <f>IF(SUBTOTAL(109,A125)=A125,"","")</f>
        <v/>
      </c>
      <c r="AH125" s="21" t="str">
        <f>IF(SUBTOTAL(109,A125)=A125,"","")</f>
        <v/>
      </c>
      <c r="AI125" s="21" t="str">
        <f>IF(SUBTOTAL(109,A125)=A125,"","")</f>
        <v/>
      </c>
      <c r="AJ125" s="21" t="str">
        <f>IF(SUBTOTAL(109,A125)=A125,"","")</f>
        <v/>
      </c>
      <c r="AK125" s="21" t="str">
        <f>IF(SUBTOTAL(109,A125)=A125,"","")</f>
        <v/>
      </c>
      <c r="AL125" s="21" t="str">
        <f>IF(SUBTOTAL(109,A125)=A125,"","")</f>
        <v/>
      </c>
      <c r="AM125" s="21" t="str">
        <f>IF(SUBTOTAL(109,A125)=A125,"","")</f>
        <v/>
      </c>
      <c r="AN125" s="21" t="str">
        <f>IF(SUBTOTAL(109,A125)=A125,"","")</f>
        <v/>
      </c>
      <c r="AO125" s="21" t="str">
        <f>IF(SUBTOTAL(109,A125)=A125,"","")</f>
        <v/>
      </c>
      <c r="AP125" s="21" t="str">
        <f>IF(SUBTOTAL(109,A125)=A125,"","")</f>
        <v/>
      </c>
      <c r="AQ125" s="21" t="str">
        <f>IF(SUBTOTAL(109,A125)=A125,"","")</f>
        <v/>
      </c>
      <c r="AR125" s="21" t="str">
        <f>IF(SUBTOTAL(109,A125)=A125,"",1855)</f>
        <v/>
      </c>
      <c r="AS125" s="21" t="str">
        <f>IF(SUBTOTAL(109,A125)=A125,"","")</f>
        <v/>
      </c>
      <c r="AT125" s="21" t="str">
        <f>IF(SUBTOTAL(109,A125)=A125,"","")</f>
        <v/>
      </c>
      <c r="AU125" s="21" t="str">
        <f>IF(SUBTOTAL(109,A125)=A125,"","")</f>
        <v/>
      </c>
      <c r="AV125" s="21" t="str">
        <f>IF(SUBTOTAL(109,A125)=A125,"","")</f>
        <v/>
      </c>
      <c r="AW125" s="21" t="str">
        <f>IF(SUBTOTAL(109,A125)=A125,"","")</f>
        <v/>
      </c>
      <c r="AX125" s="21" t="str">
        <f>IF(SUBTOTAL(109,A125)=A125,"","")</f>
        <v/>
      </c>
      <c r="AY125" s="21" t="str">
        <f>IF(SUBTOTAL(109,A125)=A125,"","")</f>
        <v/>
      </c>
      <c r="AZ125" s="21" t="str">
        <f>IF(SUBTOTAL(109,A125)=A125,"","")</f>
        <v/>
      </c>
      <c r="BA125" s="21" t="str">
        <f>IF(SUBTOTAL(109,A125)=A125,"",197.924)</f>
        <v/>
      </c>
      <c r="BB125" s="21" t="str">
        <f>IF(SUBTOTAL(109,A125)=A125,"",616.591)</f>
        <v/>
      </c>
      <c r="BC125" s="21" t="str">
        <f>IF(SUBTOTAL(109,A125)=A125,"",715.482)</f>
        <v/>
      </c>
      <c r="BD125" s="21" t="str">
        <f>IF(SUBTOTAL(109,A125)=A125,"",212.552)</f>
        <v/>
      </c>
      <c r="BE125" s="21" t="str">
        <f>IF(SUBTOTAL(109,A125)=A125,"",236.752)</f>
        <v/>
      </c>
      <c r="BF125" s="21" t="str">
        <f>IF(SUBTOTAL(109,A125)=A125,"",179.915)</f>
        <v/>
      </c>
      <c r="BG125" s="21" t="str">
        <f>IF(SUBTOTAL(109,A125)=A125,"",185.132)</f>
        <v/>
      </c>
      <c r="BH125" s="21" t="str">
        <f>IF(SUBTOTAL(109,A125)=A125,"",190.35)</f>
        <v/>
      </c>
      <c r="BI125" s="21" t="str">
        <f>IF(SUBTOTAL(109,A125)=A125,"",64.929)</f>
        <v/>
      </c>
      <c r="BJ125" s="21" t="str">
        <f>IF(SUBTOTAL(109,A125)=A125,"",4.836)</f>
        <v/>
      </c>
      <c r="BK125" s="21" t="str">
        <f>IF(SUBTOTAL(109,A125)=A125,"",4.836)</f>
        <v/>
      </c>
      <c r="BL125" s="21" t="str">
        <f>IF(SUBTOTAL(109,A125)=A125,"",4.836)</f>
        <v/>
      </c>
      <c r="BM125" s="21" t="str">
        <f>IF(SUBTOTAL(109,A125)=A125,"",4.836)</f>
        <v/>
      </c>
      <c r="BN125" s="21" t="str">
        <f>IF(SUBTOTAL(109,A125)=A125,"",4.836)</f>
        <v/>
      </c>
      <c r="BO125" s="21" t="str">
        <f>IF(SUBTOTAL(109,A125)=A125,"",4.836)</f>
        <v/>
      </c>
      <c r="BP125" s="21" t="str">
        <f>IF(SUBTOTAL(109,A125)=A125,"",15.646)</f>
        <v/>
      </c>
      <c r="BQ125" s="21" t="str">
        <f>IF(SUBTOTAL(109,A125)=A125,"",576.936)</f>
        <v/>
      </c>
      <c r="BR125" s="21" t="str">
        <f>IF(SUBTOTAL(109,A125)=A125,"",34.889)</f>
        <v/>
      </c>
      <c r="BS125" s="21" t="str">
        <f>IF(SUBTOTAL(109,A125)=A125,"",74.325)</f>
        <v/>
      </c>
      <c r="BT125" s="21" t="str">
        <f>IF(SUBTOTAL(109,A125)=A125,"",442.291)</f>
        <v/>
      </c>
      <c r="BU125" s="21" t="str">
        <f>IF(SUBTOTAL(109,A125)=A125,"",872.563)</f>
        <v/>
      </c>
      <c r="BV125" s="21" t="str">
        <f>IF(SUBTOTAL(109,A125)=A125,"",181.248)</f>
        <v/>
      </c>
      <c r="BW125" s="21" t="str">
        <f>IF(SUBTOTAL(109,A125)=A125,"",197.22)</f>
        <v/>
      </c>
      <c r="BX125" s="21" t="str">
        <f>IF(SUBTOTAL(109,A125)=A125,"",212.787)</f>
        <v/>
      </c>
      <c r="BY125" s="21" t="str">
        <f>IF(SUBTOTAL(109,A125)=A125,"",202.13)</f>
        <v/>
      </c>
      <c r="BZ125" s="21" t="str">
        <f>IF(SUBTOTAL(109,A125)=A125,"",1598.894)</f>
        <v/>
      </c>
      <c r="CA125" s="21" t="str">
        <f>IF(SUBTOTAL(109,A125)=A125,"",1626.784)</f>
        <v/>
      </c>
      <c r="CB125" s="21" t="str">
        <f>IF(SUBTOTAL(109,A125)=A125,"",1597.674)</f>
        <v/>
      </c>
      <c r="CC125" s="21" t="str">
        <f>IF(SUBTOTAL(109,A125)=A125,"","")</f>
        <v/>
      </c>
      <c r="CD125" s="21" t="str">
        <f>IF(SUBTOTAL(109,A125)=A125,"","")</f>
        <v/>
      </c>
      <c r="CE125" s="21" t="str">
        <f>IF(SUBTOTAL(109,A125)=A125,"","")</f>
        <v/>
      </c>
      <c r="CG125" s="15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</row>
    <row r="126" spans="1:106" outlineLevel="3" x14ac:dyDescent="0.2">
      <c r="A126" s="14">
        <v>1</v>
      </c>
      <c r="C126" s="9" t="str">
        <f>"            Deferred Income/Customer Advances/Billings in Excess of Cost, Current"</f>
        <v xml:space="preserve">            Deferred Income/Customer Advances/Billings in Excess of Cost, Current</v>
      </c>
      <c r="D126" s="17">
        <f t="shared" si="24"/>
        <v>197.572</v>
      </c>
      <c r="E126" s="17">
        <f t="shared" si="25"/>
        <v>965.75088235294118</v>
      </c>
      <c r="F126" s="17">
        <f t="shared" si="26"/>
        <v>0</v>
      </c>
      <c r="G126" s="17">
        <f t="shared" si="27"/>
        <v>9109.5</v>
      </c>
      <c r="H126" s="17">
        <f t="shared" si="28"/>
        <v>20.45675</v>
      </c>
      <c r="I126" s="17">
        <f t="shared" si="29"/>
        <v>690.75924999999995</v>
      </c>
      <c r="J126" s="17">
        <f t="shared" si="30"/>
        <v>2139.6157728311427</v>
      </c>
      <c r="K126" s="18">
        <f t="shared" si="31"/>
        <v>2.2154945047714731</v>
      </c>
      <c r="L126" s="21"/>
      <c r="M126" s="21">
        <v>3</v>
      </c>
      <c r="N126" s="21">
        <v>2748.5</v>
      </c>
      <c r="O126" s="21">
        <v>9109.5</v>
      </c>
      <c r="P126" s="21">
        <v>8857.5</v>
      </c>
      <c r="Q126" s="21">
        <v>0</v>
      </c>
      <c r="R126" s="21" t="s">
        <v>165</v>
      </c>
      <c r="S126" s="21" t="s">
        <v>165</v>
      </c>
      <c r="T126" s="21" t="s">
        <v>165</v>
      </c>
      <c r="U126" s="21" t="s">
        <v>165</v>
      </c>
      <c r="V126" s="21" t="s">
        <v>165</v>
      </c>
      <c r="W126" s="21" t="s">
        <v>165</v>
      </c>
      <c r="X126" s="21" t="s">
        <v>165</v>
      </c>
      <c r="Y126" s="21" t="s">
        <v>165</v>
      </c>
      <c r="Z126" s="21" t="s">
        <v>165</v>
      </c>
      <c r="AA126" s="21" t="s">
        <v>165</v>
      </c>
      <c r="AB126" s="21" t="s">
        <v>165</v>
      </c>
      <c r="AC126" s="21" t="s">
        <v>165</v>
      </c>
      <c r="AD126" s="21" t="s">
        <v>165</v>
      </c>
      <c r="AE126" s="21" t="s">
        <v>165</v>
      </c>
      <c r="AF126" s="21" t="s">
        <v>165</v>
      </c>
      <c r="AG126" s="21" t="s">
        <v>165</v>
      </c>
      <c r="AH126" s="21" t="s">
        <v>165</v>
      </c>
      <c r="AI126" s="21" t="s">
        <v>165</v>
      </c>
      <c r="AJ126" s="21" t="s">
        <v>165</v>
      </c>
      <c r="AK126" s="21" t="s">
        <v>165</v>
      </c>
      <c r="AL126" s="21" t="s">
        <v>165</v>
      </c>
      <c r="AM126" s="21" t="s">
        <v>165</v>
      </c>
      <c r="AN126" s="21" t="s">
        <v>165</v>
      </c>
      <c r="AO126" s="21" t="s">
        <v>165</v>
      </c>
      <c r="AP126" s="21" t="s">
        <v>165</v>
      </c>
      <c r="AQ126" s="21" t="s">
        <v>165</v>
      </c>
      <c r="AR126" s="21">
        <v>1855</v>
      </c>
      <c r="AS126" s="21" t="s">
        <v>165</v>
      </c>
      <c r="AT126" s="21" t="s">
        <v>165</v>
      </c>
      <c r="AU126" s="21" t="s">
        <v>165</v>
      </c>
      <c r="AV126" s="21" t="s">
        <v>165</v>
      </c>
      <c r="AW126" s="21" t="s">
        <v>165</v>
      </c>
      <c r="AX126" s="21" t="s">
        <v>165</v>
      </c>
      <c r="AY126" s="21" t="s">
        <v>165</v>
      </c>
      <c r="AZ126" s="21" t="s">
        <v>165</v>
      </c>
      <c r="BA126" s="21">
        <v>197.92400000000001</v>
      </c>
      <c r="BB126" s="21">
        <v>616.59100000000001</v>
      </c>
      <c r="BC126" s="21">
        <v>715.48199999999997</v>
      </c>
      <c r="BD126" s="21">
        <v>212.55199999999999</v>
      </c>
      <c r="BE126" s="21">
        <v>236.75200000000001</v>
      </c>
      <c r="BF126" s="21">
        <v>179.91499999999999</v>
      </c>
      <c r="BG126" s="21">
        <v>185.13200000000001</v>
      </c>
      <c r="BH126" s="21">
        <v>190.35</v>
      </c>
      <c r="BI126" s="21">
        <v>64.929000000000002</v>
      </c>
      <c r="BJ126" s="21">
        <v>4.8360000000000003</v>
      </c>
      <c r="BK126" s="21">
        <v>4.8360000000000003</v>
      </c>
      <c r="BL126" s="21">
        <v>4.8360000000000003</v>
      </c>
      <c r="BM126" s="21">
        <v>4.8360000000000003</v>
      </c>
      <c r="BN126" s="21">
        <v>4.8360000000000003</v>
      </c>
      <c r="BO126" s="21">
        <v>4.8360000000000003</v>
      </c>
      <c r="BP126" s="21">
        <v>15.646000000000001</v>
      </c>
      <c r="BQ126" s="21">
        <v>576.93600000000004</v>
      </c>
      <c r="BR126" s="21">
        <v>34.889000000000003</v>
      </c>
      <c r="BS126" s="21">
        <v>74.325000000000003</v>
      </c>
      <c r="BT126" s="21">
        <v>442.291</v>
      </c>
      <c r="BU126" s="21">
        <v>872.56299999999999</v>
      </c>
      <c r="BV126" s="21">
        <v>181.24799999999999</v>
      </c>
      <c r="BW126" s="21">
        <v>197.22</v>
      </c>
      <c r="BX126" s="21">
        <v>212.78700000000001</v>
      </c>
      <c r="BY126" s="21">
        <v>202.13</v>
      </c>
      <c r="BZ126" s="21">
        <v>1598.894</v>
      </c>
      <c r="CA126" s="21">
        <v>1626.7840000000001</v>
      </c>
      <c r="CB126" s="21">
        <v>1597.674</v>
      </c>
      <c r="CC126" s="21" t="s">
        <v>165</v>
      </c>
      <c r="CD126" s="21" t="s">
        <v>165</v>
      </c>
      <c r="CE126" s="21" t="s">
        <v>165</v>
      </c>
      <c r="CG126" s="15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</row>
    <row r="127" spans="1:106" outlineLevel="3" x14ac:dyDescent="0.2">
      <c r="A127" s="14">
        <v>1</v>
      </c>
      <c r="C127" s="10" t="str">
        <f>"            Total Deferred Liabilities, Current"</f>
        <v xml:space="preserve">            Total Deferred Liabilities, Current</v>
      </c>
      <c r="D127" s="29">
        <f t="shared" si="24"/>
        <v>197.572</v>
      </c>
      <c r="E127" s="29">
        <f t="shared" si="25"/>
        <v>965.75088235294118</v>
      </c>
      <c r="F127" s="29">
        <f t="shared" si="26"/>
        <v>0</v>
      </c>
      <c r="G127" s="29">
        <f t="shared" si="27"/>
        <v>9109.5</v>
      </c>
      <c r="H127" s="29">
        <f t="shared" si="28"/>
        <v>20.45675</v>
      </c>
      <c r="I127" s="29">
        <f t="shared" si="29"/>
        <v>690.75924999999995</v>
      </c>
      <c r="J127" s="29">
        <f t="shared" si="30"/>
        <v>2139.6157728311427</v>
      </c>
      <c r="K127" s="30">
        <f t="shared" si="31"/>
        <v>2.2154945047714731</v>
      </c>
      <c r="L127" s="31"/>
      <c r="M127" s="31">
        <v>3</v>
      </c>
      <c r="N127" s="31">
        <v>2748.5</v>
      </c>
      <c r="O127" s="31">
        <v>9109.5</v>
      </c>
      <c r="P127" s="31">
        <v>8857.5</v>
      </c>
      <c r="Q127" s="31">
        <v>0</v>
      </c>
      <c r="R127" s="31" t="s">
        <v>165</v>
      </c>
      <c r="S127" s="31" t="s">
        <v>165</v>
      </c>
      <c r="T127" s="31" t="s">
        <v>165</v>
      </c>
      <c r="U127" s="31" t="s">
        <v>165</v>
      </c>
      <c r="V127" s="31" t="s">
        <v>165</v>
      </c>
      <c r="W127" s="31" t="s">
        <v>165</v>
      </c>
      <c r="X127" s="31" t="s">
        <v>165</v>
      </c>
      <c r="Y127" s="31" t="s">
        <v>165</v>
      </c>
      <c r="Z127" s="31" t="s">
        <v>165</v>
      </c>
      <c r="AA127" s="31" t="s">
        <v>165</v>
      </c>
      <c r="AB127" s="31" t="s">
        <v>165</v>
      </c>
      <c r="AC127" s="31" t="s">
        <v>165</v>
      </c>
      <c r="AD127" s="31" t="s">
        <v>165</v>
      </c>
      <c r="AE127" s="31" t="s">
        <v>165</v>
      </c>
      <c r="AF127" s="31" t="s">
        <v>165</v>
      </c>
      <c r="AG127" s="31" t="s">
        <v>165</v>
      </c>
      <c r="AH127" s="31" t="s">
        <v>165</v>
      </c>
      <c r="AI127" s="31" t="s">
        <v>165</v>
      </c>
      <c r="AJ127" s="31" t="s">
        <v>165</v>
      </c>
      <c r="AK127" s="31" t="s">
        <v>165</v>
      </c>
      <c r="AL127" s="31" t="s">
        <v>165</v>
      </c>
      <c r="AM127" s="31" t="s">
        <v>165</v>
      </c>
      <c r="AN127" s="31" t="s">
        <v>165</v>
      </c>
      <c r="AO127" s="31" t="s">
        <v>165</v>
      </c>
      <c r="AP127" s="31" t="s">
        <v>165</v>
      </c>
      <c r="AQ127" s="31" t="s">
        <v>165</v>
      </c>
      <c r="AR127" s="31">
        <v>1855</v>
      </c>
      <c r="AS127" s="31" t="s">
        <v>165</v>
      </c>
      <c r="AT127" s="31" t="s">
        <v>165</v>
      </c>
      <c r="AU127" s="31" t="s">
        <v>165</v>
      </c>
      <c r="AV127" s="31" t="s">
        <v>165</v>
      </c>
      <c r="AW127" s="31" t="s">
        <v>165</v>
      </c>
      <c r="AX127" s="31" t="s">
        <v>165</v>
      </c>
      <c r="AY127" s="31" t="s">
        <v>165</v>
      </c>
      <c r="AZ127" s="31" t="s">
        <v>165</v>
      </c>
      <c r="BA127" s="31">
        <v>197.92400000000001</v>
      </c>
      <c r="BB127" s="31">
        <v>616.59100000000001</v>
      </c>
      <c r="BC127" s="31">
        <v>715.48199999999997</v>
      </c>
      <c r="BD127" s="31">
        <v>212.55199999999999</v>
      </c>
      <c r="BE127" s="31">
        <v>236.75200000000001</v>
      </c>
      <c r="BF127" s="31">
        <v>179.91499999999999</v>
      </c>
      <c r="BG127" s="31">
        <v>185.13200000000001</v>
      </c>
      <c r="BH127" s="31">
        <v>190.35</v>
      </c>
      <c r="BI127" s="31">
        <v>64.929000000000002</v>
      </c>
      <c r="BJ127" s="31">
        <v>4.8360000000000003</v>
      </c>
      <c r="BK127" s="31">
        <v>4.8360000000000003</v>
      </c>
      <c r="BL127" s="31">
        <v>4.8360000000000003</v>
      </c>
      <c r="BM127" s="31">
        <v>4.8360000000000003</v>
      </c>
      <c r="BN127" s="31">
        <v>4.8360000000000003</v>
      </c>
      <c r="BO127" s="31">
        <v>4.8360000000000003</v>
      </c>
      <c r="BP127" s="31">
        <v>15.646000000000001</v>
      </c>
      <c r="BQ127" s="31">
        <v>576.93600000000004</v>
      </c>
      <c r="BR127" s="31">
        <v>34.889000000000003</v>
      </c>
      <c r="BS127" s="31">
        <v>74.325000000000003</v>
      </c>
      <c r="BT127" s="31">
        <v>442.291</v>
      </c>
      <c r="BU127" s="31">
        <v>872.56299999999999</v>
      </c>
      <c r="BV127" s="31">
        <v>181.24799999999999</v>
      </c>
      <c r="BW127" s="31">
        <v>197.22</v>
      </c>
      <c r="BX127" s="31">
        <v>212.78700000000001</v>
      </c>
      <c r="BY127" s="31">
        <v>202.13</v>
      </c>
      <c r="BZ127" s="31">
        <v>1598.894</v>
      </c>
      <c r="CA127" s="31">
        <v>1626.7840000000001</v>
      </c>
      <c r="CB127" s="31">
        <v>1597.674</v>
      </c>
      <c r="CC127" s="31" t="s">
        <v>165</v>
      </c>
      <c r="CD127" s="31" t="s">
        <v>165</v>
      </c>
      <c r="CE127" s="31" t="s">
        <v>165</v>
      </c>
      <c r="CG127" s="15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</row>
    <row r="128" spans="1:106" outlineLevel="2" x14ac:dyDescent="0.2">
      <c r="A128" s="14">
        <v>1</v>
      </c>
      <c r="C128" s="9" t="str">
        <f>"        Liabilities Held for Sale/Discontinued Operations, Current"</f>
        <v xml:space="preserve">        Liabilities Held for Sale/Discontinued Operations, Current</v>
      </c>
      <c r="D128" s="17">
        <f t="shared" si="24"/>
        <v>0</v>
      </c>
      <c r="E128" s="17">
        <f t="shared" si="25"/>
        <v>2054.1428571428573</v>
      </c>
      <c r="F128" s="17">
        <f t="shared" si="26"/>
        <v>0</v>
      </c>
      <c r="G128" s="17">
        <f t="shared" si="27"/>
        <v>8686</v>
      </c>
      <c r="H128" s="17">
        <f t="shared" si="28"/>
        <v>0</v>
      </c>
      <c r="I128" s="17">
        <f t="shared" si="29"/>
        <v>2846.5</v>
      </c>
      <c r="J128" s="17">
        <f t="shared" si="30"/>
        <v>3612.9472008583903</v>
      </c>
      <c r="K128" s="18">
        <f t="shared" si="31"/>
        <v>1.7588587805834015</v>
      </c>
      <c r="L128" s="21"/>
      <c r="M128" s="21" t="s">
        <v>165</v>
      </c>
      <c r="N128" s="21">
        <v>0</v>
      </c>
      <c r="O128" s="21">
        <v>8686</v>
      </c>
      <c r="P128" s="21"/>
      <c r="Q128" s="21"/>
      <c r="R128" s="21" t="s">
        <v>165</v>
      </c>
      <c r="S128" s="21" t="s">
        <v>165</v>
      </c>
      <c r="T128" s="21" t="s">
        <v>165</v>
      </c>
      <c r="U128" s="21" t="s">
        <v>165</v>
      </c>
      <c r="V128" s="21" t="s">
        <v>165</v>
      </c>
      <c r="W128" s="21" t="s">
        <v>165</v>
      </c>
      <c r="X128" s="21" t="s">
        <v>165</v>
      </c>
      <c r="Y128" s="21" t="s">
        <v>165</v>
      </c>
      <c r="Z128" s="21" t="s">
        <v>165</v>
      </c>
      <c r="AA128" s="21" t="s">
        <v>165</v>
      </c>
      <c r="AB128" s="21" t="s">
        <v>165</v>
      </c>
      <c r="AC128" s="21" t="s">
        <v>165</v>
      </c>
      <c r="AD128" s="21" t="s">
        <v>165</v>
      </c>
      <c r="AE128" s="21" t="s">
        <v>165</v>
      </c>
      <c r="AF128" s="21" t="s">
        <v>165</v>
      </c>
      <c r="AG128" s="21" t="s">
        <v>165</v>
      </c>
      <c r="AH128" s="21" t="s">
        <v>165</v>
      </c>
      <c r="AI128" s="21" t="s">
        <v>165</v>
      </c>
      <c r="AJ128" s="21" t="s">
        <v>165</v>
      </c>
      <c r="AK128" s="21">
        <v>0</v>
      </c>
      <c r="AL128" s="21">
        <v>0</v>
      </c>
      <c r="AM128" s="21">
        <v>0</v>
      </c>
      <c r="AN128" s="21">
        <v>5693</v>
      </c>
      <c r="AO128" s="21" t="s">
        <v>165</v>
      </c>
      <c r="AP128" s="21" t="s">
        <v>165</v>
      </c>
      <c r="AQ128" s="21" t="s">
        <v>165</v>
      </c>
      <c r="AR128" s="21">
        <v>0</v>
      </c>
      <c r="AS128" s="21" t="s">
        <v>165</v>
      </c>
      <c r="AT128" s="21" t="s">
        <v>165</v>
      </c>
      <c r="AU128" s="21" t="s">
        <v>165</v>
      </c>
      <c r="AV128" s="21" t="s">
        <v>165</v>
      </c>
      <c r="AW128" s="21" t="s">
        <v>165</v>
      </c>
      <c r="AX128" s="21" t="s">
        <v>165</v>
      </c>
      <c r="AY128" s="21" t="s">
        <v>165</v>
      </c>
      <c r="AZ128" s="21" t="s">
        <v>165</v>
      </c>
      <c r="BA128" s="21" t="s">
        <v>165</v>
      </c>
      <c r="BB128" s="21" t="s">
        <v>165</v>
      </c>
      <c r="BC128" s="21" t="s">
        <v>165</v>
      </c>
      <c r="BD128" s="21" t="s">
        <v>165</v>
      </c>
      <c r="BE128" s="21" t="s">
        <v>165</v>
      </c>
      <c r="BF128" s="21" t="s">
        <v>165</v>
      </c>
      <c r="BG128" s="21" t="s">
        <v>165</v>
      </c>
      <c r="BH128" s="21" t="s">
        <v>165</v>
      </c>
      <c r="BI128" s="21" t="s">
        <v>165</v>
      </c>
      <c r="BJ128" s="21" t="s">
        <v>165</v>
      </c>
      <c r="BK128" s="21" t="s">
        <v>165</v>
      </c>
      <c r="BL128" s="21" t="s">
        <v>165</v>
      </c>
      <c r="BM128" s="21" t="s">
        <v>165</v>
      </c>
      <c r="BN128" s="21" t="s">
        <v>165</v>
      </c>
      <c r="BO128" s="21" t="s">
        <v>165</v>
      </c>
      <c r="BP128" s="21" t="s">
        <v>165</v>
      </c>
      <c r="BQ128" s="21" t="s">
        <v>165</v>
      </c>
      <c r="BR128" s="21" t="s">
        <v>165</v>
      </c>
      <c r="BS128" s="21" t="s">
        <v>165</v>
      </c>
      <c r="BT128" s="21" t="s">
        <v>165</v>
      </c>
      <c r="BU128" s="21" t="s">
        <v>165</v>
      </c>
      <c r="BV128" s="21" t="s">
        <v>165</v>
      </c>
      <c r="BW128" s="21" t="s">
        <v>165</v>
      </c>
      <c r="BX128" s="21" t="s">
        <v>165</v>
      </c>
      <c r="BY128" s="21" t="s">
        <v>165</v>
      </c>
      <c r="BZ128" s="21" t="s">
        <v>165</v>
      </c>
      <c r="CA128" s="21" t="s">
        <v>165</v>
      </c>
      <c r="CB128" s="21" t="s">
        <v>165</v>
      </c>
      <c r="CC128" s="21" t="s">
        <v>165</v>
      </c>
      <c r="CD128" s="21" t="s">
        <v>165</v>
      </c>
      <c r="CE128" s="21" t="s">
        <v>165</v>
      </c>
      <c r="CG128" s="15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</row>
    <row r="129" spans="1:106" outlineLevel="2" x14ac:dyDescent="0.2">
      <c r="A129" s="14">
        <v>1</v>
      </c>
      <c r="C129" s="9" t="str">
        <f>"        Other Current Liabilities"</f>
        <v xml:space="preserve">        Other Current Liabilities</v>
      </c>
      <c r="D129" s="17">
        <f t="shared" si="24"/>
        <v>1053</v>
      </c>
      <c r="E129" s="17">
        <f t="shared" si="25"/>
        <v>2343.2622857142856</v>
      </c>
      <c r="F129" s="17">
        <f t="shared" si="26"/>
        <v>32.953000000000003</v>
      </c>
      <c r="G129" s="17">
        <f t="shared" si="27"/>
        <v>6240.1670000000004</v>
      </c>
      <c r="H129" s="17">
        <f t="shared" si="28"/>
        <v>767.74549999999999</v>
      </c>
      <c r="I129" s="17">
        <f t="shared" si="29"/>
        <v>3770.6125000000002</v>
      </c>
      <c r="J129" s="17">
        <f t="shared" si="30"/>
        <v>2692.4758774483457</v>
      </c>
      <c r="K129" s="18">
        <f t="shared" si="31"/>
        <v>1.1490288107579947</v>
      </c>
      <c r="L129" s="21"/>
      <c r="M129" s="21" t="s">
        <v>165</v>
      </c>
      <c r="N129" s="134"/>
      <c r="O129" s="134"/>
      <c r="P129" s="134"/>
      <c r="Q129" s="134"/>
      <c r="R129" s="21" t="s">
        <v>165</v>
      </c>
      <c r="S129" s="21" t="s">
        <v>165</v>
      </c>
      <c r="T129" s="21" t="s">
        <v>165</v>
      </c>
      <c r="U129" s="21" t="s">
        <v>165</v>
      </c>
      <c r="V129" s="21" t="s">
        <v>165</v>
      </c>
      <c r="W129" s="21" t="s">
        <v>165</v>
      </c>
      <c r="X129" s="21" t="s">
        <v>165</v>
      </c>
      <c r="Y129" s="21" t="s">
        <v>165</v>
      </c>
      <c r="Z129" s="21" t="s">
        <v>165</v>
      </c>
      <c r="AA129" s="21" t="s">
        <v>165</v>
      </c>
      <c r="AB129" s="21" t="s">
        <v>165</v>
      </c>
      <c r="AC129" s="21" t="s">
        <v>165</v>
      </c>
      <c r="AD129" s="21" t="s">
        <v>165</v>
      </c>
      <c r="AE129" s="21" t="s">
        <v>165</v>
      </c>
      <c r="AF129" s="21" t="s">
        <v>165</v>
      </c>
      <c r="AG129" s="21" t="s">
        <v>165</v>
      </c>
      <c r="AH129" s="21">
        <v>1053</v>
      </c>
      <c r="AI129" s="21" t="s">
        <v>165</v>
      </c>
      <c r="AJ129" s="21" t="s">
        <v>165</v>
      </c>
      <c r="AK129" s="21" t="s">
        <v>165</v>
      </c>
      <c r="AL129" s="21" t="s">
        <v>165</v>
      </c>
      <c r="AM129" s="21" t="s">
        <v>165</v>
      </c>
      <c r="AN129" s="21" t="s">
        <v>165</v>
      </c>
      <c r="AO129" s="21" t="s">
        <v>165</v>
      </c>
      <c r="AP129" s="21" t="s">
        <v>165</v>
      </c>
      <c r="AQ129" s="21" t="s">
        <v>165</v>
      </c>
      <c r="AR129" s="21" t="s">
        <v>165</v>
      </c>
      <c r="AS129" s="21" t="s">
        <v>165</v>
      </c>
      <c r="AT129" s="21" t="s">
        <v>165</v>
      </c>
      <c r="AU129" s="21" t="s">
        <v>165</v>
      </c>
      <c r="AV129" s="21" t="s">
        <v>165</v>
      </c>
      <c r="AW129" s="21" t="s">
        <v>165</v>
      </c>
      <c r="AX129" s="21" t="s">
        <v>165</v>
      </c>
      <c r="AY129" s="21" t="s">
        <v>165</v>
      </c>
      <c r="AZ129" s="21" t="s">
        <v>165</v>
      </c>
      <c r="BA129" s="21" t="s">
        <v>165</v>
      </c>
      <c r="BB129" s="21" t="s">
        <v>165</v>
      </c>
      <c r="BC129" s="21" t="s">
        <v>165</v>
      </c>
      <c r="BD129" s="21" t="s">
        <v>165</v>
      </c>
      <c r="BE129" s="21" t="s">
        <v>165</v>
      </c>
      <c r="BF129" s="21" t="s">
        <v>165</v>
      </c>
      <c r="BG129" s="21" t="s">
        <v>165</v>
      </c>
      <c r="BH129" s="21" t="s">
        <v>165</v>
      </c>
      <c r="BI129" s="21" t="s">
        <v>165</v>
      </c>
      <c r="BJ129" s="21" t="s">
        <v>165</v>
      </c>
      <c r="BK129" s="21" t="s">
        <v>165</v>
      </c>
      <c r="BL129" s="21" t="s">
        <v>165</v>
      </c>
      <c r="BM129" s="21">
        <v>1021.2</v>
      </c>
      <c r="BN129" s="21">
        <v>1306.8</v>
      </c>
      <c r="BO129" s="21" t="s">
        <v>165</v>
      </c>
      <c r="BP129" s="21" t="s">
        <v>165</v>
      </c>
      <c r="BQ129" s="21" t="s">
        <v>165</v>
      </c>
      <c r="BR129" s="21" t="s">
        <v>165</v>
      </c>
      <c r="BS129" s="21" t="s">
        <v>165</v>
      </c>
      <c r="BT129" s="21" t="s">
        <v>165</v>
      </c>
      <c r="BU129" s="21" t="s">
        <v>165</v>
      </c>
      <c r="BV129" s="21" t="s">
        <v>165</v>
      </c>
      <c r="BW129" s="21" t="s">
        <v>165</v>
      </c>
      <c r="BX129" s="21">
        <v>6234.4250000000002</v>
      </c>
      <c r="BY129" s="21" t="s">
        <v>165</v>
      </c>
      <c r="BZ129" s="21">
        <v>32.953000000000003</v>
      </c>
      <c r="CA129" s="21">
        <v>514.29100000000005</v>
      </c>
      <c r="CB129" s="21">
        <v>6240.1670000000004</v>
      </c>
      <c r="CC129" s="21" t="s">
        <v>165</v>
      </c>
      <c r="CD129" s="21" t="s">
        <v>165</v>
      </c>
      <c r="CE129" s="21" t="s">
        <v>165</v>
      </c>
      <c r="CG129" s="15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</row>
    <row r="130" spans="1:106" outlineLevel="2" x14ac:dyDescent="0.2">
      <c r="A130" s="14">
        <v>1</v>
      </c>
      <c r="C130" s="10" t="str">
        <f>"        Total Current Liabilities"</f>
        <v xml:space="preserve">        Total Current Liabilities</v>
      </c>
      <c r="D130" s="29">
        <f t="shared" si="24"/>
        <v>69174</v>
      </c>
      <c r="E130" s="29">
        <f t="shared" si="25"/>
        <v>70274.380943661949</v>
      </c>
      <c r="F130" s="29">
        <f t="shared" si="26"/>
        <v>34.040999999999997</v>
      </c>
      <c r="G130" s="29">
        <f t="shared" si="27"/>
        <v>195072</v>
      </c>
      <c r="H130" s="29">
        <f t="shared" si="28"/>
        <v>30475.635499999997</v>
      </c>
      <c r="I130" s="29">
        <f t="shared" si="29"/>
        <v>92591.5</v>
      </c>
      <c r="J130" s="29">
        <f t="shared" si="30"/>
        <v>41761.142425530212</v>
      </c>
      <c r="K130" s="30">
        <f t="shared" si="31"/>
        <v>0.59425841771569032</v>
      </c>
      <c r="L130" s="31"/>
      <c r="M130" s="31">
        <v>88949</v>
      </c>
      <c r="N130" s="31">
        <v>121146.75</v>
      </c>
      <c r="O130" s="31">
        <v>123937.5</v>
      </c>
      <c r="P130" s="31">
        <v>136813</v>
      </c>
      <c r="Q130" s="31">
        <v>96707.5</v>
      </c>
      <c r="R130" s="31">
        <v>181768</v>
      </c>
      <c r="S130" s="31">
        <v>195072</v>
      </c>
      <c r="T130" s="31">
        <v>151245</v>
      </c>
      <c r="U130" s="31">
        <v>134538</v>
      </c>
      <c r="V130" s="31">
        <v>120765</v>
      </c>
      <c r="W130" s="31">
        <v>126466</v>
      </c>
      <c r="X130" s="31">
        <v>122592</v>
      </c>
      <c r="Y130" s="31">
        <v>100889</v>
      </c>
      <c r="Z130" s="31">
        <v>86244</v>
      </c>
      <c r="AA130" s="31">
        <v>89079</v>
      </c>
      <c r="AB130" s="31">
        <v>81011</v>
      </c>
      <c r="AC130" s="31">
        <v>59200</v>
      </c>
      <c r="AD130" s="31">
        <v>59019</v>
      </c>
      <c r="AE130" s="31">
        <v>85563</v>
      </c>
      <c r="AF130" s="31">
        <v>92543</v>
      </c>
      <c r="AG130" s="31">
        <v>88217</v>
      </c>
      <c r="AH130" s="31">
        <v>92640</v>
      </c>
      <c r="AI130" s="31">
        <v>83894</v>
      </c>
      <c r="AJ130" s="31">
        <v>82593</v>
      </c>
      <c r="AK130" s="31">
        <v>68049</v>
      </c>
      <c r="AL130" s="31">
        <v>70702</v>
      </c>
      <c r="AM130" s="31">
        <v>81477</v>
      </c>
      <c r="AN130" s="31">
        <v>83345</v>
      </c>
      <c r="AO130" s="31">
        <v>69174</v>
      </c>
      <c r="AP130" s="31">
        <v>108337</v>
      </c>
      <c r="AQ130" s="31">
        <v>112316</v>
      </c>
      <c r="AR130" s="31">
        <v>122294</v>
      </c>
      <c r="AS130" s="31">
        <v>92729</v>
      </c>
      <c r="AT130" s="31">
        <v>74904</v>
      </c>
      <c r="AU130" s="31">
        <v>85102</v>
      </c>
      <c r="AV130" s="31">
        <v>96952</v>
      </c>
      <c r="AW130" s="31">
        <v>60196</v>
      </c>
      <c r="AX130" s="31">
        <v>69078</v>
      </c>
      <c r="AY130" s="31">
        <v>77746</v>
      </c>
      <c r="AZ130" s="31">
        <v>67366</v>
      </c>
      <c r="BA130" s="31">
        <v>53142.792000000001</v>
      </c>
      <c r="BB130" s="31">
        <v>58064.03</v>
      </c>
      <c r="BC130" s="31">
        <v>69899.876999999993</v>
      </c>
      <c r="BD130" s="31">
        <v>63449.055999999997</v>
      </c>
      <c r="BE130" s="31">
        <v>69408.472999999998</v>
      </c>
      <c r="BF130" s="31">
        <v>63672.000999999997</v>
      </c>
      <c r="BG130" s="31">
        <v>60970.470999999998</v>
      </c>
      <c r="BH130" s="31">
        <v>55948.322</v>
      </c>
      <c r="BI130" s="31">
        <v>42781.05</v>
      </c>
      <c r="BJ130" s="31">
        <v>33942.718000000001</v>
      </c>
      <c r="BK130" s="31">
        <v>33331.305</v>
      </c>
      <c r="BL130" s="31">
        <v>31694.702000000001</v>
      </c>
      <c r="BM130" s="31">
        <v>28211.698</v>
      </c>
      <c r="BN130" s="31">
        <v>31079.528999999999</v>
      </c>
      <c r="BO130" s="31">
        <v>28017.919999999998</v>
      </c>
      <c r="BP130" s="31">
        <v>27810.286</v>
      </c>
      <c r="BQ130" s="31">
        <v>25859.721000000001</v>
      </c>
      <c r="BR130" s="31">
        <v>26401.512999999999</v>
      </c>
      <c r="BS130" s="31">
        <v>23666.333999999999</v>
      </c>
      <c r="BT130" s="31">
        <v>29871.741999999998</v>
      </c>
      <c r="BU130" s="31">
        <v>24994.766</v>
      </c>
      <c r="BV130" s="31">
        <v>28242.376</v>
      </c>
      <c r="BW130" s="31">
        <v>24171.157999999999</v>
      </c>
      <c r="BX130" s="31">
        <v>26676.326000000001</v>
      </c>
      <c r="BY130" s="31">
        <v>19307.129000000001</v>
      </c>
      <c r="BZ130" s="31">
        <v>22159.733</v>
      </c>
      <c r="CA130" s="31">
        <v>22110.830999999998</v>
      </c>
      <c r="CB130" s="31">
        <v>23149.851999999999</v>
      </c>
      <c r="CC130" s="31">
        <v>631.43100000000004</v>
      </c>
      <c r="CD130" s="31">
        <v>121.114</v>
      </c>
      <c r="CE130" s="31">
        <v>34.040999999999997</v>
      </c>
      <c r="CG130" s="15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</row>
    <row r="131" spans="1:106" outlineLevel="1" x14ac:dyDescent="0.2">
      <c r="A131" s="14">
        <v>1</v>
      </c>
      <c r="C131" s="9" t="str">
        <f>IF(SUBTOTAL(109,A131)=A131,"    Non-Current Liabilities","    Total Non-Current Liabilities")</f>
        <v xml:space="preserve">    Non-Current Liabilities</v>
      </c>
      <c r="D131" s="17" t="str">
        <f t="shared" si="24"/>
        <v/>
      </c>
      <c r="E131" s="17" t="str">
        <f t="shared" si="25"/>
        <v/>
      </c>
      <c r="F131" s="17" t="str">
        <f t="shared" si="26"/>
        <v/>
      </c>
      <c r="G131" s="17" t="str">
        <f t="shared" si="27"/>
        <v/>
      </c>
      <c r="H131" s="17" t="str">
        <f t="shared" si="28"/>
        <v/>
      </c>
      <c r="I131" s="17" t="str">
        <f t="shared" si="29"/>
        <v/>
      </c>
      <c r="J131" s="17" t="str">
        <f t="shared" si="30"/>
        <v/>
      </c>
      <c r="K131" s="18" t="str">
        <f t="shared" si="31"/>
        <v/>
      </c>
      <c r="L131" s="21"/>
      <c r="M131" s="21" t="str">
        <f>IF(SUBTOTAL(109,A131)=A131,"",48013)</f>
        <v/>
      </c>
      <c r="N131" s="21"/>
      <c r="O131" s="21"/>
      <c r="P131" s="21"/>
      <c r="Q131" s="21"/>
      <c r="R131" s="21" t="str">
        <f>IF(SUBTOTAL(109,A131)=A131,"",237064)</f>
        <v/>
      </c>
      <c r="S131" s="21" t="str">
        <f>IF(SUBTOTAL(109,A131)=A131,"",192405)</f>
        <v/>
      </c>
      <c r="T131" s="21" t="str">
        <f>IF(SUBTOTAL(109,A131)=A131,"",243629)</f>
        <v/>
      </c>
      <c r="U131" s="21" t="str">
        <f>IF(SUBTOTAL(109,A131)=A131,"",192887)</f>
        <v/>
      </c>
      <c r="V131" s="21" t="str">
        <f>IF(SUBTOTAL(109,A131)=A131,"",230994)</f>
        <v/>
      </c>
      <c r="W131" s="21" t="str">
        <f>IF(SUBTOTAL(109,A131)=A131,"",187856)</f>
        <v/>
      </c>
      <c r="X131" s="21" t="str">
        <f>IF(SUBTOTAL(109,A131)=A131,"",189095)</f>
        <v/>
      </c>
      <c r="Y131" s="21" t="str">
        <f>IF(SUBTOTAL(109,A131)=A131,"",211630)</f>
        <v/>
      </c>
      <c r="Z131" s="21" t="str">
        <f>IF(SUBTOTAL(109,A131)=A131,"",212241)</f>
        <v/>
      </c>
      <c r="AA131" s="21" t="str">
        <f>IF(SUBTOTAL(109,A131)=A131,"",215018)</f>
        <v/>
      </c>
      <c r="AB131" s="21" t="str">
        <f>IF(SUBTOTAL(109,A131)=A131,"",215544)</f>
        <v/>
      </c>
      <c r="AC131" s="21" t="str">
        <f>IF(SUBTOTAL(109,A131)=A131,"",318440)</f>
        <v/>
      </c>
      <c r="AD131" s="21" t="str">
        <f>IF(SUBTOTAL(109,A131)=A131,"",197258)</f>
        <v/>
      </c>
      <c r="AE131" s="21" t="str">
        <f>IF(SUBTOTAL(109,A131)=A131,"",197233)</f>
        <v/>
      </c>
      <c r="AF131" s="21" t="str">
        <f>IF(SUBTOTAL(109,A131)=A131,"",122137)</f>
        <v/>
      </c>
      <c r="AG131" s="21" t="str">
        <f>IF(SUBTOTAL(109,A131)=A131,"",118962)</f>
        <v/>
      </c>
      <c r="AH131" s="21" t="str">
        <f>IF(SUBTOTAL(109,A131)=A131,"",118859)</f>
        <v/>
      </c>
      <c r="AI131" s="21" t="str">
        <f>IF(SUBTOTAL(109,A131)=A131,"",120388)</f>
        <v/>
      </c>
      <c r="AJ131" s="21" t="str">
        <f>IF(SUBTOTAL(109,A131)=A131,"",63097)</f>
        <v/>
      </c>
      <c r="AK131" s="21" t="str">
        <f>IF(SUBTOTAL(109,A131)=A131,"",58878)</f>
        <v/>
      </c>
      <c r="AL131" s="21" t="str">
        <f>IF(SUBTOTAL(109,A131)=A131,"",59073)</f>
        <v/>
      </c>
      <c r="AM131" s="21" t="str">
        <f>IF(SUBTOTAL(109,A131)=A131,"",59314)</f>
        <v/>
      </c>
      <c r="AN131" s="21" t="str">
        <f>IF(SUBTOTAL(109,A131)=A131,"",65485)</f>
        <v/>
      </c>
      <c r="AO131" s="21" t="str">
        <f>IF(SUBTOTAL(109,A131)=A131,"",67650)</f>
        <v/>
      </c>
      <c r="AP131" s="21" t="str">
        <f>IF(SUBTOTAL(109,A131)=A131,"",67457)</f>
        <v/>
      </c>
      <c r="AQ131" s="21" t="str">
        <f>IF(SUBTOTAL(109,A131)=A131,"",64264)</f>
        <v/>
      </c>
      <c r="AR131" s="21" t="str">
        <f>IF(SUBTOTAL(109,A131)=A131,"",66471)</f>
        <v/>
      </c>
      <c r="AS131" s="21" t="str">
        <f>IF(SUBTOTAL(109,A131)=A131,"",63410)</f>
        <v/>
      </c>
      <c r="AT131" s="21" t="str">
        <f>IF(SUBTOTAL(109,A131)=A131,"",93760)</f>
        <v/>
      </c>
      <c r="AU131" s="21" t="str">
        <f>IF(SUBTOTAL(109,A131)=A131,"",90908)</f>
        <v/>
      </c>
      <c r="AV131" s="21" t="str">
        <f>IF(SUBTOTAL(109,A131)=A131,"",91522)</f>
        <v/>
      </c>
      <c r="AW131" s="21" t="str">
        <f>IF(SUBTOTAL(109,A131)=A131,"",108098)</f>
        <v/>
      </c>
      <c r="AX131" s="21" t="str">
        <f>IF(SUBTOTAL(109,A131)=A131,"",113137)</f>
        <v/>
      </c>
      <c r="AY131" s="21" t="str">
        <f>IF(SUBTOTAL(109,A131)=A131,"",110772)</f>
        <v/>
      </c>
      <c r="AZ131" s="21" t="str">
        <f>IF(SUBTOTAL(109,A131)=A131,"",92239)</f>
        <v/>
      </c>
      <c r="BA131" s="21" t="str">
        <f>IF(SUBTOTAL(109,A131)=A131,"",94952.149)</f>
        <v/>
      </c>
      <c r="BB131" s="21" t="str">
        <f>IF(SUBTOTAL(109,A131)=A131,"",94393.296)</f>
        <v/>
      </c>
      <c r="BC131" s="21" t="str">
        <f>IF(SUBTOTAL(109,A131)=A131,"",115177.246)</f>
        <v/>
      </c>
      <c r="BD131" s="21" t="str">
        <f>IF(SUBTOTAL(109,A131)=A131,"",148450.987)</f>
        <v/>
      </c>
      <c r="BE131" s="21" t="str">
        <f>IF(SUBTOTAL(109,A131)=A131,"",150663.319)</f>
        <v/>
      </c>
      <c r="BF131" s="21" t="str">
        <f>IF(SUBTOTAL(109,A131)=A131,"",151783.533)</f>
        <v/>
      </c>
      <c r="BG131" s="21" t="str">
        <f>IF(SUBTOTAL(109,A131)=A131,"",152047.212)</f>
        <v/>
      </c>
      <c r="BH131" s="21" t="str">
        <f>IF(SUBTOTAL(109,A131)=A131,"",153203.907)</f>
        <v/>
      </c>
      <c r="BI131" s="21" t="str">
        <f>IF(SUBTOTAL(109,A131)=A131,"",156339.184)</f>
        <v/>
      </c>
      <c r="BJ131" s="21" t="str">
        <f>IF(SUBTOTAL(109,A131)=A131,"",21078.015)</f>
        <v/>
      </c>
      <c r="BK131" s="21" t="str">
        <f>IF(SUBTOTAL(109,A131)=A131,"",21250.557)</f>
        <v/>
      </c>
      <c r="BL131" s="21" t="str">
        <f>IF(SUBTOTAL(109,A131)=A131,"",21670.185)</f>
        <v/>
      </c>
      <c r="BM131" s="21" t="str">
        <f>IF(SUBTOTAL(109,A131)=A131,"",44858.715)</f>
        <v/>
      </c>
      <c r="BN131" s="21" t="str">
        <f>IF(SUBTOTAL(109,A131)=A131,"",22682.831)</f>
        <v/>
      </c>
      <c r="BO131" s="21" t="str">
        <f>IF(SUBTOTAL(109,A131)=A131,"",23443.655)</f>
        <v/>
      </c>
      <c r="BP131" s="21" t="str">
        <f>IF(SUBTOTAL(109,A131)=A131,"",27090.883)</f>
        <v/>
      </c>
      <c r="BQ131" s="21" t="str">
        <f>IF(SUBTOTAL(109,A131)=A131,"",29522.242)</f>
        <v/>
      </c>
      <c r="BR131" s="21" t="str">
        <f>IF(SUBTOTAL(109,A131)=A131,"",49125.688)</f>
        <v/>
      </c>
      <c r="BS131" s="21" t="str">
        <f>IF(SUBTOTAL(109,A131)=A131,"",53306.393)</f>
        <v/>
      </c>
      <c r="BT131" s="21" t="str">
        <f>IF(SUBTOTAL(109,A131)=A131,"",55162.894)</f>
        <v/>
      </c>
      <c r="BU131" s="21" t="str">
        <f>IF(SUBTOTAL(109,A131)=A131,"",58724.591)</f>
        <v/>
      </c>
      <c r="BV131" s="21" t="str">
        <f>IF(SUBTOTAL(109,A131)=A131,"",56731.502)</f>
        <v/>
      </c>
      <c r="BW131" s="21" t="str">
        <f>IF(SUBTOTAL(109,A131)=A131,"",60178.823)</f>
        <v/>
      </c>
      <c r="BX131" s="21" t="str">
        <f>IF(SUBTOTAL(109,A131)=A131,"",64826.52)</f>
        <v/>
      </c>
      <c r="BY131" s="21" t="str">
        <f>IF(SUBTOTAL(109,A131)=A131,"",55535.221)</f>
        <v/>
      </c>
      <c r="BZ131" s="21" t="str">
        <f>IF(SUBTOTAL(109,A131)=A131,"",55735.221)</f>
        <v/>
      </c>
      <c r="CA131" s="21" t="str">
        <f>IF(SUBTOTAL(109,A131)=A131,"",55735.221)</f>
        <v/>
      </c>
      <c r="CB131" s="21" t="str">
        <f>IF(SUBTOTAL(109,A131)=A131,"",74449.775)</f>
        <v/>
      </c>
      <c r="CC131" s="21" t="str">
        <f>IF(SUBTOTAL(109,A131)=A131,"","")</f>
        <v/>
      </c>
      <c r="CD131" s="21" t="str">
        <f>IF(SUBTOTAL(109,A131)=A131,"",738.125)</f>
        <v/>
      </c>
      <c r="CE131" s="21" t="str">
        <f>IF(SUBTOTAL(109,A131)=A131,"",340)</f>
        <v/>
      </c>
      <c r="CG131" s="15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</row>
    <row r="132" spans="1:106" outlineLevel="2" x14ac:dyDescent="0.2">
      <c r="A132" s="14">
        <v>1</v>
      </c>
      <c r="C132" s="9" t="str">
        <f>IF(SUBTOTAL(109,A132)=A132,"        Financial Liabilities, Non-Current","        Financial Liabilities, Non-Current")</f>
        <v xml:space="preserve">        Financial Liabilities, Non-Current</v>
      </c>
      <c r="D132" s="17" t="str">
        <f t="shared" si="24"/>
        <v/>
      </c>
      <c r="E132" s="17" t="str">
        <f t="shared" si="25"/>
        <v/>
      </c>
      <c r="F132" s="17" t="str">
        <f t="shared" si="26"/>
        <v/>
      </c>
      <c r="G132" s="17" t="str">
        <f t="shared" si="27"/>
        <v/>
      </c>
      <c r="H132" s="17" t="str">
        <f t="shared" si="28"/>
        <v/>
      </c>
      <c r="I132" s="17" t="str">
        <f t="shared" si="29"/>
        <v/>
      </c>
      <c r="J132" s="17" t="str">
        <f t="shared" si="30"/>
        <v/>
      </c>
      <c r="K132" s="18" t="str">
        <f t="shared" si="31"/>
        <v/>
      </c>
      <c r="L132" s="21"/>
      <c r="M132" s="21" t="str">
        <f>IF(SUBTOTAL(109,A132)=A132,"",37628)</f>
        <v/>
      </c>
      <c r="N132" s="21"/>
      <c r="O132" s="21"/>
      <c r="P132" s="21"/>
      <c r="Q132" s="21"/>
      <c r="R132" s="21" t="str">
        <f>IF(SUBTOTAL(109,A132)=A132,"",207992)</f>
        <v/>
      </c>
      <c r="S132" s="21" t="str">
        <f>IF(SUBTOTAL(109,A132)=A132,"",159324)</f>
        <v/>
      </c>
      <c r="T132" s="21" t="str">
        <f>IF(SUBTOTAL(109,A132)=A132,"",210657)</f>
        <v/>
      </c>
      <c r="U132" s="21" t="str">
        <f>IF(SUBTOTAL(109,A132)=A132,"",161990)</f>
        <v/>
      </c>
      <c r="V132" s="21" t="str">
        <f>IF(SUBTOTAL(109,A132)=A132,"",188323)</f>
        <v/>
      </c>
      <c r="W132" s="21" t="str">
        <f>IF(SUBTOTAL(109,A132)=A132,"",165205)</f>
        <v/>
      </c>
      <c r="X132" s="21" t="str">
        <f>IF(SUBTOTAL(109,A132)=A132,"",166564)</f>
        <v/>
      </c>
      <c r="Y132" s="21" t="str">
        <f>IF(SUBTOTAL(109,A132)=A132,"",167923)</f>
        <v/>
      </c>
      <c r="Z132" s="21" t="str">
        <f>IF(SUBTOTAL(109,A132)=A132,"",169282)</f>
        <v/>
      </c>
      <c r="AA132" s="21" t="str">
        <f>IF(SUBTOTAL(109,A132)=A132,"",170747)</f>
        <v/>
      </c>
      <c r="AB132" s="21" t="str">
        <f>IF(SUBTOTAL(109,A132)=A132,"",170933)</f>
        <v/>
      </c>
      <c r="AC132" s="21" t="str">
        <f>IF(SUBTOTAL(109,A132)=A132,"",275000)</f>
        <v/>
      </c>
      <c r="AD132" s="21" t="str">
        <f>IF(SUBTOTAL(109,A132)=A132,"",175000)</f>
        <v/>
      </c>
      <c r="AE132" s="21" t="str">
        <f>IF(SUBTOTAL(109,A132)=A132,"",175000)</f>
        <v/>
      </c>
      <c r="AF132" s="21" t="str">
        <f>IF(SUBTOTAL(109,A132)=A132,"",100000)</f>
        <v/>
      </c>
      <c r="AG132" s="21" t="str">
        <f>IF(SUBTOTAL(109,A132)=A132,"",100000)</f>
        <v/>
      </c>
      <c r="AH132" s="21" t="str">
        <f>IF(SUBTOTAL(109,A132)=A132,"",100000)</f>
        <v/>
      </c>
      <c r="AI132" s="21" t="str">
        <f>IF(SUBTOTAL(109,A132)=A132,"",100000)</f>
        <v/>
      </c>
      <c r="AJ132" s="21" t="str">
        <f>IF(SUBTOTAL(109,A132)=A132,"",43559)</f>
        <v/>
      </c>
      <c r="AK132" s="21" t="str">
        <f>IF(SUBTOTAL(109,A132)=A132,"",43559)</f>
        <v/>
      </c>
      <c r="AL132" s="21" t="str">
        <f>IF(SUBTOTAL(109,A132)=A132,"",43559)</f>
        <v/>
      </c>
      <c r="AM132" s="21" t="str">
        <f>IF(SUBTOTAL(109,A132)=A132,"",43556)</f>
        <v/>
      </c>
      <c r="AN132" s="21" t="str">
        <f>IF(SUBTOTAL(109,A132)=A132,"",50000)</f>
        <v/>
      </c>
      <c r="AO132" s="21" t="str">
        <f>IF(SUBTOTAL(109,A132)=A132,"",50000)</f>
        <v/>
      </c>
      <c r="AP132" s="21" t="str">
        <f>IF(SUBTOTAL(109,A132)=A132,"",50000)</f>
        <v/>
      </c>
      <c r="AQ132" s="21" t="str">
        <f>IF(SUBTOTAL(109,A132)=A132,"",50000)</f>
        <v/>
      </c>
      <c r="AR132" s="21" t="str">
        <f>IF(SUBTOTAL(109,A132)=A132,"",50000)</f>
        <v/>
      </c>
      <c r="AS132" s="21" t="str">
        <f>IF(SUBTOTAL(109,A132)=A132,"",50000)</f>
        <v/>
      </c>
      <c r="AT132" s="21" t="str">
        <f>IF(SUBTOTAL(109,A132)=A132,"",80000)</f>
        <v/>
      </c>
      <c r="AU132" s="21" t="str">
        <f>IF(SUBTOTAL(109,A132)=A132,"",80000)</f>
        <v/>
      </c>
      <c r="AV132" s="21" t="str">
        <f>IF(SUBTOTAL(109,A132)=A132,"",80000)</f>
        <v/>
      </c>
      <c r="AW132" s="21" t="str">
        <f>IF(SUBTOTAL(109,A132)=A132,"",80000)</f>
        <v/>
      </c>
      <c r="AX132" s="21" t="str">
        <f>IF(SUBTOTAL(109,A132)=A132,"",82569)</f>
        <v/>
      </c>
      <c r="AY132" s="21" t="str">
        <f>IF(SUBTOTAL(109,A132)=A132,"",83059)</f>
        <v/>
      </c>
      <c r="AZ132" s="21" t="str">
        <f>IF(SUBTOTAL(109,A132)=A132,"",83606)</f>
        <v/>
      </c>
      <c r="BA132" s="21" t="str">
        <f>IF(SUBTOTAL(109,A132)=A132,"",84215.902)</f>
        <v/>
      </c>
      <c r="BB132" s="21" t="str">
        <f>IF(SUBTOTAL(109,A132)=A132,"",84815.64)</f>
        <v/>
      </c>
      <c r="BC132" s="21" t="str">
        <f>IF(SUBTOTAL(109,A132)=A132,"",85405.134)</f>
        <v/>
      </c>
      <c r="BD132" s="21" t="str">
        <f>IF(SUBTOTAL(109,A132)=A132,"",118773.987)</f>
        <v/>
      </c>
      <c r="BE132" s="21" t="str">
        <f>IF(SUBTOTAL(109,A132)=A132,"",119264.679)</f>
        <v/>
      </c>
      <c r="BF132" s="21" t="str">
        <f>IF(SUBTOTAL(109,A132)=A132,"",119595.015)</f>
        <v/>
      </c>
      <c r="BG132" s="21" t="str">
        <f>IF(SUBTOTAL(109,A132)=A132,"",120069.452)</f>
        <v/>
      </c>
      <c r="BH132" s="21" t="str">
        <f>IF(SUBTOTAL(109,A132)=A132,"",120538.598)</f>
        <v/>
      </c>
      <c r="BI132" s="21" t="str">
        <f>IF(SUBTOTAL(109,A132)=A132,"",122880.167)</f>
        <v/>
      </c>
      <c r="BJ132" s="21" t="str">
        <f>IF(SUBTOTAL(109,A132)=A132,"",13452.502)</f>
        <v/>
      </c>
      <c r="BK132" s="21" t="str">
        <f>IF(SUBTOTAL(109,A132)=A132,"",13897.414)</f>
        <v/>
      </c>
      <c r="BL132" s="21" t="str">
        <f>IF(SUBTOTAL(109,A132)=A132,"",14337.817)</f>
        <v/>
      </c>
      <c r="BM132" s="21" t="str">
        <f>IF(SUBTOTAL(109,A132)=A132,"",14773.894)</f>
        <v/>
      </c>
      <c r="BN132" s="21" t="str">
        <f>IF(SUBTOTAL(109,A132)=A132,"",15197.862)</f>
        <v/>
      </c>
      <c r="BO132" s="21" t="str">
        <f>IF(SUBTOTAL(109,A132)=A132,"",15615.03)</f>
        <v/>
      </c>
      <c r="BP132" s="21" t="str">
        <f>IF(SUBTOTAL(109,A132)=A132,"",16028.424)</f>
        <v/>
      </c>
      <c r="BQ132" s="21" t="str">
        <f>IF(SUBTOTAL(109,A132)=A132,"",16438.21)</f>
        <v/>
      </c>
      <c r="BR132" s="21" t="str">
        <f>IF(SUBTOTAL(109,A132)=A132,"",35725.062)</f>
        <v/>
      </c>
      <c r="BS132" s="21" t="str">
        <f>IF(SUBTOTAL(109,A132)=A132,"",36807.344)</f>
        <v/>
      </c>
      <c r="BT132" s="21" t="str">
        <f>IF(SUBTOTAL(109,A132)=A132,"",37870.046)</f>
        <v/>
      </c>
      <c r="BU132" s="21" t="str">
        <f>IF(SUBTOTAL(109,A132)=A132,"",38905.844)</f>
        <v/>
      </c>
      <c r="BV132" s="21" t="str">
        <f>IF(SUBTOTAL(109,A132)=A132,"",39926.748)</f>
        <v/>
      </c>
      <c r="BW132" s="21" t="str">
        <f>IF(SUBTOTAL(109,A132)=A132,"",40927.234)</f>
        <v/>
      </c>
      <c r="BX132" s="21" t="str">
        <f>IF(SUBTOTAL(109,A132)=A132,"",42907.722)</f>
        <v/>
      </c>
      <c r="BY132" s="21" t="str">
        <f>IF(SUBTOTAL(109,A132)=A132,"",45000)</f>
        <v/>
      </c>
      <c r="BZ132" s="21" t="str">
        <f>IF(SUBTOTAL(109,A132)=A132,"",45000)</f>
        <v/>
      </c>
      <c r="CA132" s="21" t="str">
        <f>IF(SUBTOTAL(109,A132)=A132,"",45000)</f>
        <v/>
      </c>
      <c r="CB132" s="21" t="str">
        <f>IF(SUBTOTAL(109,A132)=A132,"",45000)</f>
        <v/>
      </c>
      <c r="CC132" s="21" t="str">
        <f>IF(SUBTOTAL(109,A132)=A132,"",597.425)</f>
        <v/>
      </c>
      <c r="CD132" s="21" t="str">
        <f>IF(SUBTOTAL(109,A132)=A132,"",738.125)</f>
        <v/>
      </c>
      <c r="CE132" s="21" t="str">
        <f>IF(SUBTOTAL(109,A132)=A132,"",340)</f>
        <v/>
      </c>
      <c r="CG132" s="15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</row>
    <row r="133" spans="1:106" outlineLevel="3" x14ac:dyDescent="0.2">
      <c r="A133" s="14">
        <v>1</v>
      </c>
      <c r="C133" s="9" t="str">
        <f>IF(SUBTOTAL(109,A133)=A133,"            Long Term Debt and Capital Lease Obligation","            Long Term Debt and Capital Lease Obligation")</f>
        <v xml:space="preserve">            Long Term Debt and Capital Lease Obligation</v>
      </c>
      <c r="D133" s="17" t="str">
        <f t="shared" si="24"/>
        <v/>
      </c>
      <c r="E133" s="17" t="str">
        <f t="shared" si="25"/>
        <v/>
      </c>
      <c r="F133" s="17" t="str">
        <f t="shared" si="26"/>
        <v/>
      </c>
      <c r="G133" s="17" t="str">
        <f t="shared" si="27"/>
        <v/>
      </c>
      <c r="H133" s="17" t="str">
        <f t="shared" si="28"/>
        <v/>
      </c>
      <c r="I133" s="17" t="str">
        <f t="shared" si="29"/>
        <v/>
      </c>
      <c r="J133" s="17" t="str">
        <f t="shared" si="30"/>
        <v/>
      </c>
      <c r="K133" s="18" t="str">
        <f t="shared" si="31"/>
        <v/>
      </c>
      <c r="L133" s="21"/>
      <c r="M133" s="21" t="str">
        <f>IF(SUBTOTAL(109,A133)=A133,"",37628)</f>
        <v/>
      </c>
      <c r="N133" s="21"/>
      <c r="O133" s="21"/>
      <c r="P133" s="21"/>
      <c r="Q133" s="21"/>
      <c r="R133" s="21" t="str">
        <f>IF(SUBTOTAL(109,A133)=A133,"",207992)</f>
        <v/>
      </c>
      <c r="S133" s="21" t="str">
        <f>IF(SUBTOTAL(109,A133)=A133,"",159324)</f>
        <v/>
      </c>
      <c r="T133" s="21" t="str">
        <f>IF(SUBTOTAL(109,A133)=A133,"",210657)</f>
        <v/>
      </c>
      <c r="U133" s="21" t="str">
        <f>IF(SUBTOTAL(109,A133)=A133,"",161990)</f>
        <v/>
      </c>
      <c r="V133" s="21" t="str">
        <f>IF(SUBTOTAL(109,A133)=A133,"",188323)</f>
        <v/>
      </c>
      <c r="W133" s="21" t="str">
        <f>IF(SUBTOTAL(109,A133)=A133,"",165205)</f>
        <v/>
      </c>
      <c r="X133" s="21" t="str">
        <f>IF(SUBTOTAL(109,A133)=A133,"",166564)</f>
        <v/>
      </c>
      <c r="Y133" s="21" t="str">
        <f>IF(SUBTOTAL(109,A133)=A133,"",167923)</f>
        <v/>
      </c>
      <c r="Z133" s="21" t="str">
        <f>IF(SUBTOTAL(109,A133)=A133,"",169282)</f>
        <v/>
      </c>
      <c r="AA133" s="21" t="str">
        <f>IF(SUBTOTAL(109,A133)=A133,"",170747)</f>
        <v/>
      </c>
      <c r="AB133" s="21" t="str">
        <f>IF(SUBTOTAL(109,A133)=A133,"",170933)</f>
        <v/>
      </c>
      <c r="AC133" s="21" t="str">
        <f>IF(SUBTOTAL(109,A133)=A133,"",275000)</f>
        <v/>
      </c>
      <c r="AD133" s="21" t="str">
        <f>IF(SUBTOTAL(109,A133)=A133,"",175000)</f>
        <v/>
      </c>
      <c r="AE133" s="21" t="str">
        <f>IF(SUBTOTAL(109,A133)=A133,"",175000)</f>
        <v/>
      </c>
      <c r="AF133" s="21" t="str">
        <f>IF(SUBTOTAL(109,A133)=A133,"",100000)</f>
        <v/>
      </c>
      <c r="AG133" s="21" t="str">
        <f>IF(SUBTOTAL(109,A133)=A133,"",100000)</f>
        <v/>
      </c>
      <c r="AH133" s="21" t="str">
        <f>IF(SUBTOTAL(109,A133)=A133,"",100000)</f>
        <v/>
      </c>
      <c r="AI133" s="21" t="str">
        <f>IF(SUBTOTAL(109,A133)=A133,"",100000)</f>
        <v/>
      </c>
      <c r="AJ133" s="21" t="str">
        <f>IF(SUBTOTAL(109,A133)=A133,"",43559)</f>
        <v/>
      </c>
      <c r="AK133" s="21" t="str">
        <f>IF(SUBTOTAL(109,A133)=A133,"",43559)</f>
        <v/>
      </c>
      <c r="AL133" s="21" t="str">
        <f>IF(SUBTOTAL(109,A133)=A133,"",43559)</f>
        <v/>
      </c>
      <c r="AM133" s="21" t="str">
        <f>IF(SUBTOTAL(109,A133)=A133,"",43556)</f>
        <v/>
      </c>
      <c r="AN133" s="21" t="str">
        <f>IF(SUBTOTAL(109,A133)=A133,"",50000)</f>
        <v/>
      </c>
      <c r="AO133" s="21" t="str">
        <f>IF(SUBTOTAL(109,A133)=A133,"",50000)</f>
        <v/>
      </c>
      <c r="AP133" s="21" t="str">
        <f>IF(SUBTOTAL(109,A133)=A133,"",50000)</f>
        <v/>
      </c>
      <c r="AQ133" s="21" t="str">
        <f>IF(SUBTOTAL(109,A133)=A133,"",50000)</f>
        <v/>
      </c>
      <c r="AR133" s="21" t="str">
        <f>IF(SUBTOTAL(109,A133)=A133,"",50000)</f>
        <v/>
      </c>
      <c r="AS133" s="21" t="str">
        <f>IF(SUBTOTAL(109,A133)=A133,"",50000)</f>
        <v/>
      </c>
      <c r="AT133" s="21" t="str">
        <f>IF(SUBTOTAL(109,A133)=A133,"",80000)</f>
        <v/>
      </c>
      <c r="AU133" s="21" t="str">
        <f>IF(SUBTOTAL(109,A133)=A133,"",80000)</f>
        <v/>
      </c>
      <c r="AV133" s="21" t="str">
        <f>IF(SUBTOTAL(109,A133)=A133,"",80000)</f>
        <v/>
      </c>
      <c r="AW133" s="21" t="str">
        <f>IF(SUBTOTAL(109,A133)=A133,"",80000)</f>
        <v/>
      </c>
      <c r="AX133" s="21" t="str">
        <f>IF(SUBTOTAL(109,A133)=A133,"",82569)</f>
        <v/>
      </c>
      <c r="AY133" s="21" t="str">
        <f>IF(SUBTOTAL(109,A133)=A133,"",83059)</f>
        <v/>
      </c>
      <c r="AZ133" s="21" t="str">
        <f>IF(SUBTOTAL(109,A133)=A133,"",83606)</f>
        <v/>
      </c>
      <c r="BA133" s="21" t="str">
        <f>IF(SUBTOTAL(109,A133)=A133,"",84215.902)</f>
        <v/>
      </c>
      <c r="BB133" s="21" t="str">
        <f>IF(SUBTOTAL(109,A133)=A133,"",84815.64)</f>
        <v/>
      </c>
      <c r="BC133" s="21" t="str">
        <f>IF(SUBTOTAL(109,A133)=A133,"",85405.134)</f>
        <v/>
      </c>
      <c r="BD133" s="21" t="str">
        <f>IF(SUBTOTAL(109,A133)=A133,"",118773.987)</f>
        <v/>
      </c>
      <c r="BE133" s="21" t="str">
        <f>IF(SUBTOTAL(109,A133)=A133,"",119264.679)</f>
        <v/>
      </c>
      <c r="BF133" s="21" t="str">
        <f>IF(SUBTOTAL(109,A133)=A133,"",119595.015)</f>
        <v/>
      </c>
      <c r="BG133" s="21" t="str">
        <f>IF(SUBTOTAL(109,A133)=A133,"",120069.452)</f>
        <v/>
      </c>
      <c r="BH133" s="21" t="str">
        <f>IF(SUBTOTAL(109,A133)=A133,"",120538.598)</f>
        <v/>
      </c>
      <c r="BI133" s="21" t="str">
        <f>IF(SUBTOTAL(109,A133)=A133,"",122880.167)</f>
        <v/>
      </c>
      <c r="BJ133" s="21" t="str">
        <f>IF(SUBTOTAL(109,A133)=A133,"",13452.502)</f>
        <v/>
      </c>
      <c r="BK133" s="21" t="str">
        <f>IF(SUBTOTAL(109,A133)=A133,"",13897.414)</f>
        <v/>
      </c>
      <c r="BL133" s="21" t="str">
        <f>IF(SUBTOTAL(109,A133)=A133,"",14337.817)</f>
        <v/>
      </c>
      <c r="BM133" s="21" t="str">
        <f>IF(SUBTOTAL(109,A133)=A133,"",14773.894)</f>
        <v/>
      </c>
      <c r="BN133" s="21" t="str">
        <f>IF(SUBTOTAL(109,A133)=A133,"",15197.862)</f>
        <v/>
      </c>
      <c r="BO133" s="21" t="str">
        <f>IF(SUBTOTAL(109,A133)=A133,"",15615.03)</f>
        <v/>
      </c>
      <c r="BP133" s="21" t="str">
        <f>IF(SUBTOTAL(109,A133)=A133,"",16028.424)</f>
        <v/>
      </c>
      <c r="BQ133" s="21" t="str">
        <f>IF(SUBTOTAL(109,A133)=A133,"",16438.21)</f>
        <v/>
      </c>
      <c r="BR133" s="21" t="str">
        <f>IF(SUBTOTAL(109,A133)=A133,"",35725.062)</f>
        <v/>
      </c>
      <c r="BS133" s="21" t="str">
        <f>IF(SUBTOTAL(109,A133)=A133,"",36807.344)</f>
        <v/>
      </c>
      <c r="BT133" s="21" t="str">
        <f>IF(SUBTOTAL(109,A133)=A133,"",37870.046)</f>
        <v/>
      </c>
      <c r="BU133" s="21" t="str">
        <f>IF(SUBTOTAL(109,A133)=A133,"",38905.844)</f>
        <v/>
      </c>
      <c r="BV133" s="21" t="str">
        <f>IF(SUBTOTAL(109,A133)=A133,"",39926.748)</f>
        <v/>
      </c>
      <c r="BW133" s="21" t="str">
        <f>IF(SUBTOTAL(109,A133)=A133,"",40927.234)</f>
        <v/>
      </c>
      <c r="BX133" s="21" t="str">
        <f>IF(SUBTOTAL(109,A133)=A133,"",42907.722)</f>
        <v/>
      </c>
      <c r="BY133" s="21" t="str">
        <f>IF(SUBTOTAL(109,A133)=A133,"",45000)</f>
        <v/>
      </c>
      <c r="BZ133" s="21" t="str">
        <f>IF(SUBTOTAL(109,A133)=A133,"",45000)</f>
        <v/>
      </c>
      <c r="CA133" s="21" t="str">
        <f>IF(SUBTOTAL(109,A133)=A133,"",45000)</f>
        <v/>
      </c>
      <c r="CB133" s="21" t="str">
        <f>IF(SUBTOTAL(109,A133)=A133,"",45000)</f>
        <v/>
      </c>
      <c r="CC133" s="21" t="str">
        <f>IF(SUBTOTAL(109,A133)=A133,"",597.425)</f>
        <v/>
      </c>
      <c r="CD133" s="21" t="str">
        <f>IF(SUBTOTAL(109,A133)=A133,"",738.125)</f>
        <v/>
      </c>
      <c r="CE133" s="21" t="str">
        <f>IF(SUBTOTAL(109,A133)=A133,"",340)</f>
        <v/>
      </c>
      <c r="CG133" s="15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</row>
    <row r="134" spans="1:106" outlineLevel="4" x14ac:dyDescent="0.2">
      <c r="A134" s="14">
        <v>1</v>
      </c>
      <c r="C134" s="9" t="str">
        <f>IF(SUBTOTAL(109,A134)=A134,"                Long Term Debt","                Long Term Debt")</f>
        <v xml:space="preserve">                Long Term Debt</v>
      </c>
      <c r="D134" s="17" t="str">
        <f t="shared" si="24"/>
        <v/>
      </c>
      <c r="E134" s="17" t="str">
        <f t="shared" si="25"/>
        <v/>
      </c>
      <c r="F134" s="17" t="str">
        <f t="shared" si="26"/>
        <v/>
      </c>
      <c r="G134" s="17" t="str">
        <f t="shared" si="27"/>
        <v/>
      </c>
      <c r="H134" s="17" t="str">
        <f t="shared" si="28"/>
        <v/>
      </c>
      <c r="I134" s="17" t="str">
        <f t="shared" si="29"/>
        <v/>
      </c>
      <c r="J134" s="17" t="str">
        <f t="shared" si="30"/>
        <v/>
      </c>
      <c r="K134" s="18" t="str">
        <f t="shared" si="31"/>
        <v/>
      </c>
      <c r="L134" s="21"/>
      <c r="M134" s="21" t="str">
        <f>IF(SUBTOTAL(109,A134)=A134,"","")</f>
        <v/>
      </c>
      <c r="N134" s="21"/>
      <c r="O134" s="21"/>
      <c r="P134" s="21"/>
      <c r="Q134" s="21"/>
      <c r="R134" s="21" t="str">
        <f>IF(SUBTOTAL(109,A134)=A134,"",207992)</f>
        <v/>
      </c>
      <c r="S134" s="21" t="str">
        <f>IF(SUBTOTAL(109,A134)=A134,"",159324)</f>
        <v/>
      </c>
      <c r="T134" s="21" t="str">
        <f>IF(SUBTOTAL(109,A134)=A134,"",210657)</f>
        <v/>
      </c>
      <c r="U134" s="21" t="str">
        <f>IF(SUBTOTAL(109,A134)=A134,"",161990)</f>
        <v/>
      </c>
      <c r="V134" s="21" t="str">
        <f>IF(SUBTOTAL(109,A134)=A134,"",188323)</f>
        <v/>
      </c>
      <c r="W134" s="21" t="str">
        <f>IF(SUBTOTAL(109,A134)=A134,"",165205)</f>
        <v/>
      </c>
      <c r="X134" s="21" t="str">
        <f>IF(SUBTOTAL(109,A134)=A134,"",166564)</f>
        <v/>
      </c>
      <c r="Y134" s="21" t="str">
        <f>IF(SUBTOTAL(109,A134)=A134,"",167923)</f>
        <v/>
      </c>
      <c r="Z134" s="21" t="str">
        <f>IF(SUBTOTAL(109,A134)=A134,"",169282)</f>
        <v/>
      </c>
      <c r="AA134" s="21" t="str">
        <f>IF(SUBTOTAL(109,A134)=A134,"",170747)</f>
        <v/>
      </c>
      <c r="AB134" s="21" t="str">
        <f>IF(SUBTOTAL(109,A134)=A134,"",170933)</f>
        <v/>
      </c>
      <c r="AC134" s="21" t="str">
        <f>IF(SUBTOTAL(109,A134)=A134,"",275000)</f>
        <v/>
      </c>
      <c r="AD134" s="21" t="str">
        <f>IF(SUBTOTAL(109,A134)=A134,"",175000)</f>
        <v/>
      </c>
      <c r="AE134" s="21" t="str">
        <f>IF(SUBTOTAL(109,A134)=A134,"",175000)</f>
        <v/>
      </c>
      <c r="AF134" s="21" t="str">
        <f>IF(SUBTOTAL(109,A134)=A134,"",100000)</f>
        <v/>
      </c>
      <c r="AG134" s="21" t="str">
        <f>IF(SUBTOTAL(109,A134)=A134,"",100000)</f>
        <v/>
      </c>
      <c r="AH134" s="21" t="str">
        <f>IF(SUBTOTAL(109,A134)=A134,"",100000)</f>
        <v/>
      </c>
      <c r="AI134" s="21" t="str">
        <f>IF(SUBTOTAL(109,A134)=A134,"",100000)</f>
        <v/>
      </c>
      <c r="AJ134" s="21" t="str">
        <f>IF(SUBTOTAL(109,A134)=A134,"",43559)</f>
        <v/>
      </c>
      <c r="AK134" s="21" t="str">
        <f>IF(SUBTOTAL(109,A134)=A134,"",43559)</f>
        <v/>
      </c>
      <c r="AL134" s="21" t="str">
        <f>IF(SUBTOTAL(109,A134)=A134,"",43559)</f>
        <v/>
      </c>
      <c r="AM134" s="21" t="str">
        <f>IF(SUBTOTAL(109,A134)=A134,"",43556)</f>
        <v/>
      </c>
      <c r="AN134" s="21" t="str">
        <f>IF(SUBTOTAL(109,A134)=A134,"",50000)</f>
        <v/>
      </c>
      <c r="AO134" s="21" t="str">
        <f>IF(SUBTOTAL(109,A134)=A134,"",50000)</f>
        <v/>
      </c>
      <c r="AP134" s="21" t="str">
        <f>IF(SUBTOTAL(109,A134)=A134,"",50000)</f>
        <v/>
      </c>
      <c r="AQ134" s="21" t="str">
        <f>IF(SUBTOTAL(109,A134)=A134,"",50000)</f>
        <v/>
      </c>
      <c r="AR134" s="21" t="str">
        <f>IF(SUBTOTAL(109,A134)=A134,"",50000)</f>
        <v/>
      </c>
      <c r="AS134" s="21" t="str">
        <f>IF(SUBTOTAL(109,A134)=A134,"",50000)</f>
        <v/>
      </c>
      <c r="AT134" s="21" t="str">
        <f>IF(SUBTOTAL(109,A134)=A134,"",80000)</f>
        <v/>
      </c>
      <c r="AU134" s="21" t="str">
        <f>IF(SUBTOTAL(109,A134)=A134,"",80000)</f>
        <v/>
      </c>
      <c r="AV134" s="21" t="str">
        <f>IF(SUBTOTAL(109,A134)=A134,"",80000)</f>
        <v/>
      </c>
      <c r="AW134" s="21" t="str">
        <f>IF(SUBTOTAL(109,A134)=A134,"",80000)</f>
        <v/>
      </c>
      <c r="AX134" s="21" t="str">
        <f>IF(SUBTOTAL(109,A134)=A134,"",82569)</f>
        <v/>
      </c>
      <c r="AY134" s="21" t="str">
        <f>IF(SUBTOTAL(109,A134)=A134,"",83059)</f>
        <v/>
      </c>
      <c r="AZ134" s="21" t="str">
        <f>IF(SUBTOTAL(109,A134)=A134,"",83606)</f>
        <v/>
      </c>
      <c r="BA134" s="21" t="str">
        <f>IF(SUBTOTAL(109,A134)=A134,"",84215.902)</f>
        <v/>
      </c>
      <c r="BB134" s="21" t="str">
        <f>IF(SUBTOTAL(109,A134)=A134,"",84815.64)</f>
        <v/>
      </c>
      <c r="BC134" s="21" t="str">
        <f>IF(SUBTOTAL(109,A134)=A134,"",85405.134)</f>
        <v/>
      </c>
      <c r="BD134" s="21" t="str">
        <f>IF(SUBTOTAL(109,A134)=A134,"",118773.987)</f>
        <v/>
      </c>
      <c r="BE134" s="21" t="str">
        <f>IF(SUBTOTAL(109,A134)=A134,"",119264.679)</f>
        <v/>
      </c>
      <c r="BF134" s="21" t="str">
        <f>IF(SUBTOTAL(109,A134)=A134,"",119595.015)</f>
        <v/>
      </c>
      <c r="BG134" s="21" t="str">
        <f>IF(SUBTOTAL(109,A134)=A134,"",120069.452)</f>
        <v/>
      </c>
      <c r="BH134" s="21" t="str">
        <f>IF(SUBTOTAL(109,A134)=A134,"",120538.598)</f>
        <v/>
      </c>
      <c r="BI134" s="21" t="str">
        <f>IF(SUBTOTAL(109,A134)=A134,"",122880.167)</f>
        <v/>
      </c>
      <c r="BJ134" s="21" t="str">
        <f>IF(SUBTOTAL(109,A134)=A134,"",13452.502)</f>
        <v/>
      </c>
      <c r="BK134" s="21" t="str">
        <f>IF(SUBTOTAL(109,A134)=A134,"",13897.414)</f>
        <v/>
      </c>
      <c r="BL134" s="21" t="str">
        <f>IF(SUBTOTAL(109,A134)=A134,"",14337.817)</f>
        <v/>
      </c>
      <c r="BM134" s="21" t="str">
        <f>IF(SUBTOTAL(109,A134)=A134,"",14773.894)</f>
        <v/>
      </c>
      <c r="BN134" s="21" t="str">
        <f>IF(SUBTOTAL(109,A134)=A134,"",15197.862)</f>
        <v/>
      </c>
      <c r="BO134" s="21" t="str">
        <f>IF(SUBTOTAL(109,A134)=A134,"",15615.03)</f>
        <v/>
      </c>
      <c r="BP134" s="21" t="str">
        <f>IF(SUBTOTAL(109,A134)=A134,"",16028.424)</f>
        <v/>
      </c>
      <c r="BQ134" s="21" t="str">
        <f>IF(SUBTOTAL(109,A134)=A134,"",16438.21)</f>
        <v/>
      </c>
      <c r="BR134" s="21" t="str">
        <f>IF(SUBTOTAL(109,A134)=A134,"",35725.062)</f>
        <v/>
      </c>
      <c r="BS134" s="21" t="str">
        <f>IF(SUBTOTAL(109,A134)=A134,"",36807.344)</f>
        <v/>
      </c>
      <c r="BT134" s="21" t="str">
        <f>IF(SUBTOTAL(109,A134)=A134,"",37870.046)</f>
        <v/>
      </c>
      <c r="BU134" s="21" t="str">
        <f>IF(SUBTOTAL(109,A134)=A134,"",38905.844)</f>
        <v/>
      </c>
      <c r="BV134" s="21" t="str">
        <f>IF(SUBTOTAL(109,A134)=A134,"",39926.748)</f>
        <v/>
      </c>
      <c r="BW134" s="21" t="str">
        <f>IF(SUBTOTAL(109,A134)=A134,"",40927.234)</f>
        <v/>
      </c>
      <c r="BX134" s="21" t="str">
        <f>IF(SUBTOTAL(109,A134)=A134,"",42907.722)</f>
        <v/>
      </c>
      <c r="BY134" s="21" t="str">
        <f>IF(SUBTOTAL(109,A134)=A134,"",45000)</f>
        <v/>
      </c>
      <c r="BZ134" s="21" t="str">
        <f>IF(SUBTOTAL(109,A134)=A134,"",45000)</f>
        <v/>
      </c>
      <c r="CA134" s="21" t="str">
        <f>IF(SUBTOTAL(109,A134)=A134,"",45000)</f>
        <v/>
      </c>
      <c r="CB134" s="21" t="str">
        <f>IF(SUBTOTAL(109,A134)=A134,"",45000)</f>
        <v/>
      </c>
      <c r="CC134" s="21" t="str">
        <f>IF(SUBTOTAL(109,A134)=A134,"",597.425)</f>
        <v/>
      </c>
      <c r="CD134" s="21" t="str">
        <f>IF(SUBTOTAL(109,A134)=A134,"",738.125)</f>
        <v/>
      </c>
      <c r="CE134" s="21" t="str">
        <f>IF(SUBTOTAL(109,A134)=A134,"",340)</f>
        <v/>
      </c>
      <c r="CG134" s="15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</row>
    <row r="135" spans="1:106" outlineLevel="5" x14ac:dyDescent="0.2">
      <c r="A135" s="14">
        <v>1</v>
      </c>
      <c r="C135" s="9" t="str">
        <f>"                    Notes Payables, Non-Current"</f>
        <v xml:space="preserve">                    Notes Payables, Non-Current</v>
      </c>
      <c r="D135" s="17">
        <f t="shared" si="24"/>
        <v>100000</v>
      </c>
      <c r="E135" s="17">
        <f t="shared" si="25"/>
        <v>113484.83333333333</v>
      </c>
      <c r="F135" s="17">
        <f t="shared" si="26"/>
        <v>43556</v>
      </c>
      <c r="G135" s="17">
        <f t="shared" si="27"/>
        <v>275000</v>
      </c>
      <c r="H135" s="17">
        <f t="shared" si="28"/>
        <v>50000</v>
      </c>
      <c r="I135" s="17">
        <f t="shared" si="29"/>
        <v>169648.25</v>
      </c>
      <c r="J135" s="17">
        <f t="shared" si="30"/>
        <v>65441.334319650232</v>
      </c>
      <c r="K135" s="18">
        <f t="shared" si="31"/>
        <v>0.57665268915215018</v>
      </c>
      <c r="L135" s="21"/>
      <c r="M135" s="21" t="s">
        <v>165</v>
      </c>
      <c r="N135" s="21"/>
      <c r="O135" s="21"/>
      <c r="P135" s="21"/>
      <c r="Q135" s="21"/>
      <c r="R135" s="21" t="s">
        <v>165</v>
      </c>
      <c r="S135" s="21" t="s">
        <v>165</v>
      </c>
      <c r="T135" s="21" t="s">
        <v>165</v>
      </c>
      <c r="U135" s="21">
        <v>161990</v>
      </c>
      <c r="V135" s="21">
        <v>188323</v>
      </c>
      <c r="W135" s="21">
        <v>165205</v>
      </c>
      <c r="X135" s="21" t="s">
        <v>165</v>
      </c>
      <c r="Y135" s="21">
        <v>167923</v>
      </c>
      <c r="Z135" s="21">
        <v>169282</v>
      </c>
      <c r="AA135" s="21">
        <v>170747</v>
      </c>
      <c r="AB135" s="21">
        <v>170933</v>
      </c>
      <c r="AC135" s="21">
        <v>275000</v>
      </c>
      <c r="AD135" s="21">
        <v>175000</v>
      </c>
      <c r="AE135" s="21">
        <v>175000</v>
      </c>
      <c r="AF135" s="21">
        <v>100000</v>
      </c>
      <c r="AG135" s="21">
        <v>100000</v>
      </c>
      <c r="AH135" s="21">
        <v>100000</v>
      </c>
      <c r="AI135" s="21">
        <v>100000</v>
      </c>
      <c r="AJ135" s="21">
        <v>43559</v>
      </c>
      <c r="AK135" s="21">
        <v>43559</v>
      </c>
      <c r="AL135" s="21">
        <v>43559</v>
      </c>
      <c r="AM135" s="21">
        <v>43556</v>
      </c>
      <c r="AN135" s="21">
        <v>50000</v>
      </c>
      <c r="AO135" s="21">
        <v>50000</v>
      </c>
      <c r="AP135" s="21">
        <v>50000</v>
      </c>
      <c r="AQ135" s="21">
        <v>50000</v>
      </c>
      <c r="AR135" s="21">
        <v>50000</v>
      </c>
      <c r="AS135" s="21" t="s">
        <v>165</v>
      </c>
      <c r="AT135" s="21" t="s">
        <v>165</v>
      </c>
      <c r="AU135" s="21" t="s">
        <v>165</v>
      </c>
      <c r="AV135" s="21">
        <v>80000</v>
      </c>
      <c r="AW135" s="21" t="s">
        <v>165</v>
      </c>
      <c r="AX135" s="21" t="s">
        <v>165</v>
      </c>
      <c r="AY135" s="21" t="s">
        <v>165</v>
      </c>
      <c r="AZ135" s="21" t="s">
        <v>165</v>
      </c>
      <c r="BA135" s="21" t="s">
        <v>165</v>
      </c>
      <c r="BB135" s="21" t="s">
        <v>165</v>
      </c>
      <c r="BC135" s="21" t="s">
        <v>165</v>
      </c>
      <c r="BD135" s="21" t="s">
        <v>165</v>
      </c>
      <c r="BE135" s="21" t="s">
        <v>165</v>
      </c>
      <c r="BF135" s="21" t="s">
        <v>165</v>
      </c>
      <c r="BG135" s="21" t="s">
        <v>165</v>
      </c>
      <c r="BH135" s="21" t="s">
        <v>165</v>
      </c>
      <c r="BI135" s="21" t="s">
        <v>165</v>
      </c>
      <c r="BJ135" s="21" t="s">
        <v>165</v>
      </c>
      <c r="BK135" s="21" t="s">
        <v>165</v>
      </c>
      <c r="BL135" s="21" t="s">
        <v>165</v>
      </c>
      <c r="BM135" s="21" t="s">
        <v>165</v>
      </c>
      <c r="BN135" s="21" t="s">
        <v>165</v>
      </c>
      <c r="BO135" s="21" t="s">
        <v>165</v>
      </c>
      <c r="BP135" s="21" t="s">
        <v>165</v>
      </c>
      <c r="BQ135" s="21" t="s">
        <v>165</v>
      </c>
      <c r="BR135" s="21" t="s">
        <v>165</v>
      </c>
      <c r="BS135" s="21" t="s">
        <v>165</v>
      </c>
      <c r="BT135" s="21" t="s">
        <v>165</v>
      </c>
      <c r="BU135" s="21" t="s">
        <v>165</v>
      </c>
      <c r="BV135" s="21" t="s">
        <v>165</v>
      </c>
      <c r="BW135" s="21" t="s">
        <v>165</v>
      </c>
      <c r="BX135" s="21" t="s">
        <v>165</v>
      </c>
      <c r="BY135" s="21" t="s">
        <v>165</v>
      </c>
      <c r="BZ135" s="21" t="s">
        <v>165</v>
      </c>
      <c r="CA135" s="21" t="s">
        <v>165</v>
      </c>
      <c r="CB135" s="21" t="s">
        <v>165</v>
      </c>
      <c r="CC135" s="21" t="s">
        <v>165</v>
      </c>
      <c r="CD135" s="21" t="s">
        <v>165</v>
      </c>
      <c r="CE135" s="21" t="s">
        <v>165</v>
      </c>
      <c r="CG135" s="15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</row>
    <row r="136" spans="1:106" outlineLevel="5" x14ac:dyDescent="0.2">
      <c r="A136" s="14">
        <v>1</v>
      </c>
      <c r="C136" s="10" t="str">
        <f>"                    Total Long Term Debt"</f>
        <v xml:space="preserve">                    Total Long Term Debt</v>
      </c>
      <c r="D136" s="29">
        <f t="shared" si="24"/>
        <v>80000</v>
      </c>
      <c r="E136" s="29">
        <f t="shared" si="25"/>
        <v>85386.061099999963</v>
      </c>
      <c r="F136" s="29">
        <f t="shared" si="26"/>
        <v>0</v>
      </c>
      <c r="G136" s="29">
        <f t="shared" si="27"/>
        <v>275000</v>
      </c>
      <c r="H136" s="29">
        <f t="shared" si="28"/>
        <v>41422.356</v>
      </c>
      <c r="I136" s="29">
        <f t="shared" si="29"/>
        <v>120421.3115</v>
      </c>
      <c r="J136" s="29">
        <f t="shared" si="30"/>
        <v>62786.323701849316</v>
      </c>
      <c r="K136" s="30">
        <f t="shared" si="31"/>
        <v>0.73532287229313764</v>
      </c>
      <c r="L136" s="31"/>
      <c r="M136" s="31" t="s">
        <v>165</v>
      </c>
      <c r="N136" s="31">
        <v>0</v>
      </c>
      <c r="O136" s="31">
        <v>95629</v>
      </c>
      <c r="P136" s="31">
        <v>138150.75</v>
      </c>
      <c r="Q136" s="31">
        <v>185792.25</v>
      </c>
      <c r="R136" s="31">
        <v>207992</v>
      </c>
      <c r="S136" s="31">
        <v>159324</v>
      </c>
      <c r="T136" s="31">
        <v>210657</v>
      </c>
      <c r="U136" s="31">
        <v>161990</v>
      </c>
      <c r="V136" s="31">
        <v>188323</v>
      </c>
      <c r="W136" s="31">
        <v>165205</v>
      </c>
      <c r="X136" s="31">
        <v>166564</v>
      </c>
      <c r="Y136" s="31">
        <v>167923</v>
      </c>
      <c r="Z136" s="31">
        <v>169282</v>
      </c>
      <c r="AA136" s="31">
        <v>170747</v>
      </c>
      <c r="AB136" s="31">
        <v>170933</v>
      </c>
      <c r="AC136" s="31">
        <v>275000</v>
      </c>
      <c r="AD136" s="31">
        <v>175000</v>
      </c>
      <c r="AE136" s="31">
        <v>175000</v>
      </c>
      <c r="AF136" s="31">
        <v>100000</v>
      </c>
      <c r="AG136" s="31">
        <v>100000</v>
      </c>
      <c r="AH136" s="31">
        <v>100000</v>
      </c>
      <c r="AI136" s="31">
        <v>100000</v>
      </c>
      <c r="AJ136" s="31">
        <v>43559</v>
      </c>
      <c r="AK136" s="31">
        <v>43559</v>
      </c>
      <c r="AL136" s="31">
        <v>43559</v>
      </c>
      <c r="AM136" s="31">
        <v>43556</v>
      </c>
      <c r="AN136" s="31">
        <v>50000</v>
      </c>
      <c r="AO136" s="31">
        <v>50000</v>
      </c>
      <c r="AP136" s="31">
        <v>50000</v>
      </c>
      <c r="AQ136" s="31">
        <v>50000</v>
      </c>
      <c r="AR136" s="31">
        <v>50000</v>
      </c>
      <c r="AS136" s="31">
        <v>50000</v>
      </c>
      <c r="AT136" s="31">
        <v>80000</v>
      </c>
      <c r="AU136" s="31">
        <v>80000</v>
      </c>
      <c r="AV136" s="31">
        <v>80000</v>
      </c>
      <c r="AW136" s="31">
        <v>80000</v>
      </c>
      <c r="AX136" s="31">
        <v>82569</v>
      </c>
      <c r="AY136" s="31">
        <v>83059</v>
      </c>
      <c r="AZ136" s="31">
        <v>83606</v>
      </c>
      <c r="BA136" s="31">
        <v>84215.902000000002</v>
      </c>
      <c r="BB136" s="31">
        <v>84815.64</v>
      </c>
      <c r="BC136" s="31">
        <v>85405.134000000005</v>
      </c>
      <c r="BD136" s="31">
        <v>118773.98699999999</v>
      </c>
      <c r="BE136" s="31">
        <v>119264.679</v>
      </c>
      <c r="BF136" s="31">
        <v>119595.015</v>
      </c>
      <c r="BG136" s="31">
        <v>120069.452</v>
      </c>
      <c r="BH136" s="31">
        <v>120538.598</v>
      </c>
      <c r="BI136" s="31">
        <v>122880.167</v>
      </c>
      <c r="BJ136" s="31">
        <v>13452.502</v>
      </c>
      <c r="BK136" s="31">
        <v>13897.414000000001</v>
      </c>
      <c r="BL136" s="31">
        <v>14337.816999999999</v>
      </c>
      <c r="BM136" s="31">
        <v>14773.894</v>
      </c>
      <c r="BN136" s="31">
        <v>15197.861999999999</v>
      </c>
      <c r="BO136" s="31">
        <v>15615.03</v>
      </c>
      <c r="BP136" s="31">
        <v>16028.424000000001</v>
      </c>
      <c r="BQ136" s="31">
        <v>16438.21</v>
      </c>
      <c r="BR136" s="31">
        <v>35725.061999999998</v>
      </c>
      <c r="BS136" s="31">
        <v>36807.343999999997</v>
      </c>
      <c r="BT136" s="31">
        <v>37870.046000000002</v>
      </c>
      <c r="BU136" s="31">
        <v>38905.843999999997</v>
      </c>
      <c r="BV136" s="31">
        <v>39926.748</v>
      </c>
      <c r="BW136" s="31">
        <v>40927.233999999997</v>
      </c>
      <c r="BX136" s="31">
        <v>42907.722000000002</v>
      </c>
      <c r="BY136" s="31">
        <v>45000</v>
      </c>
      <c r="BZ136" s="31">
        <v>45000</v>
      </c>
      <c r="CA136" s="31">
        <v>45000</v>
      </c>
      <c r="CB136" s="31">
        <v>45000</v>
      </c>
      <c r="CC136" s="31">
        <v>597.42499999999995</v>
      </c>
      <c r="CD136" s="31">
        <v>738.125</v>
      </c>
      <c r="CE136" s="31">
        <v>340</v>
      </c>
      <c r="CG136" s="15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</row>
    <row r="137" spans="1:106" outlineLevel="4" x14ac:dyDescent="0.2">
      <c r="A137" s="14">
        <v>1</v>
      </c>
      <c r="C137" s="9" t="str">
        <f>"                Capital Lease Obligations, Non-Current"</f>
        <v xml:space="preserve">                Capital Lease Obligations, Non-Current</v>
      </c>
      <c r="D137" s="17">
        <f t="shared" si="24"/>
        <v>38645.75</v>
      </c>
      <c r="E137" s="17">
        <f t="shared" si="25"/>
        <v>38144.400000000001</v>
      </c>
      <c r="F137" s="17">
        <f t="shared" si="26"/>
        <v>31672</v>
      </c>
      <c r="G137" s="17">
        <f t="shared" si="27"/>
        <v>43019.25</v>
      </c>
      <c r="H137" s="17">
        <f t="shared" si="28"/>
        <v>37628</v>
      </c>
      <c r="I137" s="17">
        <f t="shared" si="29"/>
        <v>39757</v>
      </c>
      <c r="J137" s="17">
        <f t="shared" si="30"/>
        <v>4146.5233577359722</v>
      </c>
      <c r="K137" s="18">
        <f t="shared" si="31"/>
        <v>0.10870595310808329</v>
      </c>
      <c r="L137" s="21"/>
      <c r="M137" s="21">
        <v>37628</v>
      </c>
      <c r="N137" s="21">
        <v>38645.75</v>
      </c>
      <c r="O137" s="21">
        <v>39757</v>
      </c>
      <c r="P137" s="21">
        <v>43019.25</v>
      </c>
      <c r="Q137" s="21">
        <v>31672</v>
      </c>
      <c r="R137" s="21" t="s">
        <v>165</v>
      </c>
      <c r="S137" s="21" t="s">
        <v>165</v>
      </c>
      <c r="T137" s="21" t="s">
        <v>165</v>
      </c>
      <c r="U137" s="21" t="s">
        <v>165</v>
      </c>
      <c r="V137" s="21" t="s">
        <v>165</v>
      </c>
      <c r="W137" s="21" t="s">
        <v>165</v>
      </c>
      <c r="X137" s="21" t="s">
        <v>165</v>
      </c>
      <c r="Y137" s="21" t="s">
        <v>165</v>
      </c>
      <c r="Z137" s="21" t="s">
        <v>165</v>
      </c>
      <c r="AA137" s="21" t="s">
        <v>165</v>
      </c>
      <c r="AB137" s="21" t="s">
        <v>165</v>
      </c>
      <c r="AC137" s="21" t="s">
        <v>165</v>
      </c>
      <c r="AD137" s="21" t="s">
        <v>165</v>
      </c>
      <c r="AE137" s="21" t="s">
        <v>165</v>
      </c>
      <c r="AF137" s="21" t="s">
        <v>165</v>
      </c>
      <c r="AG137" s="21" t="s">
        <v>165</v>
      </c>
      <c r="AH137" s="21" t="s">
        <v>165</v>
      </c>
      <c r="AI137" s="21" t="s">
        <v>165</v>
      </c>
      <c r="AJ137" s="21" t="s">
        <v>165</v>
      </c>
      <c r="AK137" s="21" t="s">
        <v>165</v>
      </c>
      <c r="AL137" s="21" t="s">
        <v>165</v>
      </c>
      <c r="AM137" s="21" t="s">
        <v>165</v>
      </c>
      <c r="AN137" s="21" t="s">
        <v>165</v>
      </c>
      <c r="AO137" s="21" t="s">
        <v>165</v>
      </c>
      <c r="AP137" s="21" t="s">
        <v>165</v>
      </c>
      <c r="AQ137" s="21" t="s">
        <v>165</v>
      </c>
      <c r="AR137" s="21" t="s">
        <v>165</v>
      </c>
      <c r="AS137" s="21" t="s">
        <v>165</v>
      </c>
      <c r="AT137" s="21" t="s">
        <v>165</v>
      </c>
      <c r="AU137" s="21" t="s">
        <v>165</v>
      </c>
      <c r="AV137" s="21" t="s">
        <v>165</v>
      </c>
      <c r="AW137" s="21" t="s">
        <v>165</v>
      </c>
      <c r="AX137" s="21" t="s">
        <v>165</v>
      </c>
      <c r="AY137" s="21" t="s">
        <v>165</v>
      </c>
      <c r="AZ137" s="21" t="s">
        <v>165</v>
      </c>
      <c r="BA137" s="21" t="s">
        <v>165</v>
      </c>
      <c r="BB137" s="21" t="s">
        <v>165</v>
      </c>
      <c r="BC137" s="21" t="s">
        <v>165</v>
      </c>
      <c r="BD137" s="21" t="s">
        <v>165</v>
      </c>
      <c r="BE137" s="21" t="s">
        <v>165</v>
      </c>
      <c r="BF137" s="21" t="s">
        <v>165</v>
      </c>
      <c r="BG137" s="21" t="s">
        <v>165</v>
      </c>
      <c r="BH137" s="21" t="s">
        <v>165</v>
      </c>
      <c r="BI137" s="21" t="s">
        <v>165</v>
      </c>
      <c r="BJ137" s="21" t="s">
        <v>165</v>
      </c>
      <c r="BK137" s="21" t="s">
        <v>165</v>
      </c>
      <c r="BL137" s="21" t="s">
        <v>165</v>
      </c>
      <c r="BM137" s="21" t="s">
        <v>165</v>
      </c>
      <c r="BN137" s="21" t="s">
        <v>165</v>
      </c>
      <c r="BO137" s="21" t="s">
        <v>165</v>
      </c>
      <c r="BP137" s="21" t="s">
        <v>165</v>
      </c>
      <c r="BQ137" s="21" t="s">
        <v>165</v>
      </c>
      <c r="BR137" s="21" t="s">
        <v>165</v>
      </c>
      <c r="BS137" s="21" t="s">
        <v>165</v>
      </c>
      <c r="BT137" s="21" t="s">
        <v>165</v>
      </c>
      <c r="BU137" s="21" t="s">
        <v>165</v>
      </c>
      <c r="BV137" s="21" t="s">
        <v>165</v>
      </c>
      <c r="BW137" s="21" t="s">
        <v>165</v>
      </c>
      <c r="BX137" s="21" t="s">
        <v>165</v>
      </c>
      <c r="BY137" s="21" t="s">
        <v>165</v>
      </c>
      <c r="BZ137" s="21" t="s">
        <v>165</v>
      </c>
      <c r="CA137" s="21" t="s">
        <v>165</v>
      </c>
      <c r="CB137" s="21" t="s">
        <v>165</v>
      </c>
      <c r="CC137" s="21" t="s">
        <v>165</v>
      </c>
      <c r="CD137" s="21" t="s">
        <v>165</v>
      </c>
      <c r="CE137" s="21" t="s">
        <v>165</v>
      </c>
      <c r="CG137" s="15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</row>
    <row r="138" spans="1:106" outlineLevel="4" x14ac:dyDescent="0.2">
      <c r="A138" s="14">
        <v>1</v>
      </c>
      <c r="C138" s="10" t="str">
        <f>"                Total Long Term Debt and Capital Lease Obligation"</f>
        <v xml:space="preserve">                Total Long Term Debt and Capital Lease Obligation</v>
      </c>
      <c r="D138" s="29">
        <f t="shared" si="24"/>
        <v>80000</v>
      </c>
      <c r="E138" s="29">
        <f t="shared" si="25"/>
        <v>86758.144746478836</v>
      </c>
      <c r="F138" s="29">
        <f t="shared" si="26"/>
        <v>340</v>
      </c>
      <c r="G138" s="29">
        <f t="shared" si="27"/>
        <v>275000</v>
      </c>
      <c r="H138" s="29">
        <f t="shared" si="28"/>
        <v>40426.990999999995</v>
      </c>
      <c r="I138" s="29">
        <f t="shared" si="29"/>
        <v>121709.38250000001</v>
      </c>
      <c r="J138" s="29">
        <f t="shared" si="30"/>
        <v>63602.265134161331</v>
      </c>
      <c r="K138" s="30">
        <f t="shared" si="31"/>
        <v>0.73309849259706183</v>
      </c>
      <c r="L138" s="31"/>
      <c r="M138" s="31">
        <v>37628</v>
      </c>
      <c r="N138" s="31">
        <v>38645.75</v>
      </c>
      <c r="O138" s="31">
        <v>135386</v>
      </c>
      <c r="P138" s="31">
        <v>181170</v>
      </c>
      <c r="Q138" s="31">
        <v>209546.25</v>
      </c>
      <c r="R138" s="31">
        <v>207992</v>
      </c>
      <c r="S138" s="31">
        <v>159324</v>
      </c>
      <c r="T138" s="31">
        <v>210657</v>
      </c>
      <c r="U138" s="31">
        <v>161990</v>
      </c>
      <c r="V138" s="31">
        <v>188323</v>
      </c>
      <c r="W138" s="31">
        <v>165205</v>
      </c>
      <c r="X138" s="31">
        <v>166564</v>
      </c>
      <c r="Y138" s="31">
        <v>167923</v>
      </c>
      <c r="Z138" s="31">
        <v>169282</v>
      </c>
      <c r="AA138" s="31">
        <v>170747</v>
      </c>
      <c r="AB138" s="31">
        <v>170933</v>
      </c>
      <c r="AC138" s="31">
        <v>275000</v>
      </c>
      <c r="AD138" s="31">
        <v>175000</v>
      </c>
      <c r="AE138" s="31">
        <v>175000</v>
      </c>
      <c r="AF138" s="31">
        <v>100000</v>
      </c>
      <c r="AG138" s="31">
        <v>100000</v>
      </c>
      <c r="AH138" s="31">
        <v>100000</v>
      </c>
      <c r="AI138" s="31">
        <v>100000</v>
      </c>
      <c r="AJ138" s="31">
        <v>43559</v>
      </c>
      <c r="AK138" s="31">
        <v>43559</v>
      </c>
      <c r="AL138" s="31">
        <v>43559</v>
      </c>
      <c r="AM138" s="31">
        <v>43556</v>
      </c>
      <c r="AN138" s="31">
        <v>50000</v>
      </c>
      <c r="AO138" s="31">
        <v>50000</v>
      </c>
      <c r="AP138" s="31">
        <v>50000</v>
      </c>
      <c r="AQ138" s="31">
        <v>50000</v>
      </c>
      <c r="AR138" s="31">
        <v>50000</v>
      </c>
      <c r="AS138" s="31">
        <v>50000</v>
      </c>
      <c r="AT138" s="31">
        <v>80000</v>
      </c>
      <c r="AU138" s="31">
        <v>80000</v>
      </c>
      <c r="AV138" s="31">
        <v>80000</v>
      </c>
      <c r="AW138" s="31">
        <v>80000</v>
      </c>
      <c r="AX138" s="31">
        <v>82569</v>
      </c>
      <c r="AY138" s="31">
        <v>83059</v>
      </c>
      <c r="AZ138" s="31">
        <v>83606</v>
      </c>
      <c r="BA138" s="31">
        <v>84215.902000000002</v>
      </c>
      <c r="BB138" s="31">
        <v>84815.64</v>
      </c>
      <c r="BC138" s="31">
        <v>85405.134000000005</v>
      </c>
      <c r="BD138" s="31">
        <v>118773.98699999999</v>
      </c>
      <c r="BE138" s="31">
        <v>119264.679</v>
      </c>
      <c r="BF138" s="31">
        <v>119595.015</v>
      </c>
      <c r="BG138" s="31">
        <v>120069.452</v>
      </c>
      <c r="BH138" s="31">
        <v>120538.598</v>
      </c>
      <c r="BI138" s="31">
        <v>122880.167</v>
      </c>
      <c r="BJ138" s="31">
        <v>13452.502</v>
      </c>
      <c r="BK138" s="31">
        <v>13897.414000000001</v>
      </c>
      <c r="BL138" s="31">
        <v>14337.816999999999</v>
      </c>
      <c r="BM138" s="31">
        <v>14773.894</v>
      </c>
      <c r="BN138" s="31">
        <v>15197.861999999999</v>
      </c>
      <c r="BO138" s="31">
        <v>15615.03</v>
      </c>
      <c r="BP138" s="31">
        <v>16028.424000000001</v>
      </c>
      <c r="BQ138" s="31">
        <v>16438.21</v>
      </c>
      <c r="BR138" s="31">
        <v>35725.061999999998</v>
      </c>
      <c r="BS138" s="31">
        <v>36807.343999999997</v>
      </c>
      <c r="BT138" s="31">
        <v>37870.046000000002</v>
      </c>
      <c r="BU138" s="31">
        <v>38905.843999999997</v>
      </c>
      <c r="BV138" s="31">
        <v>39926.748</v>
      </c>
      <c r="BW138" s="31">
        <v>40927.233999999997</v>
      </c>
      <c r="BX138" s="31">
        <v>42907.722000000002</v>
      </c>
      <c r="BY138" s="31">
        <v>45000</v>
      </c>
      <c r="BZ138" s="31">
        <v>45000</v>
      </c>
      <c r="CA138" s="31">
        <v>45000</v>
      </c>
      <c r="CB138" s="31">
        <v>45000</v>
      </c>
      <c r="CC138" s="31">
        <v>597.42499999999995</v>
      </c>
      <c r="CD138" s="31">
        <v>738.125</v>
      </c>
      <c r="CE138" s="31">
        <v>340</v>
      </c>
      <c r="CG138" s="15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</row>
    <row r="139" spans="1:106" outlineLevel="3" x14ac:dyDescent="0.2">
      <c r="A139" s="14">
        <v>1</v>
      </c>
      <c r="C139" s="10" t="str">
        <f>"            Total Financial Liabilities, Non-Current"</f>
        <v xml:space="preserve">            Total Financial Liabilities, Non-Current</v>
      </c>
      <c r="D139" s="29">
        <f t="shared" ref="D139:D162" si="32">IF(COUNT(M139:CE139)&gt;0,MEDIAN(M139:CE139),"")</f>
        <v>80000</v>
      </c>
      <c r="E139" s="29">
        <f t="shared" ref="E139:E162" si="33">IF(COUNT(M139:CE139)&gt;0,AVERAGE(M139:CE139),"")</f>
        <v>86758.144746478836</v>
      </c>
      <c r="F139" s="29">
        <f t="shared" ref="F139:F162" si="34">IF(COUNT(M139:CE139)&gt;0,MIN(M139:CE139),"")</f>
        <v>340</v>
      </c>
      <c r="G139" s="29">
        <f t="shared" ref="G139:G162" si="35">IF(COUNT(M139:CE139)&gt;0,MAX(M139:CE139),"")</f>
        <v>275000</v>
      </c>
      <c r="H139" s="29">
        <f t="shared" ref="H139:H162" si="36">IF(COUNT(M139:CE139)&gt;0,QUARTILE(M139:CE139,1),"")</f>
        <v>40426.990999999995</v>
      </c>
      <c r="I139" s="29">
        <f t="shared" ref="I139:I162" si="37">IF(COUNT(M139:CE139)&gt;0,QUARTILE(M139:CE139,3),"")</f>
        <v>121709.38250000001</v>
      </c>
      <c r="J139" s="29">
        <f t="shared" ref="J139:J162" si="38">IF(COUNT(M139:CE139)&gt;1,STDEV(M139:CE139),"")</f>
        <v>63602.265134161331</v>
      </c>
      <c r="K139" s="30">
        <f t="shared" ref="K139:K162" si="39">IF(COUNT(M139:CE139)&gt;1,STDEV(M139:CE139)/AVERAGE(M139:CE139),"")</f>
        <v>0.73309849259706183</v>
      </c>
      <c r="L139" s="31"/>
      <c r="M139" s="31">
        <v>37628</v>
      </c>
      <c r="N139" s="31">
        <v>38645.75</v>
      </c>
      <c r="O139" s="31">
        <v>135386</v>
      </c>
      <c r="P139" s="31">
        <v>181170</v>
      </c>
      <c r="Q139" s="31">
        <v>209546.25</v>
      </c>
      <c r="R139" s="31">
        <v>207992</v>
      </c>
      <c r="S139" s="31">
        <v>159324</v>
      </c>
      <c r="T139" s="31">
        <v>210657</v>
      </c>
      <c r="U139" s="31">
        <v>161990</v>
      </c>
      <c r="V139" s="31">
        <v>188323</v>
      </c>
      <c r="W139" s="31">
        <v>165205</v>
      </c>
      <c r="X139" s="31">
        <v>166564</v>
      </c>
      <c r="Y139" s="31">
        <v>167923</v>
      </c>
      <c r="Z139" s="31">
        <v>169282</v>
      </c>
      <c r="AA139" s="31">
        <v>170747</v>
      </c>
      <c r="AB139" s="31">
        <v>170933</v>
      </c>
      <c r="AC139" s="31">
        <v>275000</v>
      </c>
      <c r="AD139" s="31">
        <v>175000</v>
      </c>
      <c r="AE139" s="31">
        <v>175000</v>
      </c>
      <c r="AF139" s="31">
        <v>100000</v>
      </c>
      <c r="AG139" s="31">
        <v>100000</v>
      </c>
      <c r="AH139" s="31">
        <v>100000</v>
      </c>
      <c r="AI139" s="31">
        <v>100000</v>
      </c>
      <c r="AJ139" s="31">
        <v>43559</v>
      </c>
      <c r="AK139" s="31">
        <v>43559</v>
      </c>
      <c r="AL139" s="31">
        <v>43559</v>
      </c>
      <c r="AM139" s="31">
        <v>43556</v>
      </c>
      <c r="AN139" s="31">
        <v>50000</v>
      </c>
      <c r="AO139" s="31">
        <v>50000</v>
      </c>
      <c r="AP139" s="31">
        <v>50000</v>
      </c>
      <c r="AQ139" s="31">
        <v>50000</v>
      </c>
      <c r="AR139" s="31">
        <v>50000</v>
      </c>
      <c r="AS139" s="31">
        <v>50000</v>
      </c>
      <c r="AT139" s="31">
        <v>80000</v>
      </c>
      <c r="AU139" s="31">
        <v>80000</v>
      </c>
      <c r="AV139" s="31">
        <v>80000</v>
      </c>
      <c r="AW139" s="31">
        <v>80000</v>
      </c>
      <c r="AX139" s="31">
        <v>82569</v>
      </c>
      <c r="AY139" s="31">
        <v>83059</v>
      </c>
      <c r="AZ139" s="31">
        <v>83606</v>
      </c>
      <c r="BA139" s="31">
        <v>84215.902000000002</v>
      </c>
      <c r="BB139" s="31">
        <v>84815.64</v>
      </c>
      <c r="BC139" s="31">
        <v>85405.134000000005</v>
      </c>
      <c r="BD139" s="31">
        <v>118773.98699999999</v>
      </c>
      <c r="BE139" s="31">
        <v>119264.679</v>
      </c>
      <c r="BF139" s="31">
        <v>119595.015</v>
      </c>
      <c r="BG139" s="31">
        <v>120069.452</v>
      </c>
      <c r="BH139" s="31">
        <v>120538.598</v>
      </c>
      <c r="BI139" s="31">
        <v>122880.167</v>
      </c>
      <c r="BJ139" s="31">
        <v>13452.502</v>
      </c>
      <c r="BK139" s="31">
        <v>13897.414000000001</v>
      </c>
      <c r="BL139" s="31">
        <v>14337.816999999999</v>
      </c>
      <c r="BM139" s="31">
        <v>14773.894</v>
      </c>
      <c r="BN139" s="31">
        <v>15197.861999999999</v>
      </c>
      <c r="BO139" s="31">
        <v>15615.03</v>
      </c>
      <c r="BP139" s="31">
        <v>16028.424000000001</v>
      </c>
      <c r="BQ139" s="31">
        <v>16438.21</v>
      </c>
      <c r="BR139" s="31">
        <v>35725.061999999998</v>
      </c>
      <c r="BS139" s="31">
        <v>36807.343999999997</v>
      </c>
      <c r="BT139" s="31">
        <v>37870.046000000002</v>
      </c>
      <c r="BU139" s="31">
        <v>38905.843999999997</v>
      </c>
      <c r="BV139" s="31">
        <v>39926.748</v>
      </c>
      <c r="BW139" s="31">
        <v>40927.233999999997</v>
      </c>
      <c r="BX139" s="31">
        <v>42907.722000000002</v>
      </c>
      <c r="BY139" s="31">
        <v>45000</v>
      </c>
      <c r="BZ139" s="31">
        <v>45000</v>
      </c>
      <c r="CA139" s="31">
        <v>45000</v>
      </c>
      <c r="CB139" s="31">
        <v>45000</v>
      </c>
      <c r="CC139" s="31">
        <v>597.42499999999995</v>
      </c>
      <c r="CD139" s="31">
        <v>738.125</v>
      </c>
      <c r="CE139" s="31">
        <v>340</v>
      </c>
      <c r="CG139" s="15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</row>
    <row r="140" spans="1:106" outlineLevel="2" x14ac:dyDescent="0.2">
      <c r="A140" s="14">
        <v>1</v>
      </c>
      <c r="C140" s="9" t="str">
        <f>IF(SUBTOTAL(109,A140)=A140,"        Tax Liabilities, Non-Current","        Tax Liabilities, Non-Current")</f>
        <v xml:space="preserve">        Tax Liabilities, Non-Current</v>
      </c>
      <c r="D140" s="17" t="str">
        <f t="shared" si="32"/>
        <v/>
      </c>
      <c r="E140" s="17" t="str">
        <f t="shared" si="33"/>
        <v/>
      </c>
      <c r="F140" s="17" t="str">
        <f t="shared" si="34"/>
        <v/>
      </c>
      <c r="G140" s="17" t="str">
        <f t="shared" si="35"/>
        <v/>
      </c>
      <c r="H140" s="17" t="str">
        <f t="shared" si="36"/>
        <v/>
      </c>
      <c r="I140" s="17" t="str">
        <f t="shared" si="37"/>
        <v/>
      </c>
      <c r="J140" s="17" t="str">
        <f t="shared" si="38"/>
        <v/>
      </c>
      <c r="K140" s="18" t="str">
        <f t="shared" si="39"/>
        <v/>
      </c>
      <c r="L140" s="21"/>
      <c r="M140" s="21" t="str">
        <f>IF(SUBTOTAL(109,A140)=A140,"",0)</f>
        <v/>
      </c>
      <c r="N140" s="21"/>
      <c r="O140" s="21"/>
      <c r="P140" s="21"/>
      <c r="Q140" s="21"/>
      <c r="R140" s="21" t="str">
        <f>IF(SUBTOTAL(109,A140)=A140,"",21334)</f>
        <v/>
      </c>
      <c r="S140" s="21" t="str">
        <f>IF(SUBTOTAL(109,A140)=A140,"",25579)</f>
        <v/>
      </c>
      <c r="T140" s="21" t="str">
        <f>IF(SUBTOTAL(109,A140)=A140,"",25620)</f>
        <v/>
      </c>
      <c r="U140" s="21" t="str">
        <f>IF(SUBTOTAL(109,A140)=A140,"",21212)</f>
        <v/>
      </c>
      <c r="V140" s="21" t="str">
        <f>IF(SUBTOTAL(109,A140)=A140,"",32953)</f>
        <v/>
      </c>
      <c r="W140" s="21" t="str">
        <f>IF(SUBTOTAL(109,A140)=A140,"",12010)</f>
        <v/>
      </c>
      <c r="X140" s="21" t="str">
        <f>IF(SUBTOTAL(109,A140)=A140,"",12161)</f>
        <v/>
      </c>
      <c r="Y140" s="21" t="str">
        <f>IF(SUBTOTAL(109,A140)=A140,"",33311)</f>
        <v/>
      </c>
      <c r="Z140" s="21" t="str">
        <f>IF(SUBTOTAL(109,A140)=A140,"",33341)</f>
        <v/>
      </c>
      <c r="AA140" s="21" t="str">
        <f>IF(SUBTOTAL(109,A140)=A140,"",33453)</f>
        <v/>
      </c>
      <c r="AB140" s="21" t="str">
        <f>IF(SUBTOTAL(109,A140)=A140,"",33905)</f>
        <v/>
      </c>
      <c r="AC140" s="21" t="str">
        <f>IF(SUBTOTAL(109,A140)=A140,"",32697)</f>
        <v/>
      </c>
      <c r="AD140" s="21" t="str">
        <f>IF(SUBTOTAL(109,A140)=A140,"",11241)</f>
        <v/>
      </c>
      <c r="AE140" s="21" t="str">
        <f>IF(SUBTOTAL(109,A140)=A140,"",11204)</f>
        <v/>
      </c>
      <c r="AF140" s="21" t="str">
        <f>IF(SUBTOTAL(109,A140)=A140,"",11418)</f>
        <v/>
      </c>
      <c r="AG140" s="21" t="str">
        <f>IF(SUBTOTAL(109,A140)=A140,"",7863)</f>
        <v/>
      </c>
      <c r="AH140" s="21" t="str">
        <f>IF(SUBTOTAL(109,A140)=A140,"",7863)</f>
        <v/>
      </c>
      <c r="AI140" s="21" t="str">
        <f>IF(SUBTOTAL(109,A140)=A140,"",7863)</f>
        <v/>
      </c>
      <c r="AJ140" s="21" t="str">
        <f>IF(SUBTOTAL(109,A140)=A140,"",7863)</f>
        <v/>
      </c>
      <c r="AK140" s="21" t="str">
        <f>IF(SUBTOTAL(109,A140)=A140,"",4537)</f>
        <v/>
      </c>
      <c r="AL140" s="21" t="str">
        <f>IF(SUBTOTAL(109,A140)=A140,"",4537)</f>
        <v/>
      </c>
      <c r="AM140" s="21" t="str">
        <f>IF(SUBTOTAL(109,A140)=A140,"",4537)</f>
        <v/>
      </c>
      <c r="AN140" s="21" t="str">
        <f>IF(SUBTOTAL(109,A140)=A140,"",4537)</f>
        <v/>
      </c>
      <c r="AO140" s="21" t="str">
        <f>IF(SUBTOTAL(109,A140)=A140,"",5319)</f>
        <v/>
      </c>
      <c r="AP140" s="21" t="str">
        <f>IF(SUBTOTAL(109,A140)=A140,"",5309)</f>
        <v/>
      </c>
      <c r="AQ140" s="21" t="str">
        <f>IF(SUBTOTAL(109,A140)=A140,"",5309)</f>
        <v/>
      </c>
      <c r="AR140" s="21" t="str">
        <f>IF(SUBTOTAL(109,A140)=A140,"",7708)</f>
        <v/>
      </c>
      <c r="AS140" s="21" t="str">
        <f>IF(SUBTOTAL(109,A140)=A140,"",4004)</f>
        <v/>
      </c>
      <c r="AT140" s="21" t="str">
        <f>IF(SUBTOTAL(109,A140)=A140,"",4442)</f>
        <v/>
      </c>
      <c r="AU140" s="21" t="str">
        <f>IF(SUBTOTAL(109,A140)=A140,"",3037)</f>
        <v/>
      </c>
      <c r="AV140" s="21" t="str">
        <f>IF(SUBTOTAL(109,A140)=A140,"",2965)</f>
        <v/>
      </c>
      <c r="AW140" s="21" t="str">
        <f>IF(SUBTOTAL(109,A140)=A140,"",4333)</f>
        <v/>
      </c>
      <c r="AX140" s="21" t="str">
        <f>IF(SUBTOTAL(109,A140)=A140,"",4443)</f>
        <v/>
      </c>
      <c r="AY140" s="21" t="str">
        <f>IF(SUBTOTAL(109,A140)=A140,"",2038)</f>
        <v/>
      </c>
      <c r="AZ140" s="21" t="str">
        <f>IF(SUBTOTAL(109,A140)=A140,"",0)</f>
        <v/>
      </c>
      <c r="BA140" s="21" t="str">
        <f>IF(SUBTOTAL(109,A140)=A140,"",0)</f>
        <v/>
      </c>
      <c r="BB140" s="21" t="str">
        <f>IF(SUBTOTAL(109,A140)=A140,"","")</f>
        <v/>
      </c>
      <c r="BC140" s="21" t="str">
        <f>IF(SUBTOTAL(109,A140)=A140,"",20216.239)</f>
        <v/>
      </c>
      <c r="BD140" s="21" t="str">
        <f>IF(SUBTOTAL(109,A140)=A140,"",20216.239)</f>
        <v/>
      </c>
      <c r="BE140" s="21" t="str">
        <f>IF(SUBTOTAL(109,A140)=A140,"",20854.393)</f>
        <v/>
      </c>
      <c r="BF140" s="21" t="str">
        <f>IF(SUBTOTAL(109,A140)=A140,"",21527.515)</f>
        <v/>
      </c>
      <c r="BG140" s="21" t="str">
        <f>IF(SUBTOTAL(109,A140)=A140,"",21527.515)</f>
        <v/>
      </c>
      <c r="BH140" s="21" t="str">
        <f>IF(SUBTOTAL(109,A140)=A140,"",23590.404)</f>
        <v/>
      </c>
      <c r="BI140" s="21" t="str">
        <f>IF(SUBTOTAL(109,A140)=A140,"",25890.523)</f>
        <v/>
      </c>
      <c r="BJ140" s="21" t="str">
        <f>IF(SUBTOTAL(109,A140)=A140,"","")</f>
        <v/>
      </c>
      <c r="BK140" s="21" t="str">
        <f>IF(SUBTOTAL(109,A140)=A140,"","")</f>
        <v/>
      </c>
      <c r="BL140" s="21" t="str">
        <f>IF(SUBTOTAL(109,A140)=A140,"","")</f>
        <v/>
      </c>
      <c r="BM140" s="21" t="str">
        <f>IF(SUBTOTAL(109,A140)=A140,"","")</f>
        <v/>
      </c>
      <c r="BN140" s="21" t="str">
        <f>IF(SUBTOTAL(109,A140)=A140,"","")</f>
        <v/>
      </c>
      <c r="BO140" s="21" t="str">
        <f>IF(SUBTOTAL(109,A140)=A140,"","")</f>
        <v/>
      </c>
      <c r="BP140" s="21" t="str">
        <f>IF(SUBTOTAL(109,A140)=A140,"","")</f>
        <v/>
      </c>
      <c r="BQ140" s="21" t="str">
        <f>IF(SUBTOTAL(109,A140)=A140,"","")</f>
        <v/>
      </c>
      <c r="BR140" s="21" t="str">
        <f>IF(SUBTOTAL(109,A140)=A140,"","")</f>
        <v/>
      </c>
      <c r="BS140" s="21" t="str">
        <f>IF(SUBTOTAL(109,A140)=A140,"","")</f>
        <v/>
      </c>
      <c r="BT140" s="21" t="str">
        <f>IF(SUBTOTAL(109,A140)=A140,"","")</f>
        <v/>
      </c>
      <c r="BU140" s="21" t="str">
        <f>IF(SUBTOTAL(109,A140)=A140,"","")</f>
        <v/>
      </c>
      <c r="BV140" s="21" t="str">
        <f>IF(SUBTOTAL(109,A140)=A140,"","")</f>
        <v/>
      </c>
      <c r="BW140" s="21" t="str">
        <f>IF(SUBTOTAL(109,A140)=A140,"","")</f>
        <v/>
      </c>
      <c r="BX140" s="21" t="str">
        <f>IF(SUBTOTAL(109,A140)=A140,"","")</f>
        <v/>
      </c>
      <c r="BY140" s="21" t="str">
        <f>IF(SUBTOTAL(109,A140)=A140,"","")</f>
        <v/>
      </c>
      <c r="BZ140" s="21" t="str">
        <f>IF(SUBTOTAL(109,A140)=A140,"","")</f>
        <v/>
      </c>
      <c r="CA140" s="21" t="str">
        <f>IF(SUBTOTAL(109,A140)=A140,"","")</f>
        <v/>
      </c>
      <c r="CB140" s="21" t="str">
        <f>IF(SUBTOTAL(109,A140)=A140,"","")</f>
        <v/>
      </c>
      <c r="CC140" s="21" t="str">
        <f>IF(SUBTOTAL(109,A140)=A140,"","")</f>
        <v/>
      </c>
      <c r="CD140" s="21" t="str">
        <f>IF(SUBTOTAL(109,A140)=A140,"","")</f>
        <v/>
      </c>
      <c r="CE140" s="21" t="str">
        <f>IF(SUBTOTAL(109,A140)=A140,"","")</f>
        <v/>
      </c>
      <c r="CG140" s="15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</row>
    <row r="141" spans="1:106" outlineLevel="3" x14ac:dyDescent="0.2">
      <c r="A141" s="14">
        <v>1</v>
      </c>
      <c r="C141" s="9" t="str">
        <f>"            Deferred Tax Liabilities, Non-Current"</f>
        <v xml:space="preserve">            Deferred Tax Liabilities, Non-Current</v>
      </c>
      <c r="D141" s="17">
        <f t="shared" si="32"/>
        <v>8958.625</v>
      </c>
      <c r="E141" s="17">
        <f t="shared" si="33"/>
        <v>13121.423500000003</v>
      </c>
      <c r="F141" s="17">
        <f t="shared" si="34"/>
        <v>0</v>
      </c>
      <c r="G141" s="17">
        <f t="shared" si="35"/>
        <v>33905</v>
      </c>
      <c r="H141" s="17">
        <f t="shared" si="36"/>
        <v>4513.5</v>
      </c>
      <c r="I141" s="17">
        <f t="shared" si="37"/>
        <v>21382.37875</v>
      </c>
      <c r="J141" s="17">
        <f t="shared" si="38"/>
        <v>10814.050543007599</v>
      </c>
      <c r="K141" s="18">
        <f t="shared" si="39"/>
        <v>0.82415223797994153</v>
      </c>
      <c r="L141" s="21"/>
      <c r="M141" s="21">
        <v>0</v>
      </c>
      <c r="N141" s="21">
        <v>871.25</v>
      </c>
      <c r="O141" s="21">
        <v>3503</v>
      </c>
      <c r="P141" s="21">
        <v>10054.25</v>
      </c>
      <c r="Q141" s="21">
        <v>11631</v>
      </c>
      <c r="R141" s="21">
        <v>21334</v>
      </c>
      <c r="S141" s="21">
        <v>25579</v>
      </c>
      <c r="T141" s="21">
        <v>25620</v>
      </c>
      <c r="U141" s="21">
        <v>21212</v>
      </c>
      <c r="V141" s="21">
        <v>32953</v>
      </c>
      <c r="W141" s="21">
        <v>12010</v>
      </c>
      <c r="X141" s="21">
        <v>12161</v>
      </c>
      <c r="Y141" s="21">
        <v>33311</v>
      </c>
      <c r="Z141" s="21">
        <v>33341</v>
      </c>
      <c r="AA141" s="21">
        <v>33453</v>
      </c>
      <c r="AB141" s="21">
        <v>33905</v>
      </c>
      <c r="AC141" s="21">
        <v>32697</v>
      </c>
      <c r="AD141" s="21">
        <v>11241</v>
      </c>
      <c r="AE141" s="21">
        <v>11204</v>
      </c>
      <c r="AF141" s="21">
        <v>11418</v>
      </c>
      <c r="AG141" s="21">
        <v>7863</v>
      </c>
      <c r="AH141" s="21">
        <v>7863</v>
      </c>
      <c r="AI141" s="21">
        <v>7863</v>
      </c>
      <c r="AJ141" s="21">
        <v>7863</v>
      </c>
      <c r="AK141" s="21">
        <v>4537</v>
      </c>
      <c r="AL141" s="21">
        <v>4537</v>
      </c>
      <c r="AM141" s="21">
        <v>4537</v>
      </c>
      <c r="AN141" s="21">
        <v>4537</v>
      </c>
      <c r="AO141" s="21">
        <v>5319</v>
      </c>
      <c r="AP141" s="21">
        <v>5309</v>
      </c>
      <c r="AQ141" s="21">
        <v>5309</v>
      </c>
      <c r="AR141" s="21">
        <v>7708</v>
      </c>
      <c r="AS141" s="21">
        <v>4004</v>
      </c>
      <c r="AT141" s="21">
        <v>4442</v>
      </c>
      <c r="AU141" s="21">
        <v>3037</v>
      </c>
      <c r="AV141" s="21">
        <v>2965</v>
      </c>
      <c r="AW141" s="21">
        <v>4333</v>
      </c>
      <c r="AX141" s="21">
        <v>4443</v>
      </c>
      <c r="AY141" s="21">
        <v>2038</v>
      </c>
      <c r="AZ141" s="21">
        <v>0</v>
      </c>
      <c r="BA141" s="21">
        <v>0</v>
      </c>
      <c r="BB141" s="21" t="s">
        <v>165</v>
      </c>
      <c r="BC141" s="21">
        <v>20216.239000000001</v>
      </c>
      <c r="BD141" s="21">
        <v>20216.239000000001</v>
      </c>
      <c r="BE141" s="21">
        <v>20854.393</v>
      </c>
      <c r="BF141" s="21">
        <v>21527.514999999999</v>
      </c>
      <c r="BG141" s="21">
        <v>21527.514999999999</v>
      </c>
      <c r="BH141" s="21">
        <v>23590.403999999999</v>
      </c>
      <c r="BI141" s="21">
        <v>25890.523000000001</v>
      </c>
      <c r="BJ141" s="21" t="s">
        <v>165</v>
      </c>
      <c r="BK141" s="21" t="s">
        <v>165</v>
      </c>
      <c r="BL141" s="21" t="s">
        <v>165</v>
      </c>
      <c r="BM141" s="21" t="s">
        <v>165</v>
      </c>
      <c r="BN141" s="21" t="s">
        <v>165</v>
      </c>
      <c r="BO141" s="21" t="s">
        <v>165</v>
      </c>
      <c r="BP141" s="21" t="s">
        <v>165</v>
      </c>
      <c r="BQ141" s="21" t="s">
        <v>165</v>
      </c>
      <c r="BR141" s="21" t="s">
        <v>165</v>
      </c>
      <c r="BS141" s="21" t="s">
        <v>165</v>
      </c>
      <c r="BT141" s="21" t="s">
        <v>165</v>
      </c>
      <c r="BU141" s="21" t="s">
        <v>165</v>
      </c>
      <c r="BV141" s="21" t="s">
        <v>165</v>
      </c>
      <c r="BW141" s="21" t="s">
        <v>165</v>
      </c>
      <c r="BX141" s="21" t="s">
        <v>165</v>
      </c>
      <c r="BY141" s="21" t="s">
        <v>165</v>
      </c>
      <c r="BZ141" s="21" t="s">
        <v>165</v>
      </c>
      <c r="CA141" s="21" t="s">
        <v>165</v>
      </c>
      <c r="CB141" s="21" t="s">
        <v>165</v>
      </c>
      <c r="CC141" s="21" t="s">
        <v>165</v>
      </c>
      <c r="CD141" s="21" t="s">
        <v>165</v>
      </c>
      <c r="CE141" s="21" t="s">
        <v>165</v>
      </c>
      <c r="CG141" s="15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</row>
    <row r="142" spans="1:106" outlineLevel="3" x14ac:dyDescent="0.2">
      <c r="A142" s="14">
        <v>1</v>
      </c>
      <c r="C142" s="10" t="str">
        <f>"            Total Tax Liabilities, Non-Current"</f>
        <v xml:space="preserve">            Total Tax Liabilities, Non-Current</v>
      </c>
      <c r="D142" s="29">
        <f t="shared" si="32"/>
        <v>8958.625</v>
      </c>
      <c r="E142" s="29">
        <f t="shared" si="33"/>
        <v>13121.423500000003</v>
      </c>
      <c r="F142" s="29">
        <f t="shared" si="34"/>
        <v>0</v>
      </c>
      <c r="G142" s="29">
        <f t="shared" si="35"/>
        <v>33905</v>
      </c>
      <c r="H142" s="29">
        <f t="shared" si="36"/>
        <v>4513.5</v>
      </c>
      <c r="I142" s="29">
        <f t="shared" si="37"/>
        <v>21382.37875</v>
      </c>
      <c r="J142" s="29">
        <f t="shared" si="38"/>
        <v>10814.050543007599</v>
      </c>
      <c r="K142" s="30">
        <f t="shared" si="39"/>
        <v>0.82415223797994153</v>
      </c>
      <c r="L142" s="31"/>
      <c r="M142" s="31">
        <v>0</v>
      </c>
      <c r="N142" s="31">
        <v>871.25</v>
      </c>
      <c r="O142" s="31">
        <v>3503</v>
      </c>
      <c r="P142" s="31">
        <v>10054.25</v>
      </c>
      <c r="Q142" s="31">
        <v>11631</v>
      </c>
      <c r="R142" s="31">
        <v>21334</v>
      </c>
      <c r="S142" s="31">
        <v>25579</v>
      </c>
      <c r="T142" s="31">
        <v>25620</v>
      </c>
      <c r="U142" s="31">
        <v>21212</v>
      </c>
      <c r="V142" s="31">
        <v>32953</v>
      </c>
      <c r="W142" s="31">
        <v>12010</v>
      </c>
      <c r="X142" s="31">
        <v>12161</v>
      </c>
      <c r="Y142" s="31">
        <v>33311</v>
      </c>
      <c r="Z142" s="31">
        <v>33341</v>
      </c>
      <c r="AA142" s="31">
        <v>33453</v>
      </c>
      <c r="AB142" s="31">
        <v>33905</v>
      </c>
      <c r="AC142" s="31">
        <v>32697</v>
      </c>
      <c r="AD142" s="31">
        <v>11241</v>
      </c>
      <c r="AE142" s="31">
        <v>11204</v>
      </c>
      <c r="AF142" s="31">
        <v>11418</v>
      </c>
      <c r="AG142" s="31">
        <v>7863</v>
      </c>
      <c r="AH142" s="31">
        <v>7863</v>
      </c>
      <c r="AI142" s="31">
        <v>7863</v>
      </c>
      <c r="AJ142" s="31">
        <v>7863</v>
      </c>
      <c r="AK142" s="31">
        <v>4537</v>
      </c>
      <c r="AL142" s="31">
        <v>4537</v>
      </c>
      <c r="AM142" s="31">
        <v>4537</v>
      </c>
      <c r="AN142" s="31">
        <v>4537</v>
      </c>
      <c r="AO142" s="31">
        <v>5319</v>
      </c>
      <c r="AP142" s="31">
        <v>5309</v>
      </c>
      <c r="AQ142" s="31">
        <v>5309</v>
      </c>
      <c r="AR142" s="31">
        <v>7708</v>
      </c>
      <c r="AS142" s="31">
        <v>4004</v>
      </c>
      <c r="AT142" s="31">
        <v>4442</v>
      </c>
      <c r="AU142" s="31">
        <v>3037</v>
      </c>
      <c r="AV142" s="31">
        <v>2965</v>
      </c>
      <c r="AW142" s="31">
        <v>4333</v>
      </c>
      <c r="AX142" s="31">
        <v>4443</v>
      </c>
      <c r="AY142" s="31">
        <v>2038</v>
      </c>
      <c r="AZ142" s="31">
        <v>0</v>
      </c>
      <c r="BA142" s="31">
        <v>0</v>
      </c>
      <c r="BB142" s="31" t="s">
        <v>165</v>
      </c>
      <c r="BC142" s="31">
        <v>20216.239000000001</v>
      </c>
      <c r="BD142" s="31">
        <v>20216.239000000001</v>
      </c>
      <c r="BE142" s="31">
        <v>20854.393</v>
      </c>
      <c r="BF142" s="31">
        <v>21527.514999999999</v>
      </c>
      <c r="BG142" s="31">
        <v>21527.514999999999</v>
      </c>
      <c r="BH142" s="31">
        <v>23590.403999999999</v>
      </c>
      <c r="BI142" s="31">
        <v>25890.523000000001</v>
      </c>
      <c r="BJ142" s="31" t="s">
        <v>165</v>
      </c>
      <c r="BK142" s="31" t="s">
        <v>165</v>
      </c>
      <c r="BL142" s="31" t="s">
        <v>165</v>
      </c>
      <c r="BM142" s="31" t="s">
        <v>165</v>
      </c>
      <c r="BN142" s="31" t="s">
        <v>165</v>
      </c>
      <c r="BO142" s="31" t="s">
        <v>165</v>
      </c>
      <c r="BP142" s="31" t="s">
        <v>165</v>
      </c>
      <c r="BQ142" s="31" t="s">
        <v>165</v>
      </c>
      <c r="BR142" s="31" t="s">
        <v>165</v>
      </c>
      <c r="BS142" s="31" t="s">
        <v>165</v>
      </c>
      <c r="BT142" s="31" t="s">
        <v>165</v>
      </c>
      <c r="BU142" s="31" t="s">
        <v>165</v>
      </c>
      <c r="BV142" s="31" t="s">
        <v>165</v>
      </c>
      <c r="BW142" s="31" t="s">
        <v>165</v>
      </c>
      <c r="BX142" s="31" t="s">
        <v>165</v>
      </c>
      <c r="BY142" s="31" t="s">
        <v>165</v>
      </c>
      <c r="BZ142" s="31" t="s">
        <v>165</v>
      </c>
      <c r="CA142" s="31" t="s">
        <v>165</v>
      </c>
      <c r="CB142" s="31" t="s">
        <v>165</v>
      </c>
      <c r="CC142" s="31" t="s">
        <v>165</v>
      </c>
      <c r="CD142" s="31" t="s">
        <v>165</v>
      </c>
      <c r="CE142" s="31" t="s">
        <v>165</v>
      </c>
      <c r="CG142" s="15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</row>
    <row r="143" spans="1:106" outlineLevel="2" x14ac:dyDescent="0.2">
      <c r="A143" s="14">
        <v>1</v>
      </c>
      <c r="C143" s="9" t="str">
        <f>"        Liabilities Held for Sale/Discontinued Operations, Non-Current"</f>
        <v xml:space="preserve">        Liabilities Held for Sale/Discontinued Operations, Non-Current</v>
      </c>
      <c r="D143" s="17" t="e">
        <f t="shared" si="32"/>
        <v>#DIV/0!</v>
      </c>
      <c r="E143" s="17" t="e">
        <f t="shared" si="33"/>
        <v>#DIV/0!</v>
      </c>
      <c r="F143" s="17" t="e">
        <f t="shared" si="34"/>
        <v>#DIV/0!</v>
      </c>
      <c r="G143" s="17" t="e">
        <f t="shared" si="35"/>
        <v>#DIV/0!</v>
      </c>
      <c r="H143" s="17" t="e">
        <f t="shared" si="36"/>
        <v>#DIV/0!</v>
      </c>
      <c r="I143" s="17" t="e">
        <f t="shared" si="37"/>
        <v>#DIV/0!</v>
      </c>
      <c r="J143" s="17" t="e">
        <f t="shared" si="38"/>
        <v>#DIV/0!</v>
      </c>
      <c r="K143" s="18" t="e">
        <f t="shared" si="39"/>
        <v>#DIV/0!</v>
      </c>
      <c r="L143" s="21"/>
      <c r="M143" s="21" t="s">
        <v>165</v>
      </c>
      <c r="N143" s="21">
        <v>0</v>
      </c>
      <c r="O143" s="21">
        <v>1149.5</v>
      </c>
      <c r="P143" s="21" t="e">
        <v>#DIV/0!</v>
      </c>
      <c r="Q143" s="21" t="e">
        <v>#DIV/0!</v>
      </c>
      <c r="R143" s="21" t="s">
        <v>165</v>
      </c>
      <c r="S143" s="21" t="s">
        <v>165</v>
      </c>
      <c r="T143" s="21" t="s">
        <v>165</v>
      </c>
      <c r="U143" s="21" t="s">
        <v>165</v>
      </c>
      <c r="V143" s="21" t="s">
        <v>165</v>
      </c>
      <c r="W143" s="21" t="s">
        <v>165</v>
      </c>
      <c r="X143" s="21" t="s">
        <v>165</v>
      </c>
      <c r="Y143" s="21" t="s">
        <v>165</v>
      </c>
      <c r="Z143" s="21" t="s">
        <v>165</v>
      </c>
      <c r="AA143" s="21" t="s">
        <v>165</v>
      </c>
      <c r="AB143" s="21" t="s">
        <v>165</v>
      </c>
      <c r="AC143" s="21" t="s">
        <v>165</v>
      </c>
      <c r="AD143" s="21" t="s">
        <v>165</v>
      </c>
      <c r="AE143" s="21" t="s">
        <v>165</v>
      </c>
      <c r="AF143" s="21" t="s">
        <v>165</v>
      </c>
      <c r="AG143" s="21" t="s">
        <v>165</v>
      </c>
      <c r="AH143" s="21" t="s">
        <v>165</v>
      </c>
      <c r="AI143" s="21" t="s">
        <v>165</v>
      </c>
      <c r="AJ143" s="21" t="s">
        <v>165</v>
      </c>
      <c r="AK143" s="21" t="s">
        <v>165</v>
      </c>
      <c r="AL143" s="21" t="s">
        <v>165</v>
      </c>
      <c r="AM143" s="21" t="s">
        <v>165</v>
      </c>
      <c r="AN143" s="21" t="s">
        <v>165</v>
      </c>
      <c r="AO143" s="21" t="s">
        <v>165</v>
      </c>
      <c r="AP143" s="21" t="s">
        <v>165</v>
      </c>
      <c r="AQ143" s="21" t="s">
        <v>165</v>
      </c>
      <c r="AR143" s="21" t="s">
        <v>165</v>
      </c>
      <c r="AS143" s="21" t="s">
        <v>165</v>
      </c>
      <c r="AT143" s="21" t="s">
        <v>165</v>
      </c>
      <c r="AU143" s="21" t="s">
        <v>165</v>
      </c>
      <c r="AV143" s="21" t="s">
        <v>165</v>
      </c>
      <c r="AW143" s="21" t="s">
        <v>165</v>
      </c>
      <c r="AX143" s="21" t="s">
        <v>165</v>
      </c>
      <c r="AY143" s="21" t="s">
        <v>165</v>
      </c>
      <c r="AZ143" s="21" t="s">
        <v>165</v>
      </c>
      <c r="BA143" s="21" t="s">
        <v>165</v>
      </c>
      <c r="BB143" s="21" t="s">
        <v>165</v>
      </c>
      <c r="BC143" s="21" t="s">
        <v>165</v>
      </c>
      <c r="BD143" s="21" t="s">
        <v>165</v>
      </c>
      <c r="BE143" s="21" t="s">
        <v>165</v>
      </c>
      <c r="BF143" s="21" t="s">
        <v>165</v>
      </c>
      <c r="BG143" s="21" t="s">
        <v>165</v>
      </c>
      <c r="BH143" s="21" t="s">
        <v>165</v>
      </c>
      <c r="BI143" s="21" t="s">
        <v>165</v>
      </c>
      <c r="BJ143" s="21" t="s">
        <v>165</v>
      </c>
      <c r="BK143" s="21" t="s">
        <v>165</v>
      </c>
      <c r="BL143" s="21" t="s">
        <v>165</v>
      </c>
      <c r="BM143" s="21" t="s">
        <v>165</v>
      </c>
      <c r="BN143" s="21" t="s">
        <v>165</v>
      </c>
      <c r="BO143" s="21" t="s">
        <v>165</v>
      </c>
      <c r="BP143" s="21" t="s">
        <v>165</v>
      </c>
      <c r="BQ143" s="21" t="s">
        <v>165</v>
      </c>
      <c r="BR143" s="21" t="s">
        <v>165</v>
      </c>
      <c r="BS143" s="21" t="s">
        <v>165</v>
      </c>
      <c r="BT143" s="21" t="s">
        <v>165</v>
      </c>
      <c r="BU143" s="21" t="s">
        <v>165</v>
      </c>
      <c r="BV143" s="21" t="s">
        <v>165</v>
      </c>
      <c r="BW143" s="21" t="s">
        <v>165</v>
      </c>
      <c r="BX143" s="21" t="s">
        <v>165</v>
      </c>
      <c r="BY143" s="21" t="s">
        <v>165</v>
      </c>
      <c r="BZ143" s="21" t="s">
        <v>165</v>
      </c>
      <c r="CA143" s="21" t="s">
        <v>165</v>
      </c>
      <c r="CB143" s="21" t="s">
        <v>165</v>
      </c>
      <c r="CC143" s="21" t="s">
        <v>165</v>
      </c>
      <c r="CD143" s="21" t="s">
        <v>165</v>
      </c>
      <c r="CE143" s="21" t="s">
        <v>165</v>
      </c>
      <c r="CG143" s="15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</row>
    <row r="144" spans="1:106" outlineLevel="2" x14ac:dyDescent="0.2">
      <c r="A144" s="14">
        <v>1</v>
      </c>
      <c r="C144" s="9" t="str">
        <f>"        Other Non-Current Liabilities"</f>
        <v xml:space="preserve">        Other Non-Current Liabilities</v>
      </c>
      <c r="D144" s="17">
        <f t="shared" si="32"/>
        <v>10712.5</v>
      </c>
      <c r="E144" s="17">
        <f t="shared" si="33"/>
        <v>12083.93323529412</v>
      </c>
      <c r="F144" s="17">
        <f t="shared" si="34"/>
        <v>7332.3680000000004</v>
      </c>
      <c r="G144" s="17">
        <f t="shared" si="35"/>
        <v>30084.821</v>
      </c>
      <c r="H144" s="17">
        <f t="shared" si="36"/>
        <v>9447.0707500000008</v>
      </c>
      <c r="I144" s="17">
        <f t="shared" si="37"/>
        <v>11793.25</v>
      </c>
      <c r="J144" s="17">
        <f t="shared" si="38"/>
        <v>5165.9665400584536</v>
      </c>
      <c r="K144" s="18">
        <f t="shared" si="39"/>
        <v>0.42750704091693992</v>
      </c>
      <c r="L144" s="21"/>
      <c r="M144" s="21">
        <v>10385</v>
      </c>
      <c r="N144" s="135">
        <v>13742.5</v>
      </c>
      <c r="O144" s="135">
        <v>11313.5</v>
      </c>
      <c r="P144" s="135">
        <v>10672.5</v>
      </c>
      <c r="Q144" s="135">
        <v>9844.75</v>
      </c>
      <c r="R144" s="21">
        <v>7738</v>
      </c>
      <c r="S144" s="21">
        <v>7502</v>
      </c>
      <c r="T144" s="21">
        <v>7352</v>
      </c>
      <c r="U144" s="21">
        <v>9685</v>
      </c>
      <c r="V144" s="21">
        <v>9718</v>
      </c>
      <c r="W144" s="21">
        <v>10641</v>
      </c>
      <c r="X144" s="21">
        <v>10370</v>
      </c>
      <c r="Y144" s="21">
        <v>10396</v>
      </c>
      <c r="Z144" s="21">
        <v>9618</v>
      </c>
      <c r="AA144" s="21">
        <v>10818</v>
      </c>
      <c r="AB144" s="21">
        <v>10706</v>
      </c>
      <c r="AC144" s="21">
        <v>10743</v>
      </c>
      <c r="AD144" s="21">
        <v>11017</v>
      </c>
      <c r="AE144" s="21">
        <v>11029</v>
      </c>
      <c r="AF144" s="21">
        <v>10719</v>
      </c>
      <c r="AG144" s="21">
        <v>11099</v>
      </c>
      <c r="AH144" s="21">
        <v>10996</v>
      </c>
      <c r="AI144" s="21">
        <v>12525</v>
      </c>
      <c r="AJ144" s="21">
        <v>11675</v>
      </c>
      <c r="AK144" s="21">
        <v>10782</v>
      </c>
      <c r="AL144" s="21">
        <v>10977</v>
      </c>
      <c r="AM144" s="21">
        <v>11221</v>
      </c>
      <c r="AN144" s="21">
        <v>10948</v>
      </c>
      <c r="AO144" s="21">
        <v>12331</v>
      </c>
      <c r="AP144" s="21">
        <v>12148</v>
      </c>
      <c r="AQ144" s="21">
        <v>8955</v>
      </c>
      <c r="AR144" s="21">
        <v>8763</v>
      </c>
      <c r="AS144" s="21">
        <v>9406</v>
      </c>
      <c r="AT144" s="21">
        <v>9318</v>
      </c>
      <c r="AU144" s="21">
        <v>7871</v>
      </c>
      <c r="AV144" s="21">
        <v>8557</v>
      </c>
      <c r="AW144" s="21">
        <v>23765</v>
      </c>
      <c r="AX144" s="21">
        <v>26125</v>
      </c>
      <c r="AY144" s="21">
        <v>25675</v>
      </c>
      <c r="AZ144" s="21">
        <v>8633</v>
      </c>
      <c r="BA144" s="21">
        <v>10736.246999999999</v>
      </c>
      <c r="BB144" s="21">
        <v>9577.6560000000009</v>
      </c>
      <c r="BC144" s="21">
        <v>9555.8729999999996</v>
      </c>
      <c r="BD144" s="21">
        <v>9460.7610000000004</v>
      </c>
      <c r="BE144" s="21">
        <v>10544.246999999999</v>
      </c>
      <c r="BF144" s="21">
        <v>10661.003000000001</v>
      </c>
      <c r="BG144" s="21">
        <v>10450.245000000001</v>
      </c>
      <c r="BH144" s="21">
        <v>9074.9050000000007</v>
      </c>
      <c r="BI144" s="21">
        <v>7568.4939999999997</v>
      </c>
      <c r="BJ144" s="21">
        <v>7625.5129999999999</v>
      </c>
      <c r="BK144" s="21">
        <v>7353.143</v>
      </c>
      <c r="BL144" s="21">
        <v>7332.3680000000004</v>
      </c>
      <c r="BM144" s="21">
        <v>30084.821</v>
      </c>
      <c r="BN144" s="21">
        <v>7484.9690000000001</v>
      </c>
      <c r="BO144" s="21">
        <v>7828.625</v>
      </c>
      <c r="BP144" s="21">
        <v>11062.459000000001</v>
      </c>
      <c r="BQ144" s="21">
        <v>13084.031999999999</v>
      </c>
      <c r="BR144" s="21">
        <v>13400.626</v>
      </c>
      <c r="BS144" s="21">
        <v>16499.048999999999</v>
      </c>
      <c r="BT144" s="21">
        <v>17292.848000000002</v>
      </c>
      <c r="BU144" s="21">
        <v>19818.746999999999</v>
      </c>
      <c r="BV144" s="21">
        <v>16804.754000000001</v>
      </c>
      <c r="BW144" s="21">
        <v>19251.589</v>
      </c>
      <c r="BX144" s="21">
        <v>21918.797999999999</v>
      </c>
      <c r="BY144" s="21">
        <v>10535.221</v>
      </c>
      <c r="BZ144" s="21">
        <v>10735.221</v>
      </c>
      <c r="CA144" s="21">
        <v>10735.221</v>
      </c>
      <c r="CB144" s="21">
        <v>29449.775000000001</v>
      </c>
      <c r="CC144" s="21" t="s">
        <v>165</v>
      </c>
      <c r="CD144" s="21" t="s">
        <v>165</v>
      </c>
      <c r="CE144" s="21" t="s">
        <v>165</v>
      </c>
      <c r="CG144" s="15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</row>
    <row r="145" spans="1:106" outlineLevel="2" x14ac:dyDescent="0.2">
      <c r="A145" s="14">
        <v>1</v>
      </c>
      <c r="C145" s="10" t="str">
        <f>"        Total Non-Current Liabilities"</f>
        <v xml:space="preserve">        Total Non-Current Liabilities</v>
      </c>
      <c r="D145" s="29">
        <f t="shared" si="32"/>
        <v>91880.5</v>
      </c>
      <c r="E145" s="29">
        <f t="shared" si="33"/>
        <v>108720.93771428573</v>
      </c>
      <c r="F145" s="29">
        <f t="shared" si="34"/>
        <v>340</v>
      </c>
      <c r="G145" s="29">
        <f t="shared" si="35"/>
        <v>318440</v>
      </c>
      <c r="H145" s="29">
        <f t="shared" si="36"/>
        <v>55984.291249999995</v>
      </c>
      <c r="I145" s="29">
        <f t="shared" si="37"/>
        <v>152914.73324999999</v>
      </c>
      <c r="J145" s="29">
        <f t="shared" si="38"/>
        <v>71501.001457551232</v>
      </c>
      <c r="K145" s="30">
        <f t="shared" si="39"/>
        <v>0.65765622483364705</v>
      </c>
      <c r="L145" s="31"/>
      <c r="M145" s="31">
        <v>48013</v>
      </c>
      <c r="N145" s="133">
        <v>53259.5</v>
      </c>
      <c r="O145" s="133">
        <v>149901.5</v>
      </c>
      <c r="P145" s="133">
        <v>201896.75</v>
      </c>
      <c r="Q145" s="133">
        <v>231022</v>
      </c>
      <c r="R145" s="31">
        <v>237064</v>
      </c>
      <c r="S145" s="31">
        <v>192405</v>
      </c>
      <c r="T145" s="31">
        <v>243629</v>
      </c>
      <c r="U145" s="31">
        <v>192887</v>
      </c>
      <c r="V145" s="31">
        <v>230994</v>
      </c>
      <c r="W145" s="31">
        <v>187856</v>
      </c>
      <c r="X145" s="31">
        <v>189095</v>
      </c>
      <c r="Y145" s="31">
        <v>211630</v>
      </c>
      <c r="Z145" s="31">
        <v>212241</v>
      </c>
      <c r="AA145" s="31">
        <v>215018</v>
      </c>
      <c r="AB145" s="31">
        <v>215544</v>
      </c>
      <c r="AC145" s="31">
        <v>318440</v>
      </c>
      <c r="AD145" s="31">
        <v>197258</v>
      </c>
      <c r="AE145" s="31">
        <v>197233</v>
      </c>
      <c r="AF145" s="31">
        <v>122137</v>
      </c>
      <c r="AG145" s="31">
        <v>118962</v>
      </c>
      <c r="AH145" s="31">
        <v>118859</v>
      </c>
      <c r="AI145" s="31">
        <v>120388</v>
      </c>
      <c r="AJ145" s="31">
        <v>63097</v>
      </c>
      <c r="AK145" s="31">
        <v>58878</v>
      </c>
      <c r="AL145" s="31">
        <v>59073</v>
      </c>
      <c r="AM145" s="31">
        <v>59314</v>
      </c>
      <c r="AN145" s="31">
        <v>65485</v>
      </c>
      <c r="AO145" s="31">
        <v>67650</v>
      </c>
      <c r="AP145" s="31">
        <v>67457</v>
      </c>
      <c r="AQ145" s="31">
        <v>64264</v>
      </c>
      <c r="AR145" s="31">
        <v>66471</v>
      </c>
      <c r="AS145" s="31">
        <v>63410</v>
      </c>
      <c r="AT145" s="31">
        <v>93760</v>
      </c>
      <c r="AU145" s="31">
        <v>90908</v>
      </c>
      <c r="AV145" s="31">
        <v>91522</v>
      </c>
      <c r="AW145" s="31">
        <v>108098</v>
      </c>
      <c r="AX145" s="31">
        <v>113137</v>
      </c>
      <c r="AY145" s="31">
        <v>110772</v>
      </c>
      <c r="AZ145" s="31">
        <v>92239</v>
      </c>
      <c r="BA145" s="31">
        <v>94952.149000000005</v>
      </c>
      <c r="BB145" s="31">
        <v>94393.296000000002</v>
      </c>
      <c r="BC145" s="31">
        <v>115177.246</v>
      </c>
      <c r="BD145" s="31">
        <v>148450.98699999999</v>
      </c>
      <c r="BE145" s="31">
        <v>150663.31899999999</v>
      </c>
      <c r="BF145" s="31">
        <v>151783.533</v>
      </c>
      <c r="BG145" s="31">
        <v>152047.212</v>
      </c>
      <c r="BH145" s="31">
        <v>153203.90700000001</v>
      </c>
      <c r="BI145" s="31">
        <v>156339.18400000001</v>
      </c>
      <c r="BJ145" s="31">
        <v>21078.014999999999</v>
      </c>
      <c r="BK145" s="31">
        <v>21250.557000000001</v>
      </c>
      <c r="BL145" s="31">
        <v>21670.185000000001</v>
      </c>
      <c r="BM145" s="31">
        <v>44858.714999999997</v>
      </c>
      <c r="BN145" s="31">
        <v>22682.830999999998</v>
      </c>
      <c r="BO145" s="31">
        <v>23443.654999999999</v>
      </c>
      <c r="BP145" s="31">
        <v>27090.883000000002</v>
      </c>
      <c r="BQ145" s="31">
        <v>29522.241999999998</v>
      </c>
      <c r="BR145" s="31">
        <v>49125.688000000002</v>
      </c>
      <c r="BS145" s="31">
        <v>53306.392999999996</v>
      </c>
      <c r="BT145" s="31">
        <v>55162.894</v>
      </c>
      <c r="BU145" s="31">
        <v>58724.591</v>
      </c>
      <c r="BV145" s="31">
        <v>56731.502</v>
      </c>
      <c r="BW145" s="31">
        <v>60178.822999999997</v>
      </c>
      <c r="BX145" s="31">
        <v>64826.52</v>
      </c>
      <c r="BY145" s="31">
        <v>55535.220999999998</v>
      </c>
      <c r="BZ145" s="31">
        <v>55735.220999999998</v>
      </c>
      <c r="CA145" s="31">
        <v>55735.220999999998</v>
      </c>
      <c r="CB145" s="31">
        <v>74449.774999999994</v>
      </c>
      <c r="CC145" s="31" t="s">
        <v>165</v>
      </c>
      <c r="CD145" s="31">
        <v>738.125</v>
      </c>
      <c r="CE145" s="31">
        <v>340</v>
      </c>
      <c r="CG145" s="15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</row>
    <row r="146" spans="1:106" outlineLevel="1" x14ac:dyDescent="0.2">
      <c r="A146" s="14">
        <v>1</v>
      </c>
      <c r="C146" s="91" t="str">
        <f>"    Total Liabilities"</f>
        <v xml:space="preserve">    Total Liabilities</v>
      </c>
      <c r="D146" s="29">
        <f t="shared" si="32"/>
        <v>174406.25</v>
      </c>
      <c r="E146" s="29">
        <f t="shared" si="33"/>
        <v>177472.45229577459</v>
      </c>
      <c r="F146" s="29">
        <f t="shared" si="34"/>
        <v>374.041</v>
      </c>
      <c r="G146" s="29">
        <f t="shared" si="35"/>
        <v>418832</v>
      </c>
      <c r="H146" s="29">
        <f t="shared" si="36"/>
        <v>84661.929499999998</v>
      </c>
      <c r="I146" s="29">
        <f t="shared" si="37"/>
        <v>217763.663</v>
      </c>
      <c r="J146" s="29">
        <f t="shared" si="38"/>
        <v>103743.61169400677</v>
      </c>
      <c r="K146" s="30">
        <f t="shared" si="39"/>
        <v>0.58456177481059568</v>
      </c>
      <c r="L146" s="29"/>
      <c r="M146" s="29">
        <v>136962</v>
      </c>
      <c r="N146" s="29">
        <v>174406.25</v>
      </c>
      <c r="O146" s="29">
        <v>273839</v>
      </c>
      <c r="P146" s="29">
        <v>338709.75</v>
      </c>
      <c r="Q146" s="29">
        <v>327729.5</v>
      </c>
      <c r="R146" s="29">
        <v>418832</v>
      </c>
      <c r="S146" s="29">
        <v>387477</v>
      </c>
      <c r="T146" s="29">
        <v>394874</v>
      </c>
      <c r="U146" s="29">
        <v>327425</v>
      </c>
      <c r="V146" s="29">
        <v>351759</v>
      </c>
      <c r="W146" s="29">
        <v>314322</v>
      </c>
      <c r="X146" s="29">
        <v>311687</v>
      </c>
      <c r="Y146" s="29">
        <v>312519</v>
      </c>
      <c r="Z146" s="29">
        <v>298485</v>
      </c>
      <c r="AA146" s="29">
        <v>304097</v>
      </c>
      <c r="AB146" s="29">
        <v>296555</v>
      </c>
      <c r="AC146" s="29">
        <v>377640</v>
      </c>
      <c r="AD146" s="29">
        <v>256277</v>
      </c>
      <c r="AE146" s="29">
        <v>282796</v>
      </c>
      <c r="AF146" s="29">
        <v>214680</v>
      </c>
      <c r="AG146" s="29">
        <v>207179</v>
      </c>
      <c r="AH146" s="29">
        <v>211499</v>
      </c>
      <c r="AI146" s="29">
        <v>204282</v>
      </c>
      <c r="AJ146" s="29">
        <v>145690</v>
      </c>
      <c r="AK146" s="29">
        <v>126927</v>
      </c>
      <c r="AL146" s="29">
        <v>129775</v>
      </c>
      <c r="AM146" s="29">
        <v>140791</v>
      </c>
      <c r="AN146" s="29">
        <v>148830</v>
      </c>
      <c r="AO146" s="29">
        <v>136824</v>
      </c>
      <c r="AP146" s="29">
        <v>175794</v>
      </c>
      <c r="AQ146" s="29">
        <v>176580</v>
      </c>
      <c r="AR146" s="29">
        <v>188765</v>
      </c>
      <c r="AS146" s="29">
        <v>156139</v>
      </c>
      <c r="AT146" s="29">
        <v>168664</v>
      </c>
      <c r="AU146" s="29">
        <v>176010</v>
      </c>
      <c r="AV146" s="29">
        <v>188474</v>
      </c>
      <c r="AW146" s="29">
        <v>168294</v>
      </c>
      <c r="AX146" s="29">
        <v>182215</v>
      </c>
      <c r="AY146" s="29">
        <v>188518</v>
      </c>
      <c r="AZ146" s="29">
        <v>159605</v>
      </c>
      <c r="BA146" s="29">
        <v>148094.94099999999</v>
      </c>
      <c r="BB146" s="29">
        <v>152457.326</v>
      </c>
      <c r="BC146" s="29">
        <v>185077.12299999999</v>
      </c>
      <c r="BD146" s="29">
        <v>211900.04300000001</v>
      </c>
      <c r="BE146" s="29">
        <v>220071.79199999999</v>
      </c>
      <c r="BF146" s="29">
        <v>215455.53400000001</v>
      </c>
      <c r="BG146" s="29">
        <v>213017.68299999999</v>
      </c>
      <c r="BH146" s="29">
        <v>209152.22899999999</v>
      </c>
      <c r="BI146" s="29">
        <v>199120.234</v>
      </c>
      <c r="BJ146" s="29">
        <v>55020.733</v>
      </c>
      <c r="BK146" s="29">
        <v>54581.862000000001</v>
      </c>
      <c r="BL146" s="29">
        <v>53364.887000000002</v>
      </c>
      <c r="BM146" s="29">
        <v>73070.413</v>
      </c>
      <c r="BN146" s="29">
        <v>53762.36</v>
      </c>
      <c r="BO146" s="29">
        <v>51461.574999999997</v>
      </c>
      <c r="BP146" s="29">
        <v>54901.169000000002</v>
      </c>
      <c r="BQ146" s="29">
        <v>55381.963000000003</v>
      </c>
      <c r="BR146" s="29">
        <v>75527.201000000001</v>
      </c>
      <c r="BS146" s="29">
        <v>76972.726999999999</v>
      </c>
      <c r="BT146" s="29">
        <v>85034.635999999999</v>
      </c>
      <c r="BU146" s="29">
        <v>83719.357000000004</v>
      </c>
      <c r="BV146" s="29">
        <v>84973.877999999997</v>
      </c>
      <c r="BW146" s="29">
        <v>84349.981</v>
      </c>
      <c r="BX146" s="29">
        <v>91502.846000000005</v>
      </c>
      <c r="BY146" s="29">
        <v>74842.350000000006</v>
      </c>
      <c r="BZ146" s="29">
        <v>77894.953999999998</v>
      </c>
      <c r="CA146" s="29">
        <v>77846.051999999996</v>
      </c>
      <c r="CB146" s="29">
        <v>97599.626999999993</v>
      </c>
      <c r="CC146" s="29">
        <v>1228.857</v>
      </c>
      <c r="CD146" s="29">
        <v>859.23900000000003</v>
      </c>
      <c r="CE146" s="29">
        <v>374.041</v>
      </c>
      <c r="CG146" s="15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</row>
    <row r="147" spans="1:106" x14ac:dyDescent="0.2">
      <c r="A147" s="14">
        <v>1</v>
      </c>
      <c r="C147" s="91" t="str">
        <f>IF(SUBTOTAL(109,A147)=A147,"Equity","Total Equity")</f>
        <v>Equity</v>
      </c>
      <c r="D147" s="27" t="str">
        <f t="shared" si="32"/>
        <v/>
      </c>
      <c r="E147" s="27" t="str">
        <f t="shared" si="33"/>
        <v/>
      </c>
      <c r="F147" s="27" t="str">
        <f t="shared" si="34"/>
        <v/>
      </c>
      <c r="G147" s="27" t="str">
        <f t="shared" si="35"/>
        <v/>
      </c>
      <c r="H147" s="27" t="str">
        <f t="shared" si="36"/>
        <v/>
      </c>
      <c r="I147" s="27" t="str">
        <f t="shared" si="37"/>
        <v/>
      </c>
      <c r="J147" s="27" t="str">
        <f t="shared" si="38"/>
        <v/>
      </c>
      <c r="K147" s="28" t="str">
        <f t="shared" si="39"/>
        <v/>
      </c>
      <c r="L147" s="27"/>
      <c r="M147" s="27" t="str">
        <f>IF(SUBTOTAL(109,A147)=A147,"",360514)</f>
        <v/>
      </c>
      <c r="N147" s="27"/>
      <c r="O147" s="27"/>
      <c r="P147" s="27"/>
      <c r="Q147" s="27"/>
      <c r="R147" s="27" t="str">
        <f>IF(SUBTOTAL(109,A147)=A147,"",397431)</f>
        <v/>
      </c>
      <c r="S147" s="27" t="str">
        <f>IF(SUBTOTAL(109,A147)=A147,"",390645)</f>
        <v/>
      </c>
      <c r="T147" s="27" t="str">
        <f>IF(SUBTOTAL(109,A147)=A147,"",393162)</f>
        <v/>
      </c>
      <c r="U147" s="27" t="str">
        <f>IF(SUBTOTAL(109,A147)=A147,"",412295)</f>
        <v/>
      </c>
      <c r="V147" s="27" t="str">
        <f>IF(SUBTOTAL(109,A147)=A147,"",376497)</f>
        <v/>
      </c>
      <c r="W147" s="27" t="str">
        <f>IF(SUBTOTAL(109,A147)=A147,"",340361)</f>
        <v/>
      </c>
      <c r="X147" s="27" t="str">
        <f>IF(SUBTOTAL(109,A147)=A147,"",307816)</f>
        <v/>
      </c>
      <c r="Y147" s="27" t="str">
        <f>IF(SUBTOTAL(109,A147)=A147,"",264511)</f>
        <v/>
      </c>
      <c r="Z147" s="27" t="str">
        <f>IF(SUBTOTAL(109,A147)=A147,"",225331)</f>
        <v/>
      </c>
      <c r="AA147" s="27" t="str">
        <f>IF(SUBTOTAL(109,A147)=A147,"",209998)</f>
        <v/>
      </c>
      <c r="AB147" s="27" t="str">
        <f>IF(SUBTOTAL(109,A147)=A147,"",194370)</f>
        <v/>
      </c>
      <c r="AC147" s="27" t="str">
        <f>IF(SUBTOTAL(109,A147)=A147,"",169577)</f>
        <v/>
      </c>
      <c r="AD147" s="27" t="str">
        <f>IF(SUBTOTAL(109,A147)=A147,"",159712)</f>
        <v/>
      </c>
      <c r="AE147" s="27" t="str">
        <f>IF(SUBTOTAL(109,A147)=A147,"",152959)</f>
        <v/>
      </c>
      <c r="AF147" s="27" t="str">
        <f>IF(SUBTOTAL(109,A147)=A147,"",166823)</f>
        <v/>
      </c>
      <c r="AG147" s="27" t="str">
        <f>IF(SUBTOTAL(109,A147)=A147,"",138923)</f>
        <v/>
      </c>
      <c r="AH147" s="27" t="str">
        <f>IF(SUBTOTAL(109,A147)=A147,"",130981)</f>
        <v/>
      </c>
      <c r="AI147" s="27" t="str">
        <f>IF(SUBTOTAL(109,A147)=A147,"",194589)</f>
        <v/>
      </c>
      <c r="AJ147" s="27" t="str">
        <f>IF(SUBTOTAL(109,A147)=A147,"",181299)</f>
        <v/>
      </c>
      <c r="AK147" s="27" t="str">
        <f>IF(SUBTOTAL(109,A147)=A147,"",154614)</f>
        <v/>
      </c>
      <c r="AL147" s="27" t="str">
        <f>IF(SUBTOTAL(109,A147)=A147,"",158834)</f>
        <v/>
      </c>
      <c r="AM147" s="27" t="str">
        <f>IF(SUBTOTAL(109,A147)=A147,"",132144)</f>
        <v/>
      </c>
      <c r="AN147" s="27" t="str">
        <f>IF(SUBTOTAL(109,A147)=A147,"",112844)</f>
        <v/>
      </c>
      <c r="AO147" s="27" t="str">
        <f>IF(SUBTOTAL(109,A147)=A147,"",100969)</f>
        <v/>
      </c>
      <c r="AP147" s="27" t="str">
        <f>IF(SUBTOTAL(109,A147)=A147,"",95869)</f>
        <v/>
      </c>
      <c r="AQ147" s="27" t="str">
        <f>IF(SUBTOTAL(109,A147)=A147,"",96392)</f>
        <v/>
      </c>
      <c r="AR147" s="27" t="str">
        <f>IF(SUBTOTAL(109,A147)=A147,"",92732)</f>
        <v/>
      </c>
      <c r="AS147" s="27" t="str">
        <f>IF(SUBTOTAL(109,A147)=A147,"",93206)</f>
        <v/>
      </c>
      <c r="AT147" s="27" t="str">
        <f>IF(SUBTOTAL(109,A147)=A147,"",146034)</f>
        <v/>
      </c>
      <c r="AU147" s="27" t="str">
        <f>IF(SUBTOTAL(109,A147)=A147,"",167091)</f>
        <v/>
      </c>
      <c r="AV147" s="27" t="str">
        <f>IF(SUBTOTAL(109,A147)=A147,"",160577)</f>
        <v/>
      </c>
      <c r="AW147" s="27" t="str">
        <f>IF(SUBTOTAL(109,A147)=A147,"",155059)</f>
        <v/>
      </c>
      <c r="AX147" s="27" t="str">
        <f>IF(SUBTOTAL(109,A147)=A147,"",151419)</f>
        <v/>
      </c>
      <c r="AY147" s="27" t="str">
        <f>IF(SUBTOTAL(109,A147)=A147,"",136417)</f>
        <v/>
      </c>
      <c r="AZ147" s="27" t="str">
        <f>IF(SUBTOTAL(109,A147)=A147,"",50626)</f>
        <v/>
      </c>
      <c r="BA147" s="27" t="str">
        <f>IF(SUBTOTAL(109,A147)=A147,"",41023.435)</f>
        <v/>
      </c>
      <c r="BB147" s="27" t="str">
        <f>IF(SUBTOTAL(109,A147)=A147,"",37939.143)</f>
        <v/>
      </c>
      <c r="BC147" s="27" t="str">
        <f>IF(SUBTOTAL(109,A147)=A147,"",113148.874)</f>
        <v/>
      </c>
      <c r="BD147" s="27" t="str">
        <f>IF(SUBTOTAL(109,A147)=A147,"",77850.529)</f>
        <v/>
      </c>
      <c r="BE147" s="27" t="str">
        <f>IF(SUBTOTAL(109,A147)=A147,"",72297.522)</f>
        <v/>
      </c>
      <c r="BF147" s="27" t="str">
        <f>IF(SUBTOTAL(109,A147)=A147,"",72998.48)</f>
        <v/>
      </c>
      <c r="BG147" s="27" t="str">
        <f>IF(SUBTOTAL(109,A147)=A147,"",65962.627)</f>
        <v/>
      </c>
      <c r="BH147" s="27" t="str">
        <f>IF(SUBTOTAL(109,A147)=A147,"",59105.199)</f>
        <v/>
      </c>
      <c r="BI147" s="27" t="str">
        <f>IF(SUBTOTAL(109,A147)=A147,"",52364.763)</f>
        <v/>
      </c>
      <c r="BJ147" s="27" t="str">
        <f>IF(SUBTOTAL(109,A147)=A147,"",49793.073)</f>
        <v/>
      </c>
      <c r="BK147" s="27" t="str">
        <f>IF(SUBTOTAL(109,A147)=A147,"",46131.319)</f>
        <v/>
      </c>
      <c r="BL147" s="27" t="str">
        <f>IF(SUBTOTAL(109,A147)=A147,"",41332.748)</f>
        <v/>
      </c>
      <c r="BM147" s="27" t="str">
        <f>IF(SUBTOTAL(109,A147)=A147,"",11021.505)</f>
        <v/>
      </c>
      <c r="BN147" s="27" t="str">
        <f>IF(SUBTOTAL(109,A147)=A147,"",32355.138)</f>
        <v/>
      </c>
      <c r="BO147" s="27" t="str">
        <f>IF(SUBTOTAL(109,A147)=A147,"",30432.401)</f>
        <v/>
      </c>
      <c r="BP147" s="27" t="str">
        <f>IF(SUBTOTAL(109,A147)=A147,"",27091.177)</f>
        <v/>
      </c>
      <c r="BQ147" s="27" t="str">
        <f>IF(SUBTOTAL(109,A147)=A147,"",21201.584)</f>
        <v/>
      </c>
      <c r="BR147" s="27" t="str">
        <f>IF(SUBTOTAL(109,A147)=A147,"",21233.544)</f>
        <v/>
      </c>
      <c r="BS147" s="27" t="str">
        <f>IF(SUBTOTAL(109,A147)=A147,"",18428.886)</f>
        <v/>
      </c>
      <c r="BT147" s="27" t="str">
        <f>IF(SUBTOTAL(109,A147)=A147,"",20255.335)</f>
        <v/>
      </c>
      <c r="BU147" s="27" t="str">
        <f>IF(SUBTOTAL(109,A147)=A147,"",14780.508)</f>
        <v/>
      </c>
      <c r="BV147" s="27" t="str">
        <f>IF(SUBTOTAL(109,A147)=A147,"",16460.614)</f>
        <v/>
      </c>
      <c r="BW147" s="27" t="str">
        <f>IF(SUBTOTAL(109,A147)=A147,"",15621.618)</f>
        <v/>
      </c>
      <c r="BX147" s="27" t="str">
        <f>IF(SUBTOTAL(109,A147)=A147,"",15029.843)</f>
        <v/>
      </c>
      <c r="BY147" s="27" t="str">
        <f>IF(SUBTOTAL(109,A147)=A147,"",5256.665)</f>
        <v/>
      </c>
      <c r="BZ147" s="27" t="str">
        <f>IF(SUBTOTAL(109,A147)=A147,"",4959.953)</f>
        <v/>
      </c>
      <c r="CA147" s="27" t="str">
        <f>IF(SUBTOTAL(109,A147)=A147,"",4632.503)</f>
        <v/>
      </c>
      <c r="CB147" s="27" t="str">
        <f>IF(SUBTOTAL(109,A147)=A147,"",-1154.774)</f>
        <v/>
      </c>
      <c r="CC147" s="27" t="str">
        <f>IF(SUBTOTAL(109,A147)=A147,"",-590.64)</f>
        <v/>
      </c>
      <c r="CD147" s="27" t="str">
        <f>IF(SUBTOTAL(109,A147)=A147,"",-316.644)</f>
        <v/>
      </c>
      <c r="CE147" s="27" t="str">
        <f>IF(SUBTOTAL(109,A147)=A147,"",-351.829)</f>
        <v/>
      </c>
      <c r="CG147" s="15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</row>
    <row r="148" spans="1:106" outlineLevel="1" x14ac:dyDescent="0.2">
      <c r="A148" s="14">
        <v>1</v>
      </c>
      <c r="C148" s="9" t="str">
        <f>IF(SUBTOTAL(109,A148)=A148,"    Equity Attributable to Parent Stockholders","    Equity Attributable to Parent Stockholders")</f>
        <v xml:space="preserve">    Equity Attributable to Parent Stockholders</v>
      </c>
      <c r="D148" s="17" t="str">
        <f t="shared" si="32"/>
        <v/>
      </c>
      <c r="E148" s="17" t="str">
        <f t="shared" si="33"/>
        <v/>
      </c>
      <c r="F148" s="17" t="str">
        <f t="shared" si="34"/>
        <v/>
      </c>
      <c r="G148" s="17" t="str">
        <f t="shared" si="35"/>
        <v/>
      </c>
      <c r="H148" s="17" t="str">
        <f t="shared" si="36"/>
        <v/>
      </c>
      <c r="I148" s="17" t="str">
        <f t="shared" si="37"/>
        <v/>
      </c>
      <c r="J148" s="17" t="str">
        <f t="shared" si="38"/>
        <v/>
      </c>
      <c r="K148" s="18" t="str">
        <f t="shared" si="39"/>
        <v/>
      </c>
      <c r="L148" s="21"/>
      <c r="M148" s="21" t="str">
        <f>IF(SUBTOTAL(109,A148)=A148,"",360514)</f>
        <v/>
      </c>
      <c r="N148" s="21"/>
      <c r="O148" s="21"/>
      <c r="P148" s="21"/>
      <c r="Q148" s="21"/>
      <c r="R148" s="21" t="str">
        <f>IF(SUBTOTAL(109,A148)=A148,"",397431)</f>
        <v/>
      </c>
      <c r="S148" s="21" t="str">
        <f>IF(SUBTOTAL(109,A148)=A148,"",390645)</f>
        <v/>
      </c>
      <c r="T148" s="21" t="str">
        <f>IF(SUBTOTAL(109,A148)=A148,"",393162)</f>
        <v/>
      </c>
      <c r="U148" s="21" t="str">
        <f>IF(SUBTOTAL(109,A148)=A148,"",412295)</f>
        <v/>
      </c>
      <c r="V148" s="21" t="str">
        <f>IF(SUBTOTAL(109,A148)=A148,"",376497)</f>
        <v/>
      </c>
      <c r="W148" s="21" t="str">
        <f>IF(SUBTOTAL(109,A148)=A148,"",340361)</f>
        <v/>
      </c>
      <c r="X148" s="21" t="str">
        <f>IF(SUBTOTAL(109,A148)=A148,"",307816)</f>
        <v/>
      </c>
      <c r="Y148" s="21" t="str">
        <f>IF(SUBTOTAL(109,A148)=A148,"",264511)</f>
        <v/>
      </c>
      <c r="Z148" s="21" t="str">
        <f>IF(SUBTOTAL(109,A148)=A148,"",225331)</f>
        <v/>
      </c>
      <c r="AA148" s="21" t="str">
        <f>IF(SUBTOTAL(109,A148)=A148,"",209998)</f>
        <v/>
      </c>
      <c r="AB148" s="21" t="str">
        <f>IF(SUBTOTAL(109,A148)=A148,"",194370)</f>
        <v/>
      </c>
      <c r="AC148" s="21" t="str">
        <f>IF(SUBTOTAL(109,A148)=A148,"",169577)</f>
        <v/>
      </c>
      <c r="AD148" s="21" t="str">
        <f>IF(SUBTOTAL(109,A148)=A148,"",159712)</f>
        <v/>
      </c>
      <c r="AE148" s="21" t="str">
        <f>IF(SUBTOTAL(109,A148)=A148,"",152959)</f>
        <v/>
      </c>
      <c r="AF148" s="21" t="str">
        <f>IF(SUBTOTAL(109,A148)=A148,"",166823)</f>
        <v/>
      </c>
      <c r="AG148" s="21" t="str">
        <f>IF(SUBTOTAL(109,A148)=A148,"",138923)</f>
        <v/>
      </c>
      <c r="AH148" s="21" t="str">
        <f>IF(SUBTOTAL(109,A148)=A148,"",130981)</f>
        <v/>
      </c>
      <c r="AI148" s="21" t="str">
        <f>IF(SUBTOTAL(109,A148)=A148,"",194589)</f>
        <v/>
      </c>
      <c r="AJ148" s="21" t="str">
        <f>IF(SUBTOTAL(109,A148)=A148,"",181299)</f>
        <v/>
      </c>
      <c r="AK148" s="21" t="str">
        <f>IF(SUBTOTAL(109,A148)=A148,"",154614)</f>
        <v/>
      </c>
      <c r="AL148" s="21" t="str">
        <f>IF(SUBTOTAL(109,A148)=A148,"",158834)</f>
        <v/>
      </c>
      <c r="AM148" s="21" t="str">
        <f>IF(SUBTOTAL(109,A148)=A148,"",132144)</f>
        <v/>
      </c>
      <c r="AN148" s="21" t="str">
        <f>IF(SUBTOTAL(109,A148)=A148,"",112844)</f>
        <v/>
      </c>
      <c r="AO148" s="21" t="str">
        <f>IF(SUBTOTAL(109,A148)=A148,"",100969)</f>
        <v/>
      </c>
      <c r="AP148" s="21" t="str">
        <f>IF(SUBTOTAL(109,A148)=A148,"",95869)</f>
        <v/>
      </c>
      <c r="AQ148" s="21" t="str">
        <f>IF(SUBTOTAL(109,A148)=A148,"",96392)</f>
        <v/>
      </c>
      <c r="AR148" s="21" t="str">
        <f>IF(SUBTOTAL(109,A148)=A148,"",92732)</f>
        <v/>
      </c>
      <c r="AS148" s="21" t="str">
        <f>IF(SUBTOTAL(109,A148)=A148,"",93206)</f>
        <v/>
      </c>
      <c r="AT148" s="21" t="str">
        <f>IF(SUBTOTAL(109,A148)=A148,"",146034)</f>
        <v/>
      </c>
      <c r="AU148" s="21" t="str">
        <f>IF(SUBTOTAL(109,A148)=A148,"",167091)</f>
        <v/>
      </c>
      <c r="AV148" s="21" t="str">
        <f>IF(SUBTOTAL(109,A148)=A148,"",160577)</f>
        <v/>
      </c>
      <c r="AW148" s="21" t="str">
        <f>IF(SUBTOTAL(109,A148)=A148,"",155059)</f>
        <v/>
      </c>
      <c r="AX148" s="21" t="str">
        <f>IF(SUBTOTAL(109,A148)=A148,"",151419)</f>
        <v/>
      </c>
      <c r="AY148" s="21" t="str">
        <f>IF(SUBTOTAL(109,A148)=A148,"",136417)</f>
        <v/>
      </c>
      <c r="AZ148" s="21" t="str">
        <f>IF(SUBTOTAL(109,A148)=A148,"",50626)</f>
        <v/>
      </c>
      <c r="BA148" s="21" t="str">
        <f>IF(SUBTOTAL(109,A148)=A148,"",41023.435)</f>
        <v/>
      </c>
      <c r="BB148" s="21" t="str">
        <f>IF(SUBTOTAL(109,A148)=A148,"",37939.143)</f>
        <v/>
      </c>
      <c r="BC148" s="21" t="str">
        <f>IF(SUBTOTAL(109,A148)=A148,"",113148.874)</f>
        <v/>
      </c>
      <c r="BD148" s="21" t="str">
        <f>IF(SUBTOTAL(109,A148)=A148,"",77850.529)</f>
        <v/>
      </c>
      <c r="BE148" s="21" t="str">
        <f>IF(SUBTOTAL(109,A148)=A148,"",72297.522)</f>
        <v/>
      </c>
      <c r="BF148" s="21" t="str">
        <f>IF(SUBTOTAL(109,A148)=A148,"",72998.48)</f>
        <v/>
      </c>
      <c r="BG148" s="21" t="str">
        <f>IF(SUBTOTAL(109,A148)=A148,"",65962.627)</f>
        <v/>
      </c>
      <c r="BH148" s="21" t="str">
        <f>IF(SUBTOTAL(109,A148)=A148,"",59105.199)</f>
        <v/>
      </c>
      <c r="BI148" s="21" t="str">
        <f>IF(SUBTOTAL(109,A148)=A148,"",52364.763)</f>
        <v/>
      </c>
      <c r="BJ148" s="21" t="str">
        <f>IF(SUBTOTAL(109,A148)=A148,"",49793.073)</f>
        <v/>
      </c>
      <c r="BK148" s="21" t="str">
        <f>IF(SUBTOTAL(109,A148)=A148,"",46131.319)</f>
        <v/>
      </c>
      <c r="BL148" s="21" t="str">
        <f>IF(SUBTOTAL(109,A148)=A148,"",41332.748)</f>
        <v/>
      </c>
      <c r="BM148" s="21" t="str">
        <f>IF(SUBTOTAL(109,A148)=A148,"",11021.505)</f>
        <v/>
      </c>
      <c r="BN148" s="21" t="str">
        <f>IF(SUBTOTAL(109,A148)=A148,"",32355.138)</f>
        <v/>
      </c>
      <c r="BO148" s="21" t="str">
        <f>IF(SUBTOTAL(109,A148)=A148,"",30432.401)</f>
        <v/>
      </c>
      <c r="BP148" s="21" t="str">
        <f>IF(SUBTOTAL(109,A148)=A148,"",27091.177)</f>
        <v/>
      </c>
      <c r="BQ148" s="21" t="str">
        <f>IF(SUBTOTAL(109,A148)=A148,"",21201.584)</f>
        <v/>
      </c>
      <c r="BR148" s="21" t="str">
        <f>IF(SUBTOTAL(109,A148)=A148,"",21233.544)</f>
        <v/>
      </c>
      <c r="BS148" s="21" t="str">
        <f>IF(SUBTOTAL(109,A148)=A148,"",18428.886)</f>
        <v/>
      </c>
      <c r="BT148" s="21" t="str">
        <f>IF(SUBTOTAL(109,A148)=A148,"",20255.335)</f>
        <v/>
      </c>
      <c r="BU148" s="21" t="str">
        <f>IF(SUBTOTAL(109,A148)=A148,"",14780.508)</f>
        <v/>
      </c>
      <c r="BV148" s="21" t="str">
        <f>IF(SUBTOTAL(109,A148)=A148,"",16460.614)</f>
        <v/>
      </c>
      <c r="BW148" s="21" t="str">
        <f>IF(SUBTOTAL(109,A148)=A148,"",15621.618)</f>
        <v/>
      </c>
      <c r="BX148" s="21" t="str">
        <f>IF(SUBTOTAL(109,A148)=A148,"",15029.843)</f>
        <v/>
      </c>
      <c r="BY148" s="21" t="str">
        <f>IF(SUBTOTAL(109,A148)=A148,"",5256.665)</f>
        <v/>
      </c>
      <c r="BZ148" s="21" t="str">
        <f>IF(SUBTOTAL(109,A148)=A148,"",4959.953)</f>
        <v/>
      </c>
      <c r="CA148" s="21" t="str">
        <f>IF(SUBTOTAL(109,A148)=A148,"",4632.503)</f>
        <v/>
      </c>
      <c r="CB148" s="21" t="str">
        <f>IF(SUBTOTAL(109,A148)=A148,"",-1154.774)</f>
        <v/>
      </c>
      <c r="CC148" s="21" t="str">
        <f>IF(SUBTOTAL(109,A148)=A148,"",-590.64)</f>
        <v/>
      </c>
      <c r="CD148" s="21" t="str">
        <f>IF(SUBTOTAL(109,A148)=A148,"",-316.644)</f>
        <v/>
      </c>
      <c r="CE148" s="21" t="str">
        <f>IF(SUBTOTAL(109,A148)=A148,"",-351.829)</f>
        <v/>
      </c>
      <c r="CG148" s="15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</row>
    <row r="149" spans="1:106" outlineLevel="2" x14ac:dyDescent="0.2">
      <c r="A149" s="14">
        <v>1</v>
      </c>
      <c r="C149" s="9" t="str">
        <f>IF(SUBTOTAL(109,A149)=A149,"        Paid in Capital","        Paid in Capital")</f>
        <v xml:space="preserve">        Paid in Capital</v>
      </c>
      <c r="D149" s="17" t="str">
        <f t="shared" si="32"/>
        <v/>
      </c>
      <c r="E149" s="17" t="str">
        <f t="shared" si="33"/>
        <v/>
      </c>
      <c r="F149" s="17" t="str">
        <f t="shared" si="34"/>
        <v/>
      </c>
      <c r="G149" s="17" t="str">
        <f t="shared" si="35"/>
        <v/>
      </c>
      <c r="H149" s="17" t="str">
        <f t="shared" si="36"/>
        <v/>
      </c>
      <c r="I149" s="17" t="str">
        <f t="shared" si="37"/>
        <v/>
      </c>
      <c r="J149" s="17" t="str">
        <f t="shared" si="38"/>
        <v/>
      </c>
      <c r="K149" s="18" t="str">
        <f t="shared" si="39"/>
        <v/>
      </c>
      <c r="L149" s="21"/>
      <c r="M149" s="21" t="str">
        <f>IF(SUBTOTAL(109,A149)=A149,"",-144199)</f>
        <v/>
      </c>
      <c r="N149" s="21"/>
      <c r="O149" s="21"/>
      <c r="P149" s="21"/>
      <c r="Q149" s="21"/>
      <c r="R149" s="21" t="str">
        <f>IF(SUBTOTAL(109,A149)=A149,"",26615)</f>
        <v/>
      </c>
      <c r="S149" s="21" t="str">
        <f>IF(SUBTOTAL(109,A149)=A149,"",23289)</f>
        <v/>
      </c>
      <c r="T149" s="21" t="str">
        <f>IF(SUBTOTAL(109,A149)=A149,"",23562)</f>
        <v/>
      </c>
      <c r="U149" s="21" t="str">
        <f>IF(SUBTOTAL(109,A149)=A149,"",70335)</f>
        <v/>
      </c>
      <c r="V149" s="21" t="str">
        <f>IF(SUBTOTAL(109,A149)=A149,"",67957)</f>
        <v/>
      </c>
      <c r="W149" s="21" t="str">
        <f>IF(SUBTOTAL(109,A149)=A149,"",67440)</f>
        <v/>
      </c>
      <c r="X149" s="21" t="str">
        <f>IF(SUBTOTAL(109,A149)=A149,"",67254)</f>
        <v/>
      </c>
      <c r="Y149" s="21" t="str">
        <f>IF(SUBTOTAL(109,A149)=A149,"",59548)</f>
        <v/>
      </c>
      <c r="Z149" s="21" t="str">
        <f>IF(SUBTOTAL(109,A149)=A149,"",51334)</f>
        <v/>
      </c>
      <c r="AA149" s="21" t="str">
        <f>IF(SUBTOTAL(109,A149)=A149,"",48277)</f>
        <v/>
      </c>
      <c r="AB149" s="21" t="str">
        <f>IF(SUBTOTAL(109,A149)=A149,"",46945)</f>
        <v/>
      </c>
      <c r="AC149" s="21" t="str">
        <f>IF(SUBTOTAL(109,A149)=A149,"",44040)</f>
        <v/>
      </c>
      <c r="AD149" s="21" t="str">
        <f>IF(SUBTOTAL(109,A149)=A149,"",42294)</f>
        <v/>
      </c>
      <c r="AE149" s="21" t="str">
        <f>IF(SUBTOTAL(109,A149)=A149,"",40591)</f>
        <v/>
      </c>
      <c r="AF149" s="21" t="str">
        <f>IF(SUBTOTAL(109,A149)=A149,"",69011)</f>
        <v/>
      </c>
      <c r="AG149" s="21" t="str">
        <f>IF(SUBTOTAL(109,A149)=A149,"",66167)</f>
        <v/>
      </c>
      <c r="AH149" s="21" t="str">
        <f>IF(SUBTOTAL(109,A149)=A149,"",79011)</f>
        <v/>
      </c>
      <c r="AI149" s="21" t="str">
        <f>IF(SUBTOTAL(109,A149)=A149,"",159605)</f>
        <v/>
      </c>
      <c r="AJ149" s="21" t="str">
        <f>IF(SUBTOTAL(109,A149)=A149,"",172792)</f>
        <v/>
      </c>
      <c r="AK149" s="21" t="str">
        <f>IF(SUBTOTAL(109,A149)=A149,"",171273)</f>
        <v/>
      </c>
      <c r="AL149" s="21" t="str">
        <f>IF(SUBTOTAL(109,A149)=A149,"",190069)</f>
        <v/>
      </c>
      <c r="AM149" s="21" t="str">
        <f>IF(SUBTOTAL(109,A149)=A149,"",184563)</f>
        <v/>
      </c>
      <c r="AN149" s="21" t="str">
        <f>IF(SUBTOTAL(109,A149)=A149,"",183050)</f>
        <v/>
      </c>
      <c r="AO149" s="21" t="str">
        <f>IF(SUBTOTAL(109,A149)=A149,"",181720)</f>
        <v/>
      </c>
      <c r="AP149" s="21" t="str">
        <f>IF(SUBTOTAL(109,A149)=A149,"",181060)</f>
        <v/>
      </c>
      <c r="AQ149" s="21" t="str">
        <f>IF(SUBTOTAL(109,A149)=A149,"",179990)</f>
        <v/>
      </c>
      <c r="AR149" s="21" t="str">
        <f>IF(SUBTOTAL(109,A149)=A149,"",179043)</f>
        <v/>
      </c>
      <c r="AS149" s="21" t="str">
        <f>IF(SUBTOTAL(109,A149)=A149,"",178735)</f>
        <v/>
      </c>
      <c r="AT149" s="21" t="str">
        <f>IF(SUBTOTAL(109,A149)=A149,"",178727)</f>
        <v/>
      </c>
      <c r="AU149" s="21" t="str">
        <f>IF(SUBTOTAL(109,A149)=A149,"",162500)</f>
        <v/>
      </c>
      <c r="AV149" s="21" t="str">
        <f>IF(SUBTOTAL(109,A149)=A149,"",162197)</f>
        <v/>
      </c>
      <c r="AW149" s="21" t="str">
        <f>IF(SUBTOTAL(109,A149)=A149,"",160931)</f>
        <v/>
      </c>
      <c r="AX149" s="21" t="str">
        <f>IF(SUBTOTAL(109,A149)=A149,"",159671)</f>
        <v/>
      </c>
      <c r="AY149" s="21" t="str">
        <f>IF(SUBTOTAL(109,A149)=A149,"",157975)</f>
        <v/>
      </c>
      <c r="AZ149" s="21" t="str">
        <f>IF(SUBTOTAL(109,A149)=A149,"",84756)</f>
        <v/>
      </c>
      <c r="BA149" s="21" t="str">
        <f>IF(SUBTOTAL(109,A149)=A149,"",82568.891)</f>
        <v/>
      </c>
      <c r="BB149" s="21" t="str">
        <f>IF(SUBTOTAL(109,A149)=A149,"",81839.951)</f>
        <v/>
      </c>
      <c r="BC149" s="21" t="str">
        <f>IF(SUBTOTAL(109,A149)=A149,"",80818.222)</f>
        <v/>
      </c>
      <c r="BD149" s="21" t="str">
        <f>IF(SUBTOTAL(109,A149)=A149,"",47773.552)</f>
        <v/>
      </c>
      <c r="BE149" s="21" t="str">
        <f>IF(SUBTOTAL(109,A149)=A149,"",45516.438)</f>
        <v/>
      </c>
      <c r="BF149" s="21" t="str">
        <f>IF(SUBTOTAL(109,A149)=A149,"",44410.326)</f>
        <v/>
      </c>
      <c r="BG149" s="21" t="str">
        <f>IF(SUBTOTAL(109,A149)=A149,"",40316.273)</f>
        <v/>
      </c>
      <c r="BH149" s="21" t="str">
        <f>IF(SUBTOTAL(109,A149)=A149,"",38054.651)</f>
        <v/>
      </c>
      <c r="BI149" s="21" t="str">
        <f>IF(SUBTOTAL(109,A149)=A149,"",36573.18)</f>
        <v/>
      </c>
      <c r="BJ149" s="21" t="str">
        <f>IF(SUBTOTAL(109,A149)=A149,"",35552.83)</f>
        <v/>
      </c>
      <c r="BK149" s="21" t="str">
        <f>IF(SUBTOTAL(109,A149)=A149,"",34746.04)</f>
        <v/>
      </c>
      <c r="BL149" s="21" t="str">
        <f>IF(SUBTOTAL(109,A149)=A149,"",33316.785)</f>
        <v/>
      </c>
      <c r="BM149" s="21" t="str">
        <f>IF(SUBTOTAL(109,A149)=A149,"",7205.187)</f>
        <v/>
      </c>
      <c r="BN149" s="21" t="str">
        <f>IF(SUBTOTAL(109,A149)=A149,"",29779.452)</f>
        <v/>
      </c>
      <c r="BO149" s="21" t="str">
        <f>IF(SUBTOTAL(109,A149)=A149,"",28430.754)</f>
        <v/>
      </c>
      <c r="BP149" s="21" t="str">
        <f>IF(SUBTOTAL(109,A149)=A149,"",27776.793)</f>
        <v/>
      </c>
      <c r="BQ149" s="21" t="str">
        <f>IF(SUBTOTAL(109,A149)=A149,"",17384.27)</f>
        <v/>
      </c>
      <c r="BR149" s="21" t="str">
        <f>IF(SUBTOTAL(109,A149)=A149,"",17383.572)</f>
        <v/>
      </c>
      <c r="BS149" s="21" t="str">
        <f>IF(SUBTOTAL(109,A149)=A149,"",16822.121)</f>
        <v/>
      </c>
      <c r="BT149" s="21" t="str">
        <f>IF(SUBTOTAL(109,A149)=A149,"",26169.662)</f>
        <v/>
      </c>
      <c r="BU149" s="21" t="str">
        <f>IF(SUBTOTAL(109,A149)=A149,"",16468.121)</f>
        <v/>
      </c>
      <c r="BV149" s="21" t="str">
        <f>IF(SUBTOTAL(109,A149)=A149,"",16449.121)</f>
        <v/>
      </c>
      <c r="BW149" s="21" t="str">
        <f>IF(SUBTOTAL(109,A149)=A149,"",16296.528)</f>
        <v/>
      </c>
      <c r="BX149" s="21" t="str">
        <f>IF(SUBTOTAL(109,A149)=A149,"",16277.728)</f>
        <v/>
      </c>
      <c r="BY149" s="21" t="str">
        <f>IF(SUBTOTAL(109,A149)=A149,"",16683.035)</f>
        <v/>
      </c>
      <c r="BZ149" s="21" t="str">
        <f>IF(SUBTOTAL(109,A149)=A149,"",16618.041)</f>
        <v/>
      </c>
      <c r="CA149" s="21" t="str">
        <f>IF(SUBTOTAL(109,A149)=A149,"",16542.198)</f>
        <v/>
      </c>
      <c r="CB149" s="21" t="str">
        <f>IF(SUBTOTAL(109,A149)=A149,"",15781.198)</f>
        <v/>
      </c>
      <c r="CC149" s="21" t="str">
        <f>IF(SUBTOTAL(109,A149)=A149,"",3822.384)</f>
        <v/>
      </c>
      <c r="CD149" s="21" t="str">
        <f>IF(SUBTOTAL(109,A149)=A149,"",3663.384)</f>
        <v/>
      </c>
      <c r="CE149" s="21" t="str">
        <f>IF(SUBTOTAL(109,A149)=A149,"",1086.129)</f>
        <v/>
      </c>
      <c r="CG149" s="15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</row>
    <row r="150" spans="1:106" outlineLevel="3" x14ac:dyDescent="0.2">
      <c r="A150" s="14">
        <v>1</v>
      </c>
      <c r="C150" s="9" t="str">
        <f>IF(SUBTOTAL(109,A150)=A150,"            Capital Stock","            Capital Stock")</f>
        <v xml:space="preserve">            Capital Stock</v>
      </c>
      <c r="D150" s="17" t="str">
        <f t="shared" si="32"/>
        <v/>
      </c>
      <c r="E150" s="17" t="str">
        <f t="shared" si="33"/>
        <v/>
      </c>
      <c r="F150" s="17" t="str">
        <f t="shared" si="34"/>
        <v/>
      </c>
      <c r="G150" s="17" t="str">
        <f t="shared" si="35"/>
        <v/>
      </c>
      <c r="H150" s="17" t="str">
        <f t="shared" si="36"/>
        <v/>
      </c>
      <c r="I150" s="17" t="str">
        <f t="shared" si="37"/>
        <v/>
      </c>
      <c r="J150" s="17" t="str">
        <f t="shared" si="38"/>
        <v/>
      </c>
      <c r="K150" s="18" t="str">
        <f t="shared" si="39"/>
        <v/>
      </c>
      <c r="L150" s="21"/>
      <c r="M150" s="21" t="str">
        <f>IF(SUBTOTAL(109,A150)=A150,"",278176)</f>
        <v/>
      </c>
      <c r="N150" s="21"/>
      <c r="O150" s="21"/>
      <c r="P150" s="21"/>
      <c r="Q150" s="21"/>
      <c r="R150" s="21" t="str">
        <f>IF(SUBTOTAL(109,A150)=A150,"",248990)</f>
        <v/>
      </c>
      <c r="S150" s="21" t="str">
        <f>IF(SUBTOTAL(109,A150)=A150,"",245664)</f>
        <v/>
      </c>
      <c r="T150" s="21" t="str">
        <f>IF(SUBTOTAL(109,A150)=A150,"",245937)</f>
        <v/>
      </c>
      <c r="U150" s="21" t="str">
        <f>IF(SUBTOTAL(109,A150)=A150,"",242658)</f>
        <v/>
      </c>
      <c r="V150" s="21" t="str">
        <f>IF(SUBTOTAL(109,A150)=A150,"",240280)</f>
        <v/>
      </c>
      <c r="W150" s="21" t="str">
        <f>IF(SUBTOTAL(109,A150)=A150,"",239763)</f>
        <v/>
      </c>
      <c r="X150" s="21" t="str">
        <f>IF(SUBTOTAL(109,A150)=A150,"",239577)</f>
        <v/>
      </c>
      <c r="Y150" s="21" t="str">
        <f>IF(SUBTOTAL(109,A150)=A150,"",231871)</f>
        <v/>
      </c>
      <c r="Z150" s="21" t="str">
        <f>IF(SUBTOTAL(109,A150)=A150,"",223657)</f>
        <v/>
      </c>
      <c r="AA150" s="21" t="str">
        <f>IF(SUBTOTAL(109,A150)=A150,"",220600)</f>
        <v/>
      </c>
      <c r="AB150" s="21" t="str">
        <f>IF(SUBTOTAL(109,A150)=A150,"",219268)</f>
        <v/>
      </c>
      <c r="AC150" s="21" t="str">
        <f>IF(SUBTOTAL(109,A150)=A150,"",216363)</f>
        <v/>
      </c>
      <c r="AD150" s="21" t="str">
        <f>IF(SUBTOTAL(109,A150)=A150,"",214617)</f>
        <v/>
      </c>
      <c r="AE150" s="21" t="str">
        <f>IF(SUBTOTAL(109,A150)=A150,"",212914)</f>
        <v/>
      </c>
      <c r="AF150" s="21" t="str">
        <f>IF(SUBTOTAL(109,A150)=A150,"",211294)</f>
        <v/>
      </c>
      <c r="AG150" s="21" t="str">
        <f>IF(SUBTOTAL(109,A150)=A150,"",208450)</f>
        <v/>
      </c>
      <c r="AH150" s="21" t="str">
        <f>IF(SUBTOTAL(109,A150)=A150,"",206255)</f>
        <v/>
      </c>
      <c r="AI150" s="21" t="str">
        <f>IF(SUBTOTAL(109,A150)=A150,"",201994)</f>
        <v/>
      </c>
      <c r="AJ150" s="21" t="str">
        <f>IF(SUBTOTAL(109,A150)=A150,"",199188)</f>
        <v/>
      </c>
      <c r="AK150" s="21" t="str">
        <f>IF(SUBTOTAL(109,A150)=A150,"",197669)</f>
        <v/>
      </c>
      <c r="AL150" s="21" t="str">
        <f>IF(SUBTOTAL(109,A150)=A150,"",196465)</f>
        <v/>
      </c>
      <c r="AM150" s="21" t="str">
        <f>IF(SUBTOTAL(109,A150)=A150,"",190959)</f>
        <v/>
      </c>
      <c r="AN150" s="21" t="str">
        <f>IF(SUBTOTAL(109,A150)=A150,"",189446)</f>
        <v/>
      </c>
      <c r="AO150" s="21" t="str">
        <f>IF(SUBTOTAL(109,A150)=A150,"",188116)</f>
        <v/>
      </c>
      <c r="AP150" s="21" t="str">
        <f>IF(SUBTOTAL(109,A150)=A150,"",187456)</f>
        <v/>
      </c>
      <c r="AQ150" s="21" t="str">
        <f>IF(SUBTOTAL(109,A150)=A150,"",186386)</f>
        <v/>
      </c>
      <c r="AR150" s="21" t="str">
        <f>IF(SUBTOTAL(109,A150)=A150,"",185439)</f>
        <v/>
      </c>
      <c r="AS150" s="21" t="str">
        <f>IF(SUBTOTAL(109,A150)=A150,"",185131)</f>
        <v/>
      </c>
      <c r="AT150" s="21" t="str">
        <f>IF(SUBTOTAL(109,A150)=A150,"",185123)</f>
        <v/>
      </c>
      <c r="AU150" s="21" t="str">
        <f>IF(SUBTOTAL(109,A150)=A150,"",168896)</f>
        <v/>
      </c>
      <c r="AV150" s="21" t="str">
        <f>IF(SUBTOTAL(109,A150)=A150,"",168593)</f>
        <v/>
      </c>
      <c r="AW150" s="21" t="str">
        <f>IF(SUBTOTAL(109,A150)=A150,"",167327)</f>
        <v/>
      </c>
      <c r="AX150" s="21" t="str">
        <f>IF(SUBTOTAL(109,A150)=A150,"",166067)</f>
        <v/>
      </c>
      <c r="AY150" s="21" t="str">
        <f>IF(SUBTOTAL(109,A150)=A150,"",164371)</f>
        <v/>
      </c>
      <c r="AZ150" s="21" t="str">
        <f>IF(SUBTOTAL(109,A150)=A150,"",91152)</f>
        <v/>
      </c>
      <c r="BA150" s="21" t="str">
        <f>IF(SUBTOTAL(109,A150)=A150,"",88964.891)</f>
        <v/>
      </c>
      <c r="BB150" s="21" t="str">
        <f>IF(SUBTOTAL(109,A150)=A150,"",88235.951)</f>
        <v/>
      </c>
      <c r="BC150" s="21" t="str">
        <f>IF(SUBTOTAL(109,A150)=A150,"",87214.222)</f>
        <v/>
      </c>
      <c r="BD150" s="21" t="str">
        <f>IF(SUBTOTAL(109,A150)=A150,"",54169.552)</f>
        <v/>
      </c>
      <c r="BE150" s="21" t="str">
        <f>IF(SUBTOTAL(109,A150)=A150,"",51912.438)</f>
        <v/>
      </c>
      <c r="BF150" s="21" t="str">
        <f>IF(SUBTOTAL(109,A150)=A150,"",50806.326)</f>
        <v/>
      </c>
      <c r="BG150" s="21" t="str">
        <f>IF(SUBTOTAL(109,A150)=A150,"",46712.273)</f>
        <v/>
      </c>
      <c r="BH150" s="21" t="str">
        <f>IF(SUBTOTAL(109,A150)=A150,"",44450.651)</f>
        <v/>
      </c>
      <c r="BI150" s="21" t="str">
        <f>IF(SUBTOTAL(109,A150)=A150,"",42969.18)</f>
        <v/>
      </c>
      <c r="BJ150" s="21" t="str">
        <f>IF(SUBTOTAL(109,A150)=A150,"",41948.83)</f>
        <v/>
      </c>
      <c r="BK150" s="21" t="str">
        <f>IF(SUBTOTAL(109,A150)=A150,"",34746.04)</f>
        <v/>
      </c>
      <c r="BL150" s="21" t="str">
        <f>IF(SUBTOTAL(109,A150)=A150,"",33316.785)</f>
        <v/>
      </c>
      <c r="BM150" s="21" t="str">
        <f>IF(SUBTOTAL(109,A150)=A150,"",7205.187)</f>
        <v/>
      </c>
      <c r="BN150" s="21" t="str">
        <f>IF(SUBTOTAL(109,A150)=A150,"",29779.452)</f>
        <v/>
      </c>
      <c r="BO150" s="21" t="str">
        <f>IF(SUBTOTAL(109,A150)=A150,"",28430.754)</f>
        <v/>
      </c>
      <c r="BP150" s="21" t="str">
        <f>IF(SUBTOTAL(109,A150)=A150,"",27776.793)</f>
        <v/>
      </c>
      <c r="BQ150" s="21" t="str">
        <f>IF(SUBTOTAL(109,A150)=A150,"",17384.27)</f>
        <v/>
      </c>
      <c r="BR150" s="21" t="str">
        <f>IF(SUBTOTAL(109,A150)=A150,"",17383.572)</f>
        <v/>
      </c>
      <c r="BS150" s="21" t="str">
        <f>IF(SUBTOTAL(109,A150)=A150,"",16822.121)</f>
        <v/>
      </c>
      <c r="BT150" s="21" t="str">
        <f>IF(SUBTOTAL(109,A150)=A150,"",26169.662)</f>
        <v/>
      </c>
      <c r="BU150" s="21" t="str">
        <f>IF(SUBTOTAL(109,A150)=A150,"",16468.121)</f>
        <v/>
      </c>
      <c r="BV150" s="21" t="str">
        <f>IF(SUBTOTAL(109,A150)=A150,"",16449.121)</f>
        <v/>
      </c>
      <c r="BW150" s="21" t="str">
        <f>IF(SUBTOTAL(109,A150)=A150,"",16296.528)</f>
        <v/>
      </c>
      <c r="BX150" s="21" t="str">
        <f>IF(SUBTOTAL(109,A150)=A150,"",16277.728)</f>
        <v/>
      </c>
      <c r="BY150" s="21" t="str">
        <f>IF(SUBTOTAL(109,A150)=A150,"",16683.035)</f>
        <v/>
      </c>
      <c r="BZ150" s="21" t="str">
        <f>IF(SUBTOTAL(109,A150)=A150,"",16618.041)</f>
        <v/>
      </c>
      <c r="CA150" s="21" t="str">
        <f>IF(SUBTOTAL(109,A150)=A150,"",16542.198)</f>
        <v/>
      </c>
      <c r="CB150" s="21" t="str">
        <f>IF(SUBTOTAL(109,A150)=A150,"",15781.198)</f>
        <v/>
      </c>
      <c r="CC150" s="21" t="str">
        <f>IF(SUBTOTAL(109,A150)=A150,"",3822.384)</f>
        <v/>
      </c>
      <c r="CD150" s="21" t="str">
        <f>IF(SUBTOTAL(109,A150)=A150,"",3663.384)</f>
        <v/>
      </c>
      <c r="CE150" s="21" t="str">
        <f>IF(SUBTOTAL(109,A150)=A150,"",1086.129)</f>
        <v/>
      </c>
      <c r="CG150" s="15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</row>
    <row r="151" spans="1:106" outlineLevel="4" x14ac:dyDescent="0.2">
      <c r="A151" s="14">
        <v>1</v>
      </c>
      <c r="C151" s="9" t="str">
        <f>IF(SUBTOTAL(109,A151)=A151,"                Common Stock","                Common Stock")</f>
        <v xml:space="preserve">                Common Stock</v>
      </c>
      <c r="D151" s="17" t="str">
        <f t="shared" si="32"/>
        <v/>
      </c>
      <c r="E151" s="17" t="str">
        <f t="shared" si="33"/>
        <v/>
      </c>
      <c r="F151" s="17" t="str">
        <f t="shared" si="34"/>
        <v/>
      </c>
      <c r="G151" s="17" t="str">
        <f t="shared" si="35"/>
        <v/>
      </c>
      <c r="H151" s="17" t="str">
        <f t="shared" si="36"/>
        <v/>
      </c>
      <c r="I151" s="17" t="str">
        <f t="shared" si="37"/>
        <v/>
      </c>
      <c r="J151" s="17" t="str">
        <f t="shared" si="38"/>
        <v/>
      </c>
      <c r="K151" s="18" t="str">
        <f t="shared" si="39"/>
        <v/>
      </c>
      <c r="L151" s="21"/>
      <c r="M151" s="21" t="str">
        <f>IF(SUBTOTAL(109,A151)=A151,"",75)</f>
        <v/>
      </c>
      <c r="N151" s="21"/>
      <c r="O151" s="21"/>
      <c r="P151" s="21"/>
      <c r="Q151" s="21"/>
      <c r="R151" s="21" t="str">
        <f>IF(SUBTOTAL(109,A151)=A151,"",72)</f>
        <v/>
      </c>
      <c r="S151" s="21" t="str">
        <f>IF(SUBTOTAL(109,A151)=A151,"",72)</f>
        <v/>
      </c>
      <c r="T151" s="21" t="str">
        <f>IF(SUBTOTAL(109,A151)=A151,"",72)</f>
        <v/>
      </c>
      <c r="U151" s="21" t="str">
        <f>IF(SUBTOTAL(109,A151)=A151,"",72)</f>
        <v/>
      </c>
      <c r="V151" s="21" t="str">
        <f>IF(SUBTOTAL(109,A151)=A151,"",72)</f>
        <v/>
      </c>
      <c r="W151" s="21" t="str">
        <f>IF(SUBTOTAL(109,A151)=A151,"",72)</f>
        <v/>
      </c>
      <c r="X151" s="21" t="str">
        <f>IF(SUBTOTAL(109,A151)=A151,"",72)</f>
        <v/>
      </c>
      <c r="Y151" s="21" t="str">
        <f>IF(SUBTOTAL(109,A151)=A151,"",71)</f>
        <v/>
      </c>
      <c r="Z151" s="21" t="str">
        <f>IF(SUBTOTAL(109,A151)=A151,"",70)</f>
        <v/>
      </c>
      <c r="AA151" s="21" t="str">
        <f>IF(SUBTOTAL(109,A151)=A151,"",70)</f>
        <v/>
      </c>
      <c r="AB151" s="21" t="str">
        <f>IF(SUBTOTAL(109,A151)=A151,"",70)</f>
        <v/>
      </c>
      <c r="AC151" s="21" t="str">
        <f>IF(SUBTOTAL(109,A151)=A151,"",69)</f>
        <v/>
      </c>
      <c r="AD151" s="21" t="str">
        <f>IF(SUBTOTAL(109,A151)=A151,"",69)</f>
        <v/>
      </c>
      <c r="AE151" s="21" t="str">
        <f>IF(SUBTOTAL(109,A151)=A151,"",69)</f>
        <v/>
      </c>
      <c r="AF151" s="21" t="str">
        <f>IF(SUBTOTAL(109,A151)=A151,"",69)</f>
        <v/>
      </c>
      <c r="AG151" s="21" t="str">
        <f>IF(SUBTOTAL(109,A151)=A151,"",68)</f>
        <v/>
      </c>
      <c r="AH151" s="21" t="str">
        <f>IF(SUBTOTAL(109,A151)=A151,"",68)</f>
        <v/>
      </c>
      <c r="AI151" s="21" t="str">
        <f>IF(SUBTOTAL(109,A151)=A151,"",68)</f>
        <v/>
      </c>
      <c r="AJ151" s="21" t="str">
        <f>IF(SUBTOTAL(109,A151)=A151,"",68)</f>
        <v/>
      </c>
      <c r="AK151" s="21" t="str">
        <f>IF(SUBTOTAL(109,A151)=A151,"",67)</f>
        <v/>
      </c>
      <c r="AL151" s="21" t="str">
        <f>IF(SUBTOTAL(109,A151)=A151,"",67)</f>
        <v/>
      </c>
      <c r="AM151" s="21" t="str">
        <f>IF(SUBTOTAL(109,A151)=A151,"",67)</f>
        <v/>
      </c>
      <c r="AN151" s="21" t="str">
        <f>IF(SUBTOTAL(109,A151)=A151,"",67)</f>
        <v/>
      </c>
      <c r="AO151" s="21" t="str">
        <f>IF(SUBTOTAL(109,A151)=A151,"",66)</f>
        <v/>
      </c>
      <c r="AP151" s="21" t="str">
        <f>IF(SUBTOTAL(109,A151)=A151,"",66)</f>
        <v/>
      </c>
      <c r="AQ151" s="21" t="str">
        <f>IF(SUBTOTAL(109,A151)=A151,"",66)</f>
        <v/>
      </c>
      <c r="AR151" s="21" t="str">
        <f>IF(SUBTOTAL(109,A151)=A151,"",66)</f>
        <v/>
      </c>
      <c r="AS151" s="21" t="str">
        <f>IF(SUBTOTAL(109,A151)=A151,"",61)</f>
        <v/>
      </c>
      <c r="AT151" s="21" t="str">
        <f>IF(SUBTOTAL(109,A151)=A151,"",61)</f>
        <v/>
      </c>
      <c r="AU151" s="21" t="str">
        <f>IF(SUBTOTAL(109,A151)=A151,"",61)</f>
        <v/>
      </c>
      <c r="AV151" s="21" t="str">
        <f>IF(SUBTOTAL(109,A151)=A151,"",61)</f>
        <v/>
      </c>
      <c r="AW151" s="21" t="str">
        <f>IF(SUBTOTAL(109,A151)=A151,"",61)</f>
        <v/>
      </c>
      <c r="AX151" s="21" t="str">
        <f>IF(SUBTOTAL(109,A151)=A151,"",61)</f>
        <v/>
      </c>
      <c r="AY151" s="21" t="str">
        <f>IF(SUBTOTAL(109,A151)=A151,"",61)</f>
        <v/>
      </c>
      <c r="AZ151" s="21" t="str">
        <f>IF(SUBTOTAL(109,A151)=A151,"",49)</f>
        <v/>
      </c>
      <c r="BA151" s="21" t="str">
        <f>IF(SUBTOTAL(109,A151)=A151,"",48.407)</f>
        <v/>
      </c>
      <c r="BB151" s="21" t="str">
        <f>IF(SUBTOTAL(109,A151)=A151,"",48.402)</f>
        <v/>
      </c>
      <c r="BC151" s="21" t="str">
        <f>IF(SUBTOTAL(109,A151)=A151,"",48.258)</f>
        <v/>
      </c>
      <c r="BD151" s="21" t="str">
        <f>IF(SUBTOTAL(109,A151)=A151,"",41.831)</f>
        <v/>
      </c>
      <c r="BE151" s="21" t="str">
        <f>IF(SUBTOTAL(109,A151)=A151,"",41.607)</f>
        <v/>
      </c>
      <c r="BF151" s="21" t="str">
        <f>IF(SUBTOTAL(109,A151)=A151,"",41.582)</f>
        <v/>
      </c>
      <c r="BG151" s="21" t="str">
        <f>IF(SUBTOTAL(109,A151)=A151,"",41.33)</f>
        <v/>
      </c>
      <c r="BH151" s="21" t="str">
        <f>IF(SUBTOTAL(109,A151)=A151,"",40.983)</f>
        <v/>
      </c>
      <c r="BI151" s="21" t="str">
        <f>IF(SUBTOTAL(109,A151)=A151,"",40.899)</f>
        <v/>
      </c>
      <c r="BJ151" s="21" t="str">
        <f>IF(SUBTOTAL(109,A151)=A151,"",40.835)</f>
        <v/>
      </c>
      <c r="BK151" s="21" t="str">
        <f>IF(SUBTOTAL(109,A151)=A151,"",39.528)</f>
        <v/>
      </c>
      <c r="BL151" s="21" t="str">
        <f>IF(SUBTOTAL(109,A151)=A151,"",39.311)</f>
        <v/>
      </c>
      <c r="BM151" s="21" t="str">
        <f>IF(SUBTOTAL(109,A151)=A151,"",33.207)</f>
        <v/>
      </c>
      <c r="BN151" s="21" t="str">
        <f>IF(SUBTOTAL(109,A151)=A151,"",39.207)</f>
        <v/>
      </c>
      <c r="BO151" s="21" t="str">
        <f>IF(SUBTOTAL(109,A151)=A151,"",32.129)</f>
        <v/>
      </c>
      <c r="BP151" s="21" t="str">
        <f>IF(SUBTOTAL(109,A151)=A151,"",31.974)</f>
        <v/>
      </c>
      <c r="BQ151" s="21" t="str">
        <f>IF(SUBTOTAL(109,A151)=A151,"",31.499)</f>
        <v/>
      </c>
      <c r="BR151" s="21" t="str">
        <f>IF(SUBTOTAL(109,A151)=A151,"",31.499)</f>
        <v/>
      </c>
      <c r="BS151" s="21" t="str">
        <f>IF(SUBTOTAL(109,A151)=A151,"",31.064)</f>
        <v/>
      </c>
      <c r="BT151" s="21" t="str">
        <f>IF(SUBTOTAL(109,A151)=A151,"",30.936)</f>
        <v/>
      </c>
      <c r="BU151" s="21" t="str">
        <f>IF(SUBTOTAL(109,A151)=A151,"",30.772)</f>
        <v/>
      </c>
      <c r="BV151" s="21" t="str">
        <f>IF(SUBTOTAL(109,A151)=A151,"",30.757)</f>
        <v/>
      </c>
      <c r="BW151" s="21" t="str">
        <f>IF(SUBTOTAL(109,A151)=A151,"",30.63)</f>
        <v/>
      </c>
      <c r="BX151" s="21" t="str">
        <f>IF(SUBTOTAL(109,A151)=A151,"",30.62)</f>
        <v/>
      </c>
      <c r="BY151" s="21" t="str">
        <f>IF(SUBTOTAL(109,A151)=A151,"",27.675)</f>
        <v/>
      </c>
      <c r="BZ151" s="21" t="str">
        <f>IF(SUBTOTAL(109,A151)=A151,"",27.62)</f>
        <v/>
      </c>
      <c r="CA151" s="21" t="str">
        <f>IF(SUBTOTAL(109,A151)=A151,"",27.552)</f>
        <v/>
      </c>
      <c r="CB151" s="21" t="str">
        <f>IF(SUBTOTAL(109,A151)=A151,"",29.683)</f>
        <v/>
      </c>
      <c r="CC151" s="21" t="str">
        <f>IF(SUBTOTAL(109,A151)=A151,"",14.72)</f>
        <v/>
      </c>
      <c r="CD151" s="21" t="str">
        <f>IF(SUBTOTAL(109,A151)=A151,"",12.921)</f>
        <v/>
      </c>
      <c r="CE151" s="21" t="str">
        <f>IF(SUBTOTAL(109,A151)=A151,"",6.447)</f>
        <v/>
      </c>
      <c r="CG151" s="15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</row>
    <row r="152" spans="1:106" outlineLevel="5" x14ac:dyDescent="0.2">
      <c r="A152" s="14">
        <v>1</v>
      </c>
      <c r="C152" s="9" t="str">
        <f>"                    Common Stock, with Par Value"</f>
        <v xml:space="preserve">                    Common Stock, with Par Value</v>
      </c>
      <c r="D152" s="17">
        <f t="shared" si="32"/>
        <v>66</v>
      </c>
      <c r="E152" s="17">
        <f t="shared" si="33"/>
        <v>64.75</v>
      </c>
      <c r="F152" s="17">
        <f t="shared" si="34"/>
        <v>61</v>
      </c>
      <c r="G152" s="17">
        <f t="shared" si="35"/>
        <v>66</v>
      </c>
      <c r="H152" s="17">
        <f t="shared" si="36"/>
        <v>64.75</v>
      </c>
      <c r="I152" s="17">
        <f t="shared" si="37"/>
        <v>66</v>
      </c>
      <c r="J152" s="17">
        <f t="shared" si="38"/>
        <v>2.5</v>
      </c>
      <c r="K152" s="18">
        <f t="shared" si="39"/>
        <v>3.8610038610038609E-2</v>
      </c>
      <c r="L152" s="21"/>
      <c r="M152" s="21" t="s">
        <v>165</v>
      </c>
      <c r="N152" s="21"/>
      <c r="O152" s="21"/>
      <c r="P152" s="21"/>
      <c r="Q152" s="21"/>
      <c r="R152" s="21" t="s">
        <v>165</v>
      </c>
      <c r="S152" s="21" t="s">
        <v>165</v>
      </c>
      <c r="T152" s="21" t="s">
        <v>165</v>
      </c>
      <c r="U152" s="21" t="s">
        <v>165</v>
      </c>
      <c r="V152" s="21" t="s">
        <v>165</v>
      </c>
      <c r="W152" s="21" t="s">
        <v>165</v>
      </c>
      <c r="X152" s="21" t="s">
        <v>165</v>
      </c>
      <c r="Y152" s="21" t="s">
        <v>165</v>
      </c>
      <c r="Z152" s="21" t="s">
        <v>165</v>
      </c>
      <c r="AA152" s="21" t="s">
        <v>165</v>
      </c>
      <c r="AB152" s="21" t="s">
        <v>165</v>
      </c>
      <c r="AC152" s="21" t="s">
        <v>165</v>
      </c>
      <c r="AD152" s="21" t="s">
        <v>165</v>
      </c>
      <c r="AE152" s="21" t="s">
        <v>165</v>
      </c>
      <c r="AF152" s="21" t="s">
        <v>165</v>
      </c>
      <c r="AG152" s="21" t="s">
        <v>165</v>
      </c>
      <c r="AH152" s="21" t="s">
        <v>165</v>
      </c>
      <c r="AI152" s="21" t="s">
        <v>165</v>
      </c>
      <c r="AJ152" s="21" t="s">
        <v>165</v>
      </c>
      <c r="AK152" s="21" t="s">
        <v>165</v>
      </c>
      <c r="AL152" s="21" t="s">
        <v>165</v>
      </c>
      <c r="AM152" s="21" t="s">
        <v>165</v>
      </c>
      <c r="AN152" s="21" t="s">
        <v>165</v>
      </c>
      <c r="AO152" s="21">
        <v>66</v>
      </c>
      <c r="AP152" s="21">
        <v>66</v>
      </c>
      <c r="AQ152" s="21">
        <v>66</v>
      </c>
      <c r="AR152" s="21" t="s">
        <v>165</v>
      </c>
      <c r="AS152" s="21" t="s">
        <v>165</v>
      </c>
      <c r="AT152" s="21" t="s">
        <v>165</v>
      </c>
      <c r="AU152" s="21" t="s">
        <v>165</v>
      </c>
      <c r="AV152" s="21">
        <v>61</v>
      </c>
      <c r="AW152" s="21" t="s">
        <v>165</v>
      </c>
      <c r="AX152" s="21" t="s">
        <v>165</v>
      </c>
      <c r="AY152" s="21" t="s">
        <v>165</v>
      </c>
      <c r="AZ152" s="21" t="s">
        <v>165</v>
      </c>
      <c r="BA152" s="21" t="s">
        <v>165</v>
      </c>
      <c r="BB152" s="21" t="s">
        <v>165</v>
      </c>
      <c r="BC152" s="21" t="s">
        <v>165</v>
      </c>
      <c r="BD152" s="21" t="s">
        <v>165</v>
      </c>
      <c r="BE152" s="21" t="s">
        <v>165</v>
      </c>
      <c r="BF152" s="21" t="s">
        <v>165</v>
      </c>
      <c r="BG152" s="21" t="s">
        <v>165</v>
      </c>
      <c r="BH152" s="21" t="s">
        <v>165</v>
      </c>
      <c r="BI152" s="21" t="s">
        <v>165</v>
      </c>
      <c r="BJ152" s="21" t="s">
        <v>165</v>
      </c>
      <c r="BK152" s="21" t="s">
        <v>165</v>
      </c>
      <c r="BL152" s="21" t="s">
        <v>165</v>
      </c>
      <c r="BM152" s="21" t="s">
        <v>165</v>
      </c>
      <c r="BN152" s="21" t="s">
        <v>165</v>
      </c>
      <c r="BO152" s="21" t="s">
        <v>165</v>
      </c>
      <c r="BP152" s="21" t="s">
        <v>165</v>
      </c>
      <c r="BQ152" s="21" t="s">
        <v>165</v>
      </c>
      <c r="BR152" s="21" t="s">
        <v>165</v>
      </c>
      <c r="BS152" s="21" t="s">
        <v>165</v>
      </c>
      <c r="BT152" s="21" t="s">
        <v>165</v>
      </c>
      <c r="BU152" s="21" t="s">
        <v>165</v>
      </c>
      <c r="BV152" s="21" t="s">
        <v>165</v>
      </c>
      <c r="BW152" s="21" t="s">
        <v>165</v>
      </c>
      <c r="BX152" s="21" t="s">
        <v>165</v>
      </c>
      <c r="BY152" s="21" t="s">
        <v>165</v>
      </c>
      <c r="BZ152" s="21" t="s">
        <v>165</v>
      </c>
      <c r="CA152" s="21" t="s">
        <v>165</v>
      </c>
      <c r="CB152" s="21" t="s">
        <v>165</v>
      </c>
      <c r="CC152" s="21" t="s">
        <v>165</v>
      </c>
      <c r="CD152" s="21" t="s">
        <v>165</v>
      </c>
      <c r="CE152" s="21" t="s">
        <v>165</v>
      </c>
      <c r="CG152" s="15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</row>
    <row r="153" spans="1:106" outlineLevel="5" x14ac:dyDescent="0.2">
      <c r="A153" s="14">
        <v>1</v>
      </c>
      <c r="C153" s="10" t="str">
        <f>"                    Total Common Stock"</f>
        <v xml:space="preserve">                    Total Common Stock</v>
      </c>
      <c r="D153" s="29">
        <f t="shared" si="32"/>
        <v>61</v>
      </c>
      <c r="E153" s="29">
        <f t="shared" si="33"/>
        <v>52.864577464788724</v>
      </c>
      <c r="F153" s="29">
        <f t="shared" si="34"/>
        <v>6.4470000000000001</v>
      </c>
      <c r="G153" s="29">
        <f t="shared" si="35"/>
        <v>75</v>
      </c>
      <c r="H153" s="29">
        <f t="shared" si="36"/>
        <v>36.207000000000001</v>
      </c>
      <c r="I153" s="29">
        <f t="shared" si="37"/>
        <v>69</v>
      </c>
      <c r="J153" s="29">
        <f t="shared" si="38"/>
        <v>18.57905033453541</v>
      </c>
      <c r="K153" s="30">
        <f t="shared" si="39"/>
        <v>0.35144611430802175</v>
      </c>
      <c r="L153" s="31"/>
      <c r="M153" s="31">
        <v>75</v>
      </c>
      <c r="N153" s="31">
        <v>74.25</v>
      </c>
      <c r="O153" s="31">
        <v>73.75</v>
      </c>
      <c r="P153" s="31">
        <v>73</v>
      </c>
      <c r="Q153" s="31">
        <v>72.5</v>
      </c>
      <c r="R153" s="31">
        <v>72</v>
      </c>
      <c r="S153" s="31">
        <v>72</v>
      </c>
      <c r="T153" s="31">
        <v>72</v>
      </c>
      <c r="U153" s="31">
        <v>72</v>
      </c>
      <c r="V153" s="31">
        <v>72</v>
      </c>
      <c r="W153" s="31">
        <v>72</v>
      </c>
      <c r="X153" s="31">
        <v>72</v>
      </c>
      <c r="Y153" s="31">
        <v>71</v>
      </c>
      <c r="Z153" s="31">
        <v>70</v>
      </c>
      <c r="AA153" s="31">
        <v>70</v>
      </c>
      <c r="AB153" s="31">
        <v>70</v>
      </c>
      <c r="AC153" s="31">
        <v>69</v>
      </c>
      <c r="AD153" s="31">
        <v>69</v>
      </c>
      <c r="AE153" s="31">
        <v>69</v>
      </c>
      <c r="AF153" s="31">
        <v>69</v>
      </c>
      <c r="AG153" s="31">
        <v>68</v>
      </c>
      <c r="AH153" s="31">
        <v>68</v>
      </c>
      <c r="AI153" s="31">
        <v>68</v>
      </c>
      <c r="AJ153" s="31">
        <v>68</v>
      </c>
      <c r="AK153" s="31">
        <v>67</v>
      </c>
      <c r="AL153" s="31">
        <v>67</v>
      </c>
      <c r="AM153" s="31">
        <v>67</v>
      </c>
      <c r="AN153" s="31">
        <v>67</v>
      </c>
      <c r="AO153" s="31">
        <v>66</v>
      </c>
      <c r="AP153" s="31">
        <v>66</v>
      </c>
      <c r="AQ153" s="31">
        <v>66</v>
      </c>
      <c r="AR153" s="31">
        <v>66</v>
      </c>
      <c r="AS153" s="31">
        <v>61</v>
      </c>
      <c r="AT153" s="31">
        <v>61</v>
      </c>
      <c r="AU153" s="31">
        <v>61</v>
      </c>
      <c r="AV153" s="31">
        <v>61</v>
      </c>
      <c r="AW153" s="31">
        <v>61</v>
      </c>
      <c r="AX153" s="31">
        <v>61</v>
      </c>
      <c r="AY153" s="31">
        <v>61</v>
      </c>
      <c r="AZ153" s="31">
        <v>49</v>
      </c>
      <c r="BA153" s="31">
        <v>48.406999999999996</v>
      </c>
      <c r="BB153" s="31">
        <v>48.402000000000001</v>
      </c>
      <c r="BC153" s="31">
        <v>48.258000000000003</v>
      </c>
      <c r="BD153" s="31">
        <v>41.831000000000003</v>
      </c>
      <c r="BE153" s="31">
        <v>41.606999999999999</v>
      </c>
      <c r="BF153" s="31">
        <v>41.582000000000001</v>
      </c>
      <c r="BG153" s="31">
        <v>41.33</v>
      </c>
      <c r="BH153" s="31">
        <v>40.982999999999997</v>
      </c>
      <c r="BI153" s="31">
        <v>40.899000000000001</v>
      </c>
      <c r="BJ153" s="31">
        <v>40.835000000000001</v>
      </c>
      <c r="BK153" s="31">
        <v>39.527999999999999</v>
      </c>
      <c r="BL153" s="31">
        <v>39.311</v>
      </c>
      <c r="BM153" s="31">
        <v>33.207000000000001</v>
      </c>
      <c r="BN153" s="31">
        <v>39.207000000000001</v>
      </c>
      <c r="BO153" s="31">
        <v>32.128999999999998</v>
      </c>
      <c r="BP153" s="31">
        <v>31.974</v>
      </c>
      <c r="BQ153" s="31">
        <v>31.498999999999999</v>
      </c>
      <c r="BR153" s="31">
        <v>31.498999999999999</v>
      </c>
      <c r="BS153" s="31">
        <v>31.064</v>
      </c>
      <c r="BT153" s="31">
        <v>30.936</v>
      </c>
      <c r="BU153" s="31">
        <v>30.771999999999998</v>
      </c>
      <c r="BV153" s="31">
        <v>30.757000000000001</v>
      </c>
      <c r="BW153" s="31">
        <v>30.63</v>
      </c>
      <c r="BX153" s="31">
        <v>30.62</v>
      </c>
      <c r="BY153" s="31">
        <v>27.675000000000001</v>
      </c>
      <c r="BZ153" s="31">
        <v>27.62</v>
      </c>
      <c r="CA153" s="31">
        <v>27.552</v>
      </c>
      <c r="CB153" s="31">
        <v>29.683</v>
      </c>
      <c r="CC153" s="31">
        <v>14.72</v>
      </c>
      <c r="CD153" s="31">
        <v>12.920999999999999</v>
      </c>
      <c r="CE153" s="31">
        <v>6.4470000000000001</v>
      </c>
      <c r="CG153" s="15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</row>
    <row r="154" spans="1:106" outlineLevel="4" x14ac:dyDescent="0.2">
      <c r="A154" s="14">
        <v>1</v>
      </c>
      <c r="C154" s="9" t="str">
        <f>"                Preferred Stock"</f>
        <v xml:space="preserve">                Preferred Stock</v>
      </c>
      <c r="D154" s="17">
        <f t="shared" si="32"/>
        <v>0</v>
      </c>
      <c r="E154" s="17">
        <f t="shared" si="33"/>
        <v>0</v>
      </c>
      <c r="F154" s="17">
        <f t="shared" si="34"/>
        <v>0</v>
      </c>
      <c r="G154" s="17">
        <f t="shared" si="35"/>
        <v>0</v>
      </c>
      <c r="H154" s="17">
        <f t="shared" si="36"/>
        <v>0</v>
      </c>
      <c r="I154" s="17">
        <f t="shared" si="37"/>
        <v>0</v>
      </c>
      <c r="J154" s="17">
        <f t="shared" si="38"/>
        <v>0</v>
      </c>
      <c r="K154" s="18" t="e">
        <f t="shared" si="39"/>
        <v>#DIV/0!</v>
      </c>
      <c r="L154" s="21"/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21">
        <v>0</v>
      </c>
      <c r="AZ154" s="21">
        <v>0</v>
      </c>
      <c r="BA154" s="21">
        <v>0</v>
      </c>
      <c r="BB154" s="21" t="s">
        <v>165</v>
      </c>
      <c r="BC154" s="21" t="s">
        <v>165</v>
      </c>
      <c r="BD154" s="21" t="s">
        <v>165</v>
      </c>
      <c r="BE154" s="21" t="s">
        <v>165</v>
      </c>
      <c r="BF154" s="21" t="s">
        <v>165</v>
      </c>
      <c r="BG154" s="21" t="s">
        <v>165</v>
      </c>
      <c r="BH154" s="21" t="s">
        <v>165</v>
      </c>
      <c r="BI154" s="21" t="s">
        <v>165</v>
      </c>
      <c r="BJ154" s="21" t="s">
        <v>165</v>
      </c>
      <c r="BK154" s="21" t="s">
        <v>165</v>
      </c>
      <c r="BL154" s="21" t="s">
        <v>165</v>
      </c>
      <c r="BM154" s="21" t="s">
        <v>165</v>
      </c>
      <c r="BN154" s="21" t="s">
        <v>165</v>
      </c>
      <c r="BO154" s="21" t="s">
        <v>165</v>
      </c>
      <c r="BP154" s="21" t="s">
        <v>165</v>
      </c>
      <c r="BQ154" s="21" t="s">
        <v>165</v>
      </c>
      <c r="BR154" s="21" t="s">
        <v>165</v>
      </c>
      <c r="BS154" s="21" t="s">
        <v>165</v>
      </c>
      <c r="BT154" s="21" t="s">
        <v>165</v>
      </c>
      <c r="BU154" s="21" t="s">
        <v>165</v>
      </c>
      <c r="BV154" s="21" t="s">
        <v>165</v>
      </c>
      <c r="BW154" s="21" t="s">
        <v>165</v>
      </c>
      <c r="BX154" s="21" t="s">
        <v>165</v>
      </c>
      <c r="BY154" s="21" t="s">
        <v>165</v>
      </c>
      <c r="BZ154" s="21" t="s">
        <v>165</v>
      </c>
      <c r="CA154" s="21" t="s">
        <v>165</v>
      </c>
      <c r="CB154" s="21" t="s">
        <v>165</v>
      </c>
      <c r="CC154" s="21" t="s">
        <v>165</v>
      </c>
      <c r="CD154" s="21" t="s">
        <v>165</v>
      </c>
      <c r="CE154" s="21" t="s">
        <v>165</v>
      </c>
      <c r="CG154" s="15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</row>
    <row r="155" spans="1:106" outlineLevel="4" x14ac:dyDescent="0.2">
      <c r="A155" s="14">
        <v>1</v>
      </c>
      <c r="C155" s="9" t="str">
        <f>"                Additional Paid in Capital/Share Premium"</f>
        <v xml:space="preserve">                Additional Paid in Capital/Share Premium</v>
      </c>
      <c r="D155" s="17">
        <f t="shared" si="32"/>
        <v>168532</v>
      </c>
      <c r="E155" s="17">
        <f t="shared" si="33"/>
        <v>132366.47439436617</v>
      </c>
      <c r="F155" s="17">
        <f t="shared" si="34"/>
        <v>1079.682</v>
      </c>
      <c r="G155" s="17">
        <f t="shared" si="35"/>
        <v>278101</v>
      </c>
      <c r="H155" s="17">
        <f t="shared" si="36"/>
        <v>29069.434999999998</v>
      </c>
      <c r="I155" s="17">
        <f t="shared" si="37"/>
        <v>213696.5</v>
      </c>
      <c r="J155" s="17">
        <f t="shared" si="38"/>
        <v>94956.028326844476</v>
      </c>
      <c r="K155" s="18">
        <f t="shared" si="39"/>
        <v>0.71737219534862839</v>
      </c>
      <c r="L155" s="21"/>
      <c r="M155" s="21">
        <v>278101</v>
      </c>
      <c r="N155" s="21">
        <v>273487.5</v>
      </c>
      <c r="O155" s="21">
        <v>267899.75</v>
      </c>
      <c r="P155" s="21">
        <v>263551</v>
      </c>
      <c r="Q155" s="21">
        <v>254342.5</v>
      </c>
      <c r="R155" s="21">
        <v>248918</v>
      </c>
      <c r="S155" s="21">
        <v>245592</v>
      </c>
      <c r="T155" s="21">
        <v>245865</v>
      </c>
      <c r="U155" s="21">
        <v>242586</v>
      </c>
      <c r="V155" s="21">
        <v>240208</v>
      </c>
      <c r="W155" s="21">
        <v>239691</v>
      </c>
      <c r="X155" s="21">
        <v>239505</v>
      </c>
      <c r="Y155" s="21">
        <v>231800</v>
      </c>
      <c r="Z155" s="21">
        <v>223587</v>
      </c>
      <c r="AA155" s="21">
        <v>220530</v>
      </c>
      <c r="AB155" s="21">
        <v>219198</v>
      </c>
      <c r="AC155" s="21">
        <v>216294</v>
      </c>
      <c r="AD155" s="21">
        <v>214548</v>
      </c>
      <c r="AE155" s="21">
        <v>212845</v>
      </c>
      <c r="AF155" s="21">
        <v>211225</v>
      </c>
      <c r="AG155" s="21">
        <v>208382</v>
      </c>
      <c r="AH155" s="21">
        <v>206187</v>
      </c>
      <c r="AI155" s="21">
        <v>201926</v>
      </c>
      <c r="AJ155" s="21">
        <v>199120</v>
      </c>
      <c r="AK155" s="21">
        <v>197602</v>
      </c>
      <c r="AL155" s="21">
        <v>196398</v>
      </c>
      <c r="AM155" s="21">
        <v>190892</v>
      </c>
      <c r="AN155" s="21">
        <v>189379</v>
      </c>
      <c r="AO155" s="21">
        <v>188050</v>
      </c>
      <c r="AP155" s="21">
        <v>187390</v>
      </c>
      <c r="AQ155" s="21">
        <v>186320</v>
      </c>
      <c r="AR155" s="21">
        <v>185373</v>
      </c>
      <c r="AS155" s="21">
        <v>185070</v>
      </c>
      <c r="AT155" s="21">
        <v>185062</v>
      </c>
      <c r="AU155" s="21">
        <v>168835</v>
      </c>
      <c r="AV155" s="21">
        <v>168532</v>
      </c>
      <c r="AW155" s="21">
        <v>167266</v>
      </c>
      <c r="AX155" s="21">
        <v>166006</v>
      </c>
      <c r="AY155" s="21">
        <v>164310</v>
      </c>
      <c r="AZ155" s="21">
        <v>91103</v>
      </c>
      <c r="BA155" s="21">
        <v>88916.483999999997</v>
      </c>
      <c r="BB155" s="21">
        <v>88187.548999999999</v>
      </c>
      <c r="BC155" s="21">
        <v>87165.964000000007</v>
      </c>
      <c r="BD155" s="21">
        <v>54127.720999999998</v>
      </c>
      <c r="BE155" s="21">
        <v>51870.830999999998</v>
      </c>
      <c r="BF155" s="21">
        <v>50764.743999999999</v>
      </c>
      <c r="BG155" s="21">
        <v>46670.942999999999</v>
      </c>
      <c r="BH155" s="21">
        <v>44409.667999999998</v>
      </c>
      <c r="BI155" s="21">
        <v>42928.281000000003</v>
      </c>
      <c r="BJ155" s="21">
        <v>41907.995000000003</v>
      </c>
      <c r="BK155" s="21">
        <v>34706.512000000002</v>
      </c>
      <c r="BL155" s="21">
        <v>33277.474000000002</v>
      </c>
      <c r="BM155" s="21">
        <v>7171.98</v>
      </c>
      <c r="BN155" s="21">
        <v>29740.244999999999</v>
      </c>
      <c r="BO155" s="21">
        <v>28398.625</v>
      </c>
      <c r="BP155" s="21">
        <v>27744.819</v>
      </c>
      <c r="BQ155" s="21">
        <v>17352.771000000001</v>
      </c>
      <c r="BR155" s="21">
        <v>17352.073</v>
      </c>
      <c r="BS155" s="21">
        <v>16791.057000000001</v>
      </c>
      <c r="BT155" s="21">
        <v>26138.725999999999</v>
      </c>
      <c r="BU155" s="21">
        <v>16437.348999999998</v>
      </c>
      <c r="BV155" s="21">
        <v>16418.364000000001</v>
      </c>
      <c r="BW155" s="21">
        <v>16265.897999999999</v>
      </c>
      <c r="BX155" s="21">
        <v>16247.108</v>
      </c>
      <c r="BY155" s="21">
        <v>16655.36</v>
      </c>
      <c r="BZ155" s="21">
        <v>16590.420999999998</v>
      </c>
      <c r="CA155" s="21">
        <v>16514.646000000001</v>
      </c>
      <c r="CB155" s="21">
        <v>15751.514999999999</v>
      </c>
      <c r="CC155" s="21">
        <v>3807.6640000000002</v>
      </c>
      <c r="CD155" s="21">
        <v>3650.4630000000002</v>
      </c>
      <c r="CE155" s="21">
        <v>1079.682</v>
      </c>
      <c r="CG155" s="15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</row>
    <row r="156" spans="1:106" outlineLevel="4" x14ac:dyDescent="0.2">
      <c r="A156" s="14">
        <v>1</v>
      </c>
      <c r="C156" s="10" t="str">
        <f>"                Total Capital Stock"</f>
        <v xml:space="preserve">                Total Capital Stock</v>
      </c>
      <c r="D156" s="29">
        <f t="shared" si="32"/>
        <v>168593</v>
      </c>
      <c r="E156" s="29">
        <f t="shared" si="33"/>
        <v>132419.33897183096</v>
      </c>
      <c r="F156" s="29">
        <f t="shared" si="34"/>
        <v>1086.1289999999999</v>
      </c>
      <c r="G156" s="29">
        <f t="shared" si="35"/>
        <v>278176</v>
      </c>
      <c r="H156" s="29">
        <f t="shared" si="36"/>
        <v>29105.103000000003</v>
      </c>
      <c r="I156" s="29">
        <f t="shared" si="37"/>
        <v>213765.5</v>
      </c>
      <c r="J156" s="29">
        <f t="shared" si="38"/>
        <v>94974.028362919256</v>
      </c>
      <c r="K156" s="30">
        <f t="shared" si="39"/>
        <v>0.71722173740138295</v>
      </c>
      <c r="L156" s="31"/>
      <c r="M156" s="31">
        <v>278176</v>
      </c>
      <c r="N156" s="31">
        <v>273561.75</v>
      </c>
      <c r="O156" s="31">
        <v>267973.5</v>
      </c>
      <c r="P156" s="31">
        <v>263624</v>
      </c>
      <c r="Q156" s="31">
        <v>254415</v>
      </c>
      <c r="R156" s="31">
        <v>248990</v>
      </c>
      <c r="S156" s="31">
        <v>245664</v>
      </c>
      <c r="T156" s="31">
        <v>245937</v>
      </c>
      <c r="U156" s="31">
        <v>242658</v>
      </c>
      <c r="V156" s="31">
        <v>240280</v>
      </c>
      <c r="W156" s="31">
        <v>239763</v>
      </c>
      <c r="X156" s="31">
        <v>239577</v>
      </c>
      <c r="Y156" s="31">
        <v>231871</v>
      </c>
      <c r="Z156" s="31">
        <v>223657</v>
      </c>
      <c r="AA156" s="31">
        <v>220600</v>
      </c>
      <c r="AB156" s="31">
        <v>219268</v>
      </c>
      <c r="AC156" s="31">
        <v>216363</v>
      </c>
      <c r="AD156" s="31">
        <v>214617</v>
      </c>
      <c r="AE156" s="31">
        <v>212914</v>
      </c>
      <c r="AF156" s="31">
        <v>211294</v>
      </c>
      <c r="AG156" s="31">
        <v>208450</v>
      </c>
      <c r="AH156" s="31">
        <v>206255</v>
      </c>
      <c r="AI156" s="31">
        <v>201994</v>
      </c>
      <c r="AJ156" s="31">
        <v>199188</v>
      </c>
      <c r="AK156" s="31">
        <v>197669</v>
      </c>
      <c r="AL156" s="31">
        <v>196465</v>
      </c>
      <c r="AM156" s="31">
        <v>190959</v>
      </c>
      <c r="AN156" s="31">
        <v>189446</v>
      </c>
      <c r="AO156" s="31">
        <v>188116</v>
      </c>
      <c r="AP156" s="31">
        <v>187456</v>
      </c>
      <c r="AQ156" s="31">
        <v>186386</v>
      </c>
      <c r="AR156" s="31">
        <v>185439</v>
      </c>
      <c r="AS156" s="31">
        <v>185131</v>
      </c>
      <c r="AT156" s="31">
        <v>185123</v>
      </c>
      <c r="AU156" s="31">
        <v>168896</v>
      </c>
      <c r="AV156" s="31">
        <v>168593</v>
      </c>
      <c r="AW156" s="31">
        <v>167327</v>
      </c>
      <c r="AX156" s="31">
        <v>166067</v>
      </c>
      <c r="AY156" s="31">
        <v>164371</v>
      </c>
      <c r="AZ156" s="31">
        <v>91152</v>
      </c>
      <c r="BA156" s="31">
        <v>88964.891000000003</v>
      </c>
      <c r="BB156" s="31">
        <v>88235.951000000001</v>
      </c>
      <c r="BC156" s="31">
        <v>87214.221999999994</v>
      </c>
      <c r="BD156" s="31">
        <v>54169.552000000003</v>
      </c>
      <c r="BE156" s="31">
        <v>51912.438000000002</v>
      </c>
      <c r="BF156" s="31">
        <v>50806.326000000001</v>
      </c>
      <c r="BG156" s="31">
        <v>46712.273000000001</v>
      </c>
      <c r="BH156" s="31">
        <v>44450.650999999998</v>
      </c>
      <c r="BI156" s="31">
        <v>42969.18</v>
      </c>
      <c r="BJ156" s="31">
        <v>41948.83</v>
      </c>
      <c r="BK156" s="31">
        <v>34746.04</v>
      </c>
      <c r="BL156" s="31">
        <v>33316.785000000003</v>
      </c>
      <c r="BM156" s="31">
        <v>7205.1869999999999</v>
      </c>
      <c r="BN156" s="31">
        <v>29779.452000000001</v>
      </c>
      <c r="BO156" s="31">
        <v>28430.754000000001</v>
      </c>
      <c r="BP156" s="31">
        <v>27776.793000000001</v>
      </c>
      <c r="BQ156" s="31">
        <v>17384.27</v>
      </c>
      <c r="BR156" s="31">
        <v>17383.572</v>
      </c>
      <c r="BS156" s="31">
        <v>16822.120999999999</v>
      </c>
      <c r="BT156" s="31">
        <v>26169.662</v>
      </c>
      <c r="BU156" s="31">
        <v>16468.120999999999</v>
      </c>
      <c r="BV156" s="31">
        <v>16449.120999999999</v>
      </c>
      <c r="BW156" s="31">
        <v>16296.528</v>
      </c>
      <c r="BX156" s="31">
        <v>16277.727999999999</v>
      </c>
      <c r="BY156" s="31">
        <v>16683.035</v>
      </c>
      <c r="BZ156" s="31">
        <v>16618.041000000001</v>
      </c>
      <c r="CA156" s="31">
        <v>16542.198</v>
      </c>
      <c r="CB156" s="31">
        <v>15781.198</v>
      </c>
      <c r="CC156" s="31">
        <v>3822.384</v>
      </c>
      <c r="CD156" s="31">
        <v>3663.384</v>
      </c>
      <c r="CE156" s="31">
        <v>1086.1289999999999</v>
      </c>
      <c r="CG156" s="15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</row>
    <row r="157" spans="1:106" outlineLevel="3" x14ac:dyDescent="0.2">
      <c r="A157" s="14">
        <v>1</v>
      </c>
      <c r="C157" s="9" t="str">
        <f>"            Treasury Stock"</f>
        <v xml:space="preserve">            Treasury Stock</v>
      </c>
      <c r="D157" s="17">
        <f t="shared" si="32"/>
        <v>-16396</v>
      </c>
      <c r="E157" s="17">
        <f t="shared" si="33"/>
        <v>-93128.88</v>
      </c>
      <c r="F157" s="17">
        <f t="shared" si="34"/>
        <v>-422375</v>
      </c>
      <c r="G157" s="17">
        <f t="shared" si="35"/>
        <v>-6396</v>
      </c>
      <c r="H157" s="17">
        <f t="shared" si="36"/>
        <v>-172323</v>
      </c>
      <c r="I157" s="17">
        <f t="shared" si="37"/>
        <v>-6396</v>
      </c>
      <c r="J157" s="17">
        <f t="shared" si="38"/>
        <v>105251.6251445893</v>
      </c>
      <c r="K157" s="18">
        <f t="shared" si="39"/>
        <v>-1.130171705539563</v>
      </c>
      <c r="L157" s="21"/>
      <c r="M157" s="21">
        <v>-422375</v>
      </c>
      <c r="N157" s="21">
        <v>-337375</v>
      </c>
      <c r="O157" s="21">
        <v>-222375</v>
      </c>
      <c r="P157" s="21">
        <v>-222375</v>
      </c>
      <c r="Q157" s="21">
        <v>-222375</v>
      </c>
      <c r="R157" s="21">
        <v>-222375</v>
      </c>
      <c r="S157" s="21">
        <v>-222375</v>
      </c>
      <c r="T157" s="21">
        <v>-222375</v>
      </c>
      <c r="U157" s="21">
        <v>-172323</v>
      </c>
      <c r="V157" s="21">
        <v>-172323</v>
      </c>
      <c r="W157" s="21">
        <v>-172323</v>
      </c>
      <c r="X157" s="21">
        <v>-172323</v>
      </c>
      <c r="Y157" s="21">
        <v>-172323</v>
      </c>
      <c r="Z157" s="21">
        <v>-172323</v>
      </c>
      <c r="AA157" s="21">
        <v>-172323</v>
      </c>
      <c r="AB157" s="21">
        <v>-172323</v>
      </c>
      <c r="AC157" s="21">
        <v>-172323</v>
      </c>
      <c r="AD157" s="21">
        <v>-172323</v>
      </c>
      <c r="AE157" s="21">
        <v>-172323</v>
      </c>
      <c r="AF157" s="21">
        <v>-142283</v>
      </c>
      <c r="AG157" s="21">
        <v>-142283</v>
      </c>
      <c r="AH157" s="21">
        <v>-127244</v>
      </c>
      <c r="AI157" s="21">
        <v>-42389</v>
      </c>
      <c r="AJ157" s="21">
        <v>-26396</v>
      </c>
      <c r="AK157" s="21">
        <v>-26396</v>
      </c>
      <c r="AL157" s="21">
        <v>-6396</v>
      </c>
      <c r="AM157" s="21">
        <v>-6396</v>
      </c>
      <c r="AN157" s="21">
        <v>-6396</v>
      </c>
      <c r="AO157" s="21">
        <v>-6396</v>
      </c>
      <c r="AP157" s="21">
        <v>-6396</v>
      </c>
      <c r="AQ157" s="21">
        <v>-6396</v>
      </c>
      <c r="AR157" s="21">
        <v>-6396</v>
      </c>
      <c r="AS157" s="21">
        <v>-6396</v>
      </c>
      <c r="AT157" s="21">
        <v>-6396</v>
      </c>
      <c r="AU157" s="21">
        <v>-6396</v>
      </c>
      <c r="AV157" s="21">
        <v>-6396</v>
      </c>
      <c r="AW157" s="21">
        <v>-6396</v>
      </c>
      <c r="AX157" s="21">
        <v>-6396</v>
      </c>
      <c r="AY157" s="21">
        <v>-6396</v>
      </c>
      <c r="AZ157" s="21">
        <v>-6396</v>
      </c>
      <c r="BA157" s="21">
        <v>-6396</v>
      </c>
      <c r="BB157" s="21">
        <v>-6396</v>
      </c>
      <c r="BC157" s="21">
        <v>-6396</v>
      </c>
      <c r="BD157" s="21">
        <v>-6396</v>
      </c>
      <c r="BE157" s="21">
        <v>-6396</v>
      </c>
      <c r="BF157" s="21">
        <v>-6396</v>
      </c>
      <c r="BG157" s="21">
        <v>-6396</v>
      </c>
      <c r="BH157" s="21">
        <v>-6396</v>
      </c>
      <c r="BI157" s="21">
        <v>-6396</v>
      </c>
      <c r="BJ157" s="21">
        <v>-6396</v>
      </c>
      <c r="BK157" s="21" t="s">
        <v>165</v>
      </c>
      <c r="BL157" s="21" t="s">
        <v>165</v>
      </c>
      <c r="BM157" s="21" t="s">
        <v>165</v>
      </c>
      <c r="BN157" s="21" t="s">
        <v>165</v>
      </c>
      <c r="BO157" s="21" t="s">
        <v>165</v>
      </c>
      <c r="BP157" s="21" t="s">
        <v>165</v>
      </c>
      <c r="BQ157" s="21" t="s">
        <v>165</v>
      </c>
      <c r="BR157" s="21" t="s">
        <v>165</v>
      </c>
      <c r="BS157" s="21" t="s">
        <v>165</v>
      </c>
      <c r="BT157" s="21" t="s">
        <v>165</v>
      </c>
      <c r="BU157" s="21" t="s">
        <v>165</v>
      </c>
      <c r="BV157" s="21" t="s">
        <v>165</v>
      </c>
      <c r="BW157" s="21" t="s">
        <v>165</v>
      </c>
      <c r="BX157" s="21" t="s">
        <v>165</v>
      </c>
      <c r="BY157" s="21" t="s">
        <v>165</v>
      </c>
      <c r="BZ157" s="21" t="s">
        <v>165</v>
      </c>
      <c r="CA157" s="21" t="s">
        <v>165</v>
      </c>
      <c r="CB157" s="21" t="s">
        <v>165</v>
      </c>
      <c r="CC157" s="21" t="s">
        <v>165</v>
      </c>
      <c r="CD157" s="21" t="s">
        <v>165</v>
      </c>
      <c r="CE157" s="21" t="s">
        <v>165</v>
      </c>
      <c r="CG157" s="15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</row>
    <row r="158" spans="1:106" outlineLevel="3" x14ac:dyDescent="0.2">
      <c r="A158" s="14">
        <v>1</v>
      </c>
      <c r="C158" s="10" t="str">
        <f>"            Total Paid in Capital"</f>
        <v xml:space="preserve">            Total Paid in Capital</v>
      </c>
      <c r="D158" s="29">
        <f t="shared" si="32"/>
        <v>44410.326000000001</v>
      </c>
      <c r="E158" s="29">
        <f t="shared" si="33"/>
        <v>66835.620661971785</v>
      </c>
      <c r="F158" s="29">
        <f t="shared" si="34"/>
        <v>-144199</v>
      </c>
      <c r="G158" s="29">
        <f t="shared" si="35"/>
        <v>190069</v>
      </c>
      <c r="H158" s="29">
        <f t="shared" si="36"/>
        <v>23425.5</v>
      </c>
      <c r="I158" s="29">
        <f t="shared" si="37"/>
        <v>83662.445500000002</v>
      </c>
      <c r="J158" s="29">
        <f t="shared" si="38"/>
        <v>68015.249663220631</v>
      </c>
      <c r="K158" s="30">
        <f t="shared" si="39"/>
        <v>1.0176497051956013</v>
      </c>
      <c r="L158" s="31"/>
      <c r="M158" s="31">
        <v>-144199</v>
      </c>
      <c r="N158" s="31">
        <v>-63813.25</v>
      </c>
      <c r="O158" s="31">
        <v>45598.5</v>
      </c>
      <c r="P158" s="31">
        <v>41249</v>
      </c>
      <c r="Q158" s="31">
        <v>32040</v>
      </c>
      <c r="R158" s="31">
        <v>26615</v>
      </c>
      <c r="S158" s="31">
        <v>23289</v>
      </c>
      <c r="T158" s="31">
        <v>23562</v>
      </c>
      <c r="U158" s="31">
        <v>70335</v>
      </c>
      <c r="V158" s="31">
        <v>67957</v>
      </c>
      <c r="W158" s="31">
        <v>67440</v>
      </c>
      <c r="X158" s="31">
        <v>67254</v>
      </c>
      <c r="Y158" s="31">
        <v>59548</v>
      </c>
      <c r="Z158" s="31">
        <v>51334</v>
      </c>
      <c r="AA158" s="31">
        <v>48277</v>
      </c>
      <c r="AB158" s="31">
        <v>46945</v>
      </c>
      <c r="AC158" s="31">
        <v>44040</v>
      </c>
      <c r="AD158" s="31">
        <v>42294</v>
      </c>
      <c r="AE158" s="31">
        <v>40591</v>
      </c>
      <c r="AF158" s="31">
        <v>69011</v>
      </c>
      <c r="AG158" s="31">
        <v>66167</v>
      </c>
      <c r="AH158" s="31">
        <v>79011</v>
      </c>
      <c r="AI158" s="31">
        <v>159605</v>
      </c>
      <c r="AJ158" s="31">
        <v>172792</v>
      </c>
      <c r="AK158" s="31">
        <v>171273</v>
      </c>
      <c r="AL158" s="31">
        <v>190069</v>
      </c>
      <c r="AM158" s="31">
        <v>184563</v>
      </c>
      <c r="AN158" s="31">
        <v>183050</v>
      </c>
      <c r="AO158" s="31">
        <v>181720</v>
      </c>
      <c r="AP158" s="31">
        <v>181060</v>
      </c>
      <c r="AQ158" s="31">
        <v>179990</v>
      </c>
      <c r="AR158" s="31">
        <v>179043</v>
      </c>
      <c r="AS158" s="31">
        <v>178735</v>
      </c>
      <c r="AT158" s="31">
        <v>178727</v>
      </c>
      <c r="AU158" s="31">
        <v>162500</v>
      </c>
      <c r="AV158" s="31">
        <v>162197</v>
      </c>
      <c r="AW158" s="31">
        <v>160931</v>
      </c>
      <c r="AX158" s="31">
        <v>159671</v>
      </c>
      <c r="AY158" s="31">
        <v>157975</v>
      </c>
      <c r="AZ158" s="31">
        <v>84756</v>
      </c>
      <c r="BA158" s="31">
        <v>82568.891000000003</v>
      </c>
      <c r="BB158" s="31">
        <v>81839.951000000001</v>
      </c>
      <c r="BC158" s="31">
        <v>80818.221999999994</v>
      </c>
      <c r="BD158" s="31">
        <v>47773.552000000003</v>
      </c>
      <c r="BE158" s="31">
        <v>45516.438000000002</v>
      </c>
      <c r="BF158" s="31">
        <v>44410.326000000001</v>
      </c>
      <c r="BG158" s="31">
        <v>40316.273000000001</v>
      </c>
      <c r="BH158" s="31">
        <v>38054.650999999998</v>
      </c>
      <c r="BI158" s="31">
        <v>36573.18</v>
      </c>
      <c r="BJ158" s="31">
        <v>35552.83</v>
      </c>
      <c r="BK158" s="31">
        <v>34746.04</v>
      </c>
      <c r="BL158" s="31">
        <v>33316.785000000003</v>
      </c>
      <c r="BM158" s="31">
        <v>7205.1869999999999</v>
      </c>
      <c r="BN158" s="31">
        <v>29779.452000000001</v>
      </c>
      <c r="BO158" s="31">
        <v>28430.754000000001</v>
      </c>
      <c r="BP158" s="31">
        <v>27776.793000000001</v>
      </c>
      <c r="BQ158" s="31">
        <v>17384.27</v>
      </c>
      <c r="BR158" s="31">
        <v>17383.572</v>
      </c>
      <c r="BS158" s="31">
        <v>16822.120999999999</v>
      </c>
      <c r="BT158" s="31">
        <v>26169.662</v>
      </c>
      <c r="BU158" s="31">
        <v>16468.120999999999</v>
      </c>
      <c r="BV158" s="31">
        <v>16449.120999999999</v>
      </c>
      <c r="BW158" s="31">
        <v>16296.528</v>
      </c>
      <c r="BX158" s="31">
        <v>16277.727999999999</v>
      </c>
      <c r="BY158" s="31">
        <v>16683.035</v>
      </c>
      <c r="BZ158" s="31">
        <v>16618.041000000001</v>
      </c>
      <c r="CA158" s="31">
        <v>16542.198</v>
      </c>
      <c r="CB158" s="31">
        <v>15781.198</v>
      </c>
      <c r="CC158" s="31">
        <v>3822.384</v>
      </c>
      <c r="CD158" s="31">
        <v>3663.384</v>
      </c>
      <c r="CE158" s="31">
        <v>1086.1289999999999</v>
      </c>
      <c r="CG158" s="15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</row>
    <row r="159" spans="1:106" outlineLevel="2" x14ac:dyDescent="0.2">
      <c r="A159" s="14">
        <v>1</v>
      </c>
      <c r="C159" s="9" t="str">
        <f>"        Retained Earnings/Accumulated Deficit"</f>
        <v xml:space="preserve">        Retained Earnings/Accumulated Deficit</v>
      </c>
      <c r="D159" s="17">
        <f t="shared" si="32"/>
        <v>3849.9720000000002</v>
      </c>
      <c r="E159" s="17">
        <f t="shared" si="33"/>
        <v>69567.415281690148</v>
      </c>
      <c r="F159" s="17">
        <f t="shared" si="34"/>
        <v>-86384</v>
      </c>
      <c r="G159" s="17">
        <f t="shared" si="35"/>
        <v>504640</v>
      </c>
      <c r="H159" s="17">
        <f t="shared" si="36"/>
        <v>-9875.6850000000013</v>
      </c>
      <c r="I159" s="17">
        <f t="shared" si="37"/>
        <v>114820</v>
      </c>
      <c r="J159" s="17">
        <f t="shared" si="38"/>
        <v>143814.82667758974</v>
      </c>
      <c r="K159" s="18">
        <f t="shared" si="39"/>
        <v>2.0672728186789655</v>
      </c>
      <c r="L159" s="21"/>
      <c r="M159" s="21">
        <v>504640</v>
      </c>
      <c r="N159" s="21">
        <v>351855.25</v>
      </c>
      <c r="O159" s="21">
        <v>329718.5</v>
      </c>
      <c r="P159" s="21">
        <v>399759.25</v>
      </c>
      <c r="Q159" s="21">
        <v>390450.25</v>
      </c>
      <c r="R159" s="21">
        <v>370231</v>
      </c>
      <c r="S159" s="21">
        <v>366999</v>
      </c>
      <c r="T159" s="21">
        <v>369164</v>
      </c>
      <c r="U159" s="21">
        <v>341471</v>
      </c>
      <c r="V159" s="21">
        <v>309016</v>
      </c>
      <c r="W159" s="21">
        <v>273926</v>
      </c>
      <c r="X159" s="21">
        <v>241310</v>
      </c>
      <c r="Y159" s="21">
        <v>205663</v>
      </c>
      <c r="Z159" s="21">
        <v>174230</v>
      </c>
      <c r="AA159" s="21">
        <v>161764</v>
      </c>
      <c r="AB159" s="21">
        <v>147352</v>
      </c>
      <c r="AC159" s="21">
        <v>125464</v>
      </c>
      <c r="AD159" s="21">
        <v>117345</v>
      </c>
      <c r="AE159" s="21">
        <v>112295</v>
      </c>
      <c r="AF159" s="21">
        <v>97739</v>
      </c>
      <c r="AG159" s="21">
        <v>72683</v>
      </c>
      <c r="AH159" s="21">
        <v>51897</v>
      </c>
      <c r="AI159" s="21">
        <v>34911</v>
      </c>
      <c r="AJ159" s="21">
        <v>8434</v>
      </c>
      <c r="AK159" s="21">
        <v>-16732</v>
      </c>
      <c r="AL159" s="21">
        <v>-31308</v>
      </c>
      <c r="AM159" s="21">
        <v>-52492</v>
      </c>
      <c r="AN159" s="21">
        <v>-70279</v>
      </c>
      <c r="AO159" s="21">
        <v>-80824</v>
      </c>
      <c r="AP159" s="21">
        <v>-85264</v>
      </c>
      <c r="AQ159" s="21">
        <v>-83671</v>
      </c>
      <c r="AR159" s="21">
        <v>-86384</v>
      </c>
      <c r="AS159" s="21">
        <v>-85602</v>
      </c>
      <c r="AT159" s="21">
        <v>-32766</v>
      </c>
      <c r="AU159" s="21">
        <v>4518</v>
      </c>
      <c r="AV159" s="21">
        <v>-1693</v>
      </c>
      <c r="AW159" s="21">
        <v>-5945</v>
      </c>
      <c r="AX159" s="21">
        <v>-8325</v>
      </c>
      <c r="AY159" s="21">
        <v>-21631</v>
      </c>
      <c r="AZ159" s="21">
        <v>-34203</v>
      </c>
      <c r="BA159" s="21">
        <v>-41618.107000000004</v>
      </c>
      <c r="BB159" s="21">
        <v>-43973.459000000003</v>
      </c>
      <c r="BC159" s="21">
        <v>32258.001</v>
      </c>
      <c r="BD159" s="21">
        <v>30004.326000000001</v>
      </c>
      <c r="BE159" s="21">
        <v>26708.433000000001</v>
      </c>
      <c r="BF159" s="21">
        <v>28515.503000000001</v>
      </c>
      <c r="BG159" s="21">
        <v>25573.703000000001</v>
      </c>
      <c r="BH159" s="21">
        <v>20977.897000000001</v>
      </c>
      <c r="BI159" s="21">
        <v>15791.583000000001</v>
      </c>
      <c r="BJ159" s="21">
        <v>14240.243</v>
      </c>
      <c r="BK159" s="21">
        <v>11385.279</v>
      </c>
      <c r="BL159" s="21">
        <v>8015.9629999999997</v>
      </c>
      <c r="BM159" s="21">
        <v>3816.3180000000002</v>
      </c>
      <c r="BN159" s="21">
        <v>2694.0239999999999</v>
      </c>
      <c r="BO159" s="21">
        <v>2001.6469999999999</v>
      </c>
      <c r="BP159" s="21">
        <v>-685.61599999999999</v>
      </c>
      <c r="BQ159" s="21">
        <v>3817.3139999999999</v>
      </c>
      <c r="BR159" s="21">
        <v>3849.9720000000002</v>
      </c>
      <c r="BS159" s="21">
        <v>1606.7650000000001</v>
      </c>
      <c r="BT159" s="21">
        <v>-5934.5720000000001</v>
      </c>
      <c r="BU159" s="21">
        <v>-1726.057</v>
      </c>
      <c r="BV159" s="21">
        <v>-19.448</v>
      </c>
      <c r="BW159" s="21">
        <v>-690.11300000000006</v>
      </c>
      <c r="BX159" s="21">
        <v>-1275.3610000000001</v>
      </c>
      <c r="BY159" s="21">
        <v>-11426.37</v>
      </c>
      <c r="BZ159" s="21">
        <v>-11658.088</v>
      </c>
      <c r="CA159" s="21">
        <v>-11909.695</v>
      </c>
      <c r="CB159" s="21">
        <v>-16938.84</v>
      </c>
      <c r="CC159" s="21">
        <v>-4413.0240000000003</v>
      </c>
      <c r="CD159" s="21">
        <v>-3980.0279999999998</v>
      </c>
      <c r="CE159" s="21">
        <v>-1437.9580000000001</v>
      </c>
      <c r="CG159" s="15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</row>
    <row r="160" spans="1:106" outlineLevel="2" x14ac:dyDescent="0.2">
      <c r="A160" s="14">
        <v>1</v>
      </c>
      <c r="C160" s="9" t="str">
        <f>"        Reserves/Accumulated Comprehensive Income/Losses"</f>
        <v xml:space="preserve">        Reserves/Accumulated Comprehensive Income/Losses</v>
      </c>
      <c r="D160" s="17">
        <f t="shared" si="32"/>
        <v>73</v>
      </c>
      <c r="E160" s="17">
        <f t="shared" si="33"/>
        <v>60.450854545454511</v>
      </c>
      <c r="F160" s="17">
        <f t="shared" si="34"/>
        <v>-1005</v>
      </c>
      <c r="G160" s="17">
        <f t="shared" si="35"/>
        <v>1519.25</v>
      </c>
      <c r="H160" s="17">
        <f t="shared" si="36"/>
        <v>72.650999999999996</v>
      </c>
      <c r="I160" s="17">
        <f t="shared" si="37"/>
        <v>73</v>
      </c>
      <c r="J160" s="17">
        <f t="shared" si="38"/>
        <v>327.98629858360101</v>
      </c>
      <c r="K160" s="18">
        <f t="shared" si="39"/>
        <v>5.4256685211452202</v>
      </c>
      <c r="L160" s="21"/>
      <c r="M160" s="21">
        <v>73</v>
      </c>
      <c r="N160" s="135">
        <v>73</v>
      </c>
      <c r="O160" s="135">
        <v>73</v>
      </c>
      <c r="P160" s="135">
        <v>501.5</v>
      </c>
      <c r="Q160" s="135">
        <v>1519.25</v>
      </c>
      <c r="R160" s="21">
        <v>585</v>
      </c>
      <c r="S160" s="21">
        <v>357</v>
      </c>
      <c r="T160" s="21">
        <v>436</v>
      </c>
      <c r="U160" s="21">
        <v>489</v>
      </c>
      <c r="V160" s="21">
        <v>-476</v>
      </c>
      <c r="W160" s="21">
        <v>-1005</v>
      </c>
      <c r="X160" s="21">
        <v>-748</v>
      </c>
      <c r="Y160" s="21">
        <v>-700</v>
      </c>
      <c r="Z160" s="21">
        <v>-233</v>
      </c>
      <c r="AA160" s="21">
        <v>-43</v>
      </c>
      <c r="AB160" s="21">
        <v>73</v>
      </c>
      <c r="AC160" s="21">
        <v>73</v>
      </c>
      <c r="AD160" s="21">
        <v>73</v>
      </c>
      <c r="AE160" s="21">
        <v>73</v>
      </c>
      <c r="AF160" s="21">
        <v>73</v>
      </c>
      <c r="AG160" s="21">
        <v>73</v>
      </c>
      <c r="AH160" s="21">
        <v>73</v>
      </c>
      <c r="AI160" s="21">
        <v>73</v>
      </c>
      <c r="AJ160" s="21">
        <v>73</v>
      </c>
      <c r="AK160" s="21">
        <v>73</v>
      </c>
      <c r="AL160" s="21">
        <v>73</v>
      </c>
      <c r="AM160" s="21">
        <v>73</v>
      </c>
      <c r="AN160" s="21">
        <v>73</v>
      </c>
      <c r="AO160" s="21">
        <v>73</v>
      </c>
      <c r="AP160" s="21">
        <v>73</v>
      </c>
      <c r="AQ160" s="21">
        <v>73</v>
      </c>
      <c r="AR160" s="21">
        <v>73</v>
      </c>
      <c r="AS160" s="21">
        <v>73</v>
      </c>
      <c r="AT160" s="21">
        <v>73</v>
      </c>
      <c r="AU160" s="21">
        <v>73</v>
      </c>
      <c r="AV160" s="21">
        <v>73</v>
      </c>
      <c r="AW160" s="21">
        <v>73</v>
      </c>
      <c r="AX160" s="21">
        <v>73</v>
      </c>
      <c r="AY160" s="21">
        <v>73</v>
      </c>
      <c r="AZ160" s="21">
        <v>73</v>
      </c>
      <c r="BA160" s="21">
        <v>72.650999999999996</v>
      </c>
      <c r="BB160" s="21">
        <v>72.650999999999996</v>
      </c>
      <c r="BC160" s="21">
        <v>72.650999999999996</v>
      </c>
      <c r="BD160" s="21">
        <v>72.650999999999996</v>
      </c>
      <c r="BE160" s="21">
        <v>72.650999999999996</v>
      </c>
      <c r="BF160" s="21">
        <v>72.650999999999996</v>
      </c>
      <c r="BG160" s="21">
        <v>72.650999999999996</v>
      </c>
      <c r="BH160" s="21">
        <v>72.650999999999996</v>
      </c>
      <c r="BI160" s="21" t="s">
        <v>165</v>
      </c>
      <c r="BJ160" s="21" t="s">
        <v>165</v>
      </c>
      <c r="BK160" s="21" t="s">
        <v>165</v>
      </c>
      <c r="BL160" s="21" t="s">
        <v>165</v>
      </c>
      <c r="BM160" s="21" t="s">
        <v>165</v>
      </c>
      <c r="BN160" s="21">
        <v>-118.33799999999999</v>
      </c>
      <c r="BO160" s="21" t="s">
        <v>165</v>
      </c>
      <c r="BP160" s="21" t="s">
        <v>165</v>
      </c>
      <c r="BQ160" s="21" t="s">
        <v>165</v>
      </c>
      <c r="BR160" s="21" t="s">
        <v>165</v>
      </c>
      <c r="BS160" s="21" t="s">
        <v>165</v>
      </c>
      <c r="BT160" s="21">
        <v>20.245000000000001</v>
      </c>
      <c r="BU160" s="21">
        <v>38.444000000000003</v>
      </c>
      <c r="BV160" s="21">
        <v>30.940999999999999</v>
      </c>
      <c r="BW160" s="21">
        <v>15.202999999999999</v>
      </c>
      <c r="BX160" s="21">
        <v>27.475999999999999</v>
      </c>
      <c r="BY160" s="21" t="s">
        <v>165</v>
      </c>
      <c r="BZ160" s="21" t="s">
        <v>165</v>
      </c>
      <c r="CA160" s="21" t="s">
        <v>165</v>
      </c>
      <c r="CB160" s="21">
        <v>2.8679999999999999</v>
      </c>
      <c r="CC160" s="21" t="s">
        <v>165</v>
      </c>
      <c r="CD160" s="21" t="s">
        <v>165</v>
      </c>
      <c r="CE160" s="21" t="s">
        <v>165</v>
      </c>
      <c r="CG160" s="15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</row>
    <row r="161" spans="1:106" outlineLevel="2" x14ac:dyDescent="0.2">
      <c r="A161" s="14">
        <v>1</v>
      </c>
      <c r="C161" s="10" t="str">
        <f>"        Total Equity Attributable to Parent Stockholders"</f>
        <v xml:space="preserve">        Total Equity Attributable to Parent Stockholders</v>
      </c>
      <c r="D161" s="29">
        <f t="shared" si="32"/>
        <v>100969</v>
      </c>
      <c r="E161" s="29">
        <f t="shared" si="33"/>
        <v>136449.86407042254</v>
      </c>
      <c r="F161" s="29">
        <f t="shared" si="34"/>
        <v>-1154.7739999999999</v>
      </c>
      <c r="G161" s="29">
        <f t="shared" si="35"/>
        <v>441509.75</v>
      </c>
      <c r="H161" s="29">
        <f t="shared" si="36"/>
        <v>31393.769500000002</v>
      </c>
      <c r="I161" s="29">
        <f t="shared" si="37"/>
        <v>175438</v>
      </c>
      <c r="J161" s="29">
        <f t="shared" si="38"/>
        <v>127216.55649791061</v>
      </c>
      <c r="K161" s="30">
        <f t="shared" si="39"/>
        <v>0.93233186683317937</v>
      </c>
      <c r="L161" s="31"/>
      <c r="M161" s="31">
        <v>360514</v>
      </c>
      <c r="N161" s="133">
        <v>288115</v>
      </c>
      <c r="O161" s="133">
        <v>375390</v>
      </c>
      <c r="P161" s="133">
        <v>441509.75</v>
      </c>
      <c r="Q161" s="133">
        <v>424009.5</v>
      </c>
      <c r="R161" s="31">
        <v>397431</v>
      </c>
      <c r="S161" s="31">
        <v>390645</v>
      </c>
      <c r="T161" s="31">
        <v>393162</v>
      </c>
      <c r="U161" s="31">
        <v>412295</v>
      </c>
      <c r="V161" s="31">
        <v>376497</v>
      </c>
      <c r="W161" s="31">
        <v>340361</v>
      </c>
      <c r="X161" s="31">
        <v>307816</v>
      </c>
      <c r="Y161" s="31">
        <v>264511</v>
      </c>
      <c r="Z161" s="31">
        <v>225331</v>
      </c>
      <c r="AA161" s="31">
        <v>209998</v>
      </c>
      <c r="AB161" s="31">
        <v>194370</v>
      </c>
      <c r="AC161" s="31">
        <v>169577</v>
      </c>
      <c r="AD161" s="31">
        <v>159712</v>
      </c>
      <c r="AE161" s="31">
        <v>152959</v>
      </c>
      <c r="AF161" s="31">
        <v>166823</v>
      </c>
      <c r="AG161" s="31">
        <v>138923</v>
      </c>
      <c r="AH161" s="31">
        <v>130981</v>
      </c>
      <c r="AI161" s="31">
        <v>194589</v>
      </c>
      <c r="AJ161" s="31">
        <v>181299</v>
      </c>
      <c r="AK161" s="31">
        <v>154614</v>
      </c>
      <c r="AL161" s="31">
        <v>158834</v>
      </c>
      <c r="AM161" s="31">
        <v>132144</v>
      </c>
      <c r="AN161" s="31">
        <v>112844</v>
      </c>
      <c r="AO161" s="31">
        <v>100969</v>
      </c>
      <c r="AP161" s="31">
        <v>95869</v>
      </c>
      <c r="AQ161" s="31">
        <v>96392</v>
      </c>
      <c r="AR161" s="31">
        <v>92732</v>
      </c>
      <c r="AS161" s="31">
        <v>93206</v>
      </c>
      <c r="AT161" s="31">
        <v>146034</v>
      </c>
      <c r="AU161" s="31">
        <v>167091</v>
      </c>
      <c r="AV161" s="31">
        <v>160577</v>
      </c>
      <c r="AW161" s="31">
        <v>155059</v>
      </c>
      <c r="AX161" s="31">
        <v>151419</v>
      </c>
      <c r="AY161" s="31">
        <v>136417</v>
      </c>
      <c r="AZ161" s="31">
        <v>50626</v>
      </c>
      <c r="BA161" s="31">
        <v>41023.434999999998</v>
      </c>
      <c r="BB161" s="31">
        <v>37939.142999999996</v>
      </c>
      <c r="BC161" s="31">
        <v>113148.874</v>
      </c>
      <c r="BD161" s="31">
        <v>77850.528999999995</v>
      </c>
      <c r="BE161" s="31">
        <v>72297.521999999997</v>
      </c>
      <c r="BF161" s="31">
        <v>72998.48</v>
      </c>
      <c r="BG161" s="31">
        <v>65962.626999999993</v>
      </c>
      <c r="BH161" s="31">
        <v>59105.199000000001</v>
      </c>
      <c r="BI161" s="31">
        <v>52364.762999999999</v>
      </c>
      <c r="BJ161" s="31">
        <v>49793.072999999997</v>
      </c>
      <c r="BK161" s="31">
        <v>46131.319000000003</v>
      </c>
      <c r="BL161" s="31">
        <v>41332.748</v>
      </c>
      <c r="BM161" s="31">
        <v>11021.504999999999</v>
      </c>
      <c r="BN161" s="31">
        <v>32355.137999999999</v>
      </c>
      <c r="BO161" s="31">
        <v>30432.401000000002</v>
      </c>
      <c r="BP161" s="31">
        <v>27091.177</v>
      </c>
      <c r="BQ161" s="31">
        <v>21201.583999999999</v>
      </c>
      <c r="BR161" s="31">
        <v>21233.544000000002</v>
      </c>
      <c r="BS161" s="31">
        <v>18428.885999999999</v>
      </c>
      <c r="BT161" s="31">
        <v>20255.334999999999</v>
      </c>
      <c r="BU161" s="31">
        <v>14780.508</v>
      </c>
      <c r="BV161" s="31">
        <v>16460.614000000001</v>
      </c>
      <c r="BW161" s="31">
        <v>15621.618</v>
      </c>
      <c r="BX161" s="31">
        <v>15029.843000000001</v>
      </c>
      <c r="BY161" s="31">
        <v>5256.665</v>
      </c>
      <c r="BZ161" s="31">
        <v>4959.9530000000004</v>
      </c>
      <c r="CA161" s="31">
        <v>4632.5029999999997</v>
      </c>
      <c r="CB161" s="31">
        <v>-1154.7739999999999</v>
      </c>
      <c r="CC161" s="31">
        <v>-590.64</v>
      </c>
      <c r="CD161" s="31">
        <v>-316.64400000000001</v>
      </c>
      <c r="CE161" s="31">
        <v>-351.82900000000001</v>
      </c>
      <c r="CG161" s="15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</row>
    <row r="162" spans="1:106" outlineLevel="1" x14ac:dyDescent="0.2">
      <c r="A162" s="14">
        <v>1</v>
      </c>
      <c r="C162" s="91" t="str">
        <f>"    Total Equity"</f>
        <v xml:space="preserve">    Total Equity</v>
      </c>
      <c r="D162" s="29">
        <f t="shared" si="32"/>
        <v>100969</v>
      </c>
      <c r="E162" s="29">
        <f t="shared" si="33"/>
        <v>136449.86407042254</v>
      </c>
      <c r="F162" s="29">
        <f t="shared" si="34"/>
        <v>-1154.7739999999999</v>
      </c>
      <c r="G162" s="29">
        <f t="shared" si="35"/>
        <v>441509.75</v>
      </c>
      <c r="H162" s="29">
        <f t="shared" si="36"/>
        <v>31393.769500000002</v>
      </c>
      <c r="I162" s="29">
        <f t="shared" si="37"/>
        <v>175438</v>
      </c>
      <c r="J162" s="29">
        <f t="shared" si="38"/>
        <v>127216.55649791061</v>
      </c>
      <c r="K162" s="30">
        <f t="shared" si="39"/>
        <v>0.93233186683317937</v>
      </c>
      <c r="L162" s="29"/>
      <c r="M162" s="29">
        <v>360514</v>
      </c>
      <c r="N162" s="29">
        <v>288115</v>
      </c>
      <c r="O162" s="29">
        <v>375390</v>
      </c>
      <c r="P162" s="29">
        <v>441509.75</v>
      </c>
      <c r="Q162" s="29">
        <v>424009.5</v>
      </c>
      <c r="R162" s="29">
        <v>397431</v>
      </c>
      <c r="S162" s="29">
        <v>390645</v>
      </c>
      <c r="T162" s="29">
        <v>393162</v>
      </c>
      <c r="U162" s="29">
        <v>412295</v>
      </c>
      <c r="V162" s="29">
        <v>376497</v>
      </c>
      <c r="W162" s="29">
        <v>340361</v>
      </c>
      <c r="X162" s="29">
        <v>307816</v>
      </c>
      <c r="Y162" s="29">
        <v>264511</v>
      </c>
      <c r="Z162" s="29">
        <v>225331</v>
      </c>
      <c r="AA162" s="29">
        <v>209998</v>
      </c>
      <c r="AB162" s="29">
        <v>194370</v>
      </c>
      <c r="AC162" s="29">
        <v>169577</v>
      </c>
      <c r="AD162" s="29">
        <v>159712</v>
      </c>
      <c r="AE162" s="29">
        <v>152959</v>
      </c>
      <c r="AF162" s="29">
        <v>166823</v>
      </c>
      <c r="AG162" s="29">
        <v>138923</v>
      </c>
      <c r="AH162" s="29">
        <v>130981</v>
      </c>
      <c r="AI162" s="29">
        <v>194589</v>
      </c>
      <c r="AJ162" s="29">
        <v>181299</v>
      </c>
      <c r="AK162" s="29">
        <v>154614</v>
      </c>
      <c r="AL162" s="29">
        <v>158834</v>
      </c>
      <c r="AM162" s="29">
        <v>132144</v>
      </c>
      <c r="AN162" s="29">
        <v>112844</v>
      </c>
      <c r="AO162" s="29">
        <v>100969</v>
      </c>
      <c r="AP162" s="29">
        <v>95869</v>
      </c>
      <c r="AQ162" s="29">
        <v>96392</v>
      </c>
      <c r="AR162" s="29">
        <v>92732</v>
      </c>
      <c r="AS162" s="29">
        <v>93206</v>
      </c>
      <c r="AT162" s="29">
        <v>146034</v>
      </c>
      <c r="AU162" s="29">
        <v>167091</v>
      </c>
      <c r="AV162" s="29">
        <v>160577</v>
      </c>
      <c r="AW162" s="29">
        <v>155059</v>
      </c>
      <c r="AX162" s="29">
        <v>151419</v>
      </c>
      <c r="AY162" s="29">
        <v>136417</v>
      </c>
      <c r="AZ162" s="29">
        <v>50626</v>
      </c>
      <c r="BA162" s="29">
        <v>41023.434999999998</v>
      </c>
      <c r="BB162" s="29">
        <v>37939.142999999996</v>
      </c>
      <c r="BC162" s="29">
        <v>113148.874</v>
      </c>
      <c r="BD162" s="29">
        <v>77850.528999999995</v>
      </c>
      <c r="BE162" s="29">
        <v>72297.521999999997</v>
      </c>
      <c r="BF162" s="29">
        <v>72998.48</v>
      </c>
      <c r="BG162" s="29">
        <v>65962.626999999993</v>
      </c>
      <c r="BH162" s="29">
        <v>59105.199000000001</v>
      </c>
      <c r="BI162" s="29">
        <v>52364.762999999999</v>
      </c>
      <c r="BJ162" s="29">
        <v>49793.072999999997</v>
      </c>
      <c r="BK162" s="29">
        <v>46131.319000000003</v>
      </c>
      <c r="BL162" s="29">
        <v>41332.748</v>
      </c>
      <c r="BM162" s="29">
        <v>11021.504999999999</v>
      </c>
      <c r="BN162" s="29">
        <v>32355.137999999999</v>
      </c>
      <c r="BO162" s="29">
        <v>30432.401000000002</v>
      </c>
      <c r="BP162" s="29">
        <v>27091.177</v>
      </c>
      <c r="BQ162" s="29">
        <v>21201.583999999999</v>
      </c>
      <c r="BR162" s="29">
        <v>21233.544000000002</v>
      </c>
      <c r="BS162" s="29">
        <v>18428.885999999999</v>
      </c>
      <c r="BT162" s="29">
        <v>20255.334999999999</v>
      </c>
      <c r="BU162" s="29">
        <v>14780.508</v>
      </c>
      <c r="BV162" s="29">
        <v>16460.614000000001</v>
      </c>
      <c r="BW162" s="29">
        <v>15621.618</v>
      </c>
      <c r="BX162" s="29">
        <v>15029.843000000001</v>
      </c>
      <c r="BY162" s="29">
        <v>5256.665</v>
      </c>
      <c r="BZ162" s="29">
        <v>4959.9530000000004</v>
      </c>
      <c r="CA162" s="29">
        <v>4632.5029999999997</v>
      </c>
      <c r="CB162" s="29">
        <v>-1154.7739999999999</v>
      </c>
      <c r="CC162" s="29">
        <v>-590.64</v>
      </c>
      <c r="CD162" s="29">
        <v>-316.64400000000001</v>
      </c>
      <c r="CE162" s="29">
        <v>-351.82900000000001</v>
      </c>
      <c r="CG162" s="15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</row>
    <row r="163" spans="1:106" x14ac:dyDescent="0.2">
      <c r="A163" s="14">
        <v>1</v>
      </c>
      <c r="C163" s="91" t="str">
        <f>"Balance Sheet Supplemental Section"</f>
        <v>Balance Sheet Supplemental Section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 t="s">
        <v>165</v>
      </c>
      <c r="N163" s="28"/>
      <c r="O163" s="28"/>
      <c r="P163" s="28"/>
      <c r="Q163" s="28"/>
      <c r="R163" s="28" t="s">
        <v>165</v>
      </c>
      <c r="S163" s="28" t="s">
        <v>165</v>
      </c>
      <c r="T163" s="28" t="s">
        <v>165</v>
      </c>
      <c r="U163" s="28" t="s">
        <v>165</v>
      </c>
      <c r="V163" s="28" t="s">
        <v>165</v>
      </c>
      <c r="W163" s="28" t="s">
        <v>165</v>
      </c>
      <c r="X163" s="28" t="s">
        <v>165</v>
      </c>
      <c r="Y163" s="28" t="s">
        <v>165</v>
      </c>
      <c r="Z163" s="28" t="s">
        <v>165</v>
      </c>
      <c r="AA163" s="28" t="s">
        <v>165</v>
      </c>
      <c r="AB163" s="28" t="s">
        <v>165</v>
      </c>
      <c r="AC163" s="28" t="s">
        <v>165</v>
      </c>
      <c r="AD163" s="28" t="s">
        <v>165</v>
      </c>
      <c r="AE163" s="28" t="s">
        <v>165</v>
      </c>
      <c r="AF163" s="28" t="s">
        <v>165</v>
      </c>
      <c r="AG163" s="28" t="s">
        <v>165</v>
      </c>
      <c r="AH163" s="28" t="s">
        <v>165</v>
      </c>
      <c r="AI163" s="28" t="s">
        <v>165</v>
      </c>
      <c r="AJ163" s="28" t="s">
        <v>165</v>
      </c>
      <c r="AK163" s="28" t="s">
        <v>165</v>
      </c>
      <c r="AL163" s="28" t="s">
        <v>165</v>
      </c>
      <c r="AM163" s="28" t="s">
        <v>165</v>
      </c>
      <c r="AN163" s="28" t="s">
        <v>165</v>
      </c>
      <c r="AO163" s="28" t="s">
        <v>165</v>
      </c>
      <c r="AP163" s="28" t="s">
        <v>165</v>
      </c>
      <c r="AQ163" s="28" t="s">
        <v>165</v>
      </c>
      <c r="AR163" s="28" t="s">
        <v>165</v>
      </c>
      <c r="AS163" s="28" t="s">
        <v>165</v>
      </c>
      <c r="AT163" s="28" t="s">
        <v>165</v>
      </c>
      <c r="AU163" s="28" t="s">
        <v>165</v>
      </c>
      <c r="AV163" s="28" t="s">
        <v>165</v>
      </c>
      <c r="AW163" s="28" t="s">
        <v>165</v>
      </c>
      <c r="AX163" s="28" t="s">
        <v>165</v>
      </c>
      <c r="AY163" s="28" t="s">
        <v>165</v>
      </c>
      <c r="AZ163" s="28" t="s">
        <v>165</v>
      </c>
      <c r="BA163" s="28" t="s">
        <v>165</v>
      </c>
      <c r="BB163" s="28" t="s">
        <v>165</v>
      </c>
      <c r="BC163" s="28" t="s">
        <v>165</v>
      </c>
      <c r="BD163" s="28" t="s">
        <v>165</v>
      </c>
      <c r="BE163" s="28" t="s">
        <v>165</v>
      </c>
      <c r="BF163" s="28" t="s">
        <v>165</v>
      </c>
      <c r="BG163" s="28" t="s">
        <v>165</v>
      </c>
      <c r="BH163" s="28" t="s">
        <v>165</v>
      </c>
      <c r="BI163" s="28" t="s">
        <v>165</v>
      </c>
      <c r="BJ163" s="28" t="s">
        <v>165</v>
      </c>
      <c r="BK163" s="28" t="s">
        <v>165</v>
      </c>
      <c r="BL163" s="28" t="s">
        <v>165</v>
      </c>
      <c r="BM163" s="28" t="s">
        <v>165</v>
      </c>
      <c r="BN163" s="28" t="s">
        <v>165</v>
      </c>
      <c r="BO163" s="28" t="s">
        <v>165</v>
      </c>
      <c r="BP163" s="28" t="s">
        <v>165</v>
      </c>
      <c r="BQ163" s="28" t="s">
        <v>165</v>
      </c>
      <c r="BR163" s="28" t="s">
        <v>165</v>
      </c>
      <c r="BS163" s="28" t="s">
        <v>165</v>
      </c>
      <c r="BT163" s="28" t="s">
        <v>165</v>
      </c>
      <c r="BU163" s="28" t="s">
        <v>165</v>
      </c>
      <c r="BV163" s="28" t="s">
        <v>165</v>
      </c>
      <c r="BW163" s="28" t="s">
        <v>165</v>
      </c>
      <c r="BX163" s="28" t="s">
        <v>165</v>
      </c>
      <c r="BY163" s="28" t="s">
        <v>165</v>
      </c>
      <c r="BZ163" s="28" t="s">
        <v>165</v>
      </c>
      <c r="CA163" s="28" t="s">
        <v>165</v>
      </c>
      <c r="CB163" s="28" t="s">
        <v>165</v>
      </c>
      <c r="CC163" s="28" t="s">
        <v>165</v>
      </c>
      <c r="CD163" s="28" t="s">
        <v>165</v>
      </c>
      <c r="CE163" s="28" t="s">
        <v>165</v>
      </c>
      <c r="CG163" s="15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</row>
    <row r="164" spans="1:106" outlineLevel="1" x14ac:dyDescent="0.2">
      <c r="A164" s="14">
        <v>1</v>
      </c>
      <c r="C164" s="9" t="str">
        <f>IF(SUBTOTAL(109,A164)=A164,"    Common Shares Issued","    Common Shares Issued")</f>
        <v xml:space="preserve">    Common Shares Issued</v>
      </c>
      <c r="D164" s="17" t="str">
        <f>IF(COUNT(M164:CE164)&gt;0,MEDIAN(M164:CE164),"")</f>
        <v/>
      </c>
      <c r="E164" s="17" t="str">
        <f>IF(COUNT(M164:CE164)&gt;0,AVERAGE(M164:CE164),"")</f>
        <v/>
      </c>
      <c r="F164" s="17" t="str">
        <f>IF(COUNT(M164:CE164)&gt;0,MIN(M164:CE164),"")</f>
        <v/>
      </c>
      <c r="G164" s="17" t="str">
        <f>IF(COUNT(M164:CE164)&gt;0,MAX(M164:CE164),"")</f>
        <v/>
      </c>
      <c r="H164" s="17" t="str">
        <f>IF(COUNT(M164:CE164)&gt;0,QUARTILE(M164:CE164,1),"")</f>
        <v/>
      </c>
      <c r="I164" s="17" t="str">
        <f>IF(COUNT(M164:CE164)&gt;0,QUARTILE(M164:CE164,3),"")</f>
        <v/>
      </c>
      <c r="J164" s="17" t="str">
        <f>IF(COUNT(M164:CE164)&gt;1,STDEV(M164:CE164),"")</f>
        <v/>
      </c>
      <c r="K164" s="18" t="str">
        <f>IF(COUNT(M164:CE164)&gt;1,STDEV(M164:CE164)/AVERAGE(M164:CE164),"")</f>
        <v/>
      </c>
      <c r="L164" s="21"/>
      <c r="M164" s="21" t="str">
        <f>IF(SUBTOTAL(109,A164)=A164,"",74641439)</f>
        <v/>
      </c>
      <c r="N164" s="21"/>
      <c r="O164" s="21"/>
      <c r="P164" s="21"/>
      <c r="Q164" s="21"/>
      <c r="R164" s="21" t="str">
        <f>IF(SUBTOTAL(109,A164)=A164,"",72280952)</f>
        <v/>
      </c>
      <c r="S164" s="21" t="str">
        <f>IF(SUBTOTAL(109,A164)=A164,"",72166898)</f>
        <v/>
      </c>
      <c r="T164" s="21" t="str">
        <f>IF(SUBTOTAL(109,A164)=A164,"",72017288)</f>
        <v/>
      </c>
      <c r="U164" s="21" t="str">
        <f>IF(SUBTOTAL(109,A164)=A164,"",71918857)</f>
        <v/>
      </c>
      <c r="V164" s="21" t="str">
        <f>IF(SUBTOTAL(109,A164)=A164,"",71839085)</f>
        <v/>
      </c>
      <c r="W164" s="21" t="str">
        <f>IF(SUBTOTAL(109,A164)=A164,"",71714635)</f>
        <v/>
      </c>
      <c r="X164" s="21" t="str">
        <f>IF(SUBTOTAL(109,A164)=A164,"",71558633)</f>
        <v/>
      </c>
      <c r="Y164" s="21" t="str">
        <f>IF(SUBTOTAL(109,A164)=A164,"",70671290)</f>
        <v/>
      </c>
      <c r="Z164" s="21" t="str">
        <f>IF(SUBTOTAL(109,A164)=A164,"",70118491)</f>
        <v/>
      </c>
      <c r="AA164" s="21" t="str">
        <f>IF(SUBTOTAL(109,A164)=A164,"",69931033)</f>
        <v/>
      </c>
      <c r="AB164" s="21" t="str">
        <f>IF(SUBTOTAL(109,A164)=A164,"",69625081)</f>
        <v/>
      </c>
      <c r="AC164" s="21" t="str">
        <f>IF(SUBTOTAL(109,A164)=A164,"",69324412)</f>
        <v/>
      </c>
      <c r="AD164" s="21" t="str">
        <f>IF(SUBTOTAL(109,A164)=A164,"",69264706)</f>
        <v/>
      </c>
      <c r="AE164" s="21" t="str">
        <f>IF(SUBTOTAL(109,A164)=A164,"",68989945)</f>
        <v/>
      </c>
      <c r="AF164" s="21" t="str">
        <f>IF(SUBTOTAL(109,A164)=A164,"",68809986)</f>
        <v/>
      </c>
      <c r="AG164" s="21" t="str">
        <f>IF(SUBTOTAL(109,A164)=A164,"",68375833)</f>
        <v/>
      </c>
      <c r="AH164" s="21" t="str">
        <f>IF(SUBTOTAL(109,A164)=A164,"",68244648)</f>
        <v/>
      </c>
      <c r="AI164" s="21" t="str">
        <f>IF(SUBTOTAL(109,A164)=A164,"",67717348)</f>
        <v/>
      </c>
      <c r="AJ164" s="21" t="str">
        <f>IF(SUBTOTAL(109,A164)=A164,"",67596716)</f>
        <v/>
      </c>
      <c r="AK164" s="21" t="str">
        <f>IF(SUBTOTAL(109,A164)=A164,"",67459468)</f>
        <v/>
      </c>
      <c r="AL164" s="21" t="str">
        <f>IF(SUBTOTAL(109,A164)=A164,"",67447748)</f>
        <v/>
      </c>
      <c r="AM164" s="21" t="str">
        <f>IF(SUBTOTAL(109,A164)=A164,"",66608175)</f>
        <v/>
      </c>
      <c r="AN164" s="21" t="str">
        <f>IF(SUBTOTAL(109,A164)=A164,"",66512097)</f>
        <v/>
      </c>
      <c r="AO164" s="21" t="str">
        <f>IF(SUBTOTAL(109,A164)=A164,"",66080283)</f>
        <v/>
      </c>
      <c r="AP164" s="21" t="str">
        <f>IF(SUBTOTAL(109,A164)=A164,"",66069449)</f>
        <v/>
      </c>
      <c r="AQ164" s="21" t="str">
        <f>IF(SUBTOTAL(109,A164)=A164,"",65811531)</f>
        <v/>
      </c>
      <c r="AR164" s="21" t="str">
        <f>IF(SUBTOTAL(109,A164)=A164,"",65710531)</f>
        <v/>
      </c>
      <c r="AS164" s="21" t="str">
        <f>IF(SUBTOTAL(109,A164)=A164,"",61455321)</f>
        <v/>
      </c>
      <c r="AT164" s="21" t="str">
        <f>IF(SUBTOTAL(109,A164)=A164,"",61442821)</f>
        <v/>
      </c>
      <c r="AU164" s="21" t="str">
        <f>IF(SUBTOTAL(109,A164)=A164,"",61180060)</f>
        <v/>
      </c>
      <c r="AV164" s="21" t="str">
        <f>IF(SUBTOTAL(109,A164)=A164,"",61122031)</f>
        <v/>
      </c>
      <c r="AW164" s="21" t="str">
        <f>IF(SUBTOTAL(109,A164)=A164,"",60948802)</f>
        <v/>
      </c>
      <c r="AX164" s="21" t="str">
        <f>IF(SUBTOTAL(109,A164)=A164,"",59623923)</f>
        <v/>
      </c>
      <c r="AY164" s="21" t="str">
        <f>IF(SUBTOTAL(109,A164)=A164,"",60646382)</f>
        <v/>
      </c>
      <c r="AZ164" s="21" t="str">
        <f>IF(SUBTOTAL(109,A164)=A164,"",47210026)</f>
        <v/>
      </c>
      <c r="BA164" s="21" t="str">
        <f>IF(SUBTOTAL(109,A164)=A164,"",47210026)</f>
        <v/>
      </c>
      <c r="BB164" s="21" t="str">
        <f>IF(SUBTOTAL(109,A164)=A164,"",47202859)</f>
        <v/>
      </c>
      <c r="BC164" s="21" t="str">
        <f>IF(SUBTOTAL(109,A164)=A164,"",47058678)</f>
        <v/>
      </c>
      <c r="BD164" s="21" t="str">
        <f>IF(SUBTOTAL(109,A164)=A164,"",40632039)</f>
        <v/>
      </c>
      <c r="BE164" s="21" t="str">
        <f>IF(SUBTOTAL(109,A164)=A164,"",40406842)</f>
        <v/>
      </c>
      <c r="BF164" s="21" t="str">
        <f>IF(SUBTOTAL(109,A164)=A164,"",40382673)</f>
        <v/>
      </c>
      <c r="BG164" s="21" t="str">
        <f>IF(SUBTOTAL(109,A164)=A164,"",40234302)</f>
        <v/>
      </c>
      <c r="BH164" s="21" t="str">
        <f>IF(SUBTOTAL(109,A164)=A164,"",39908890)</f>
        <v/>
      </c>
      <c r="BI164" s="21" t="str">
        <f>IF(SUBTOTAL(109,A164)=A164,"",39698760)</f>
        <v/>
      </c>
      <c r="BJ164" s="21" t="str">
        <f>IF(SUBTOTAL(109,A164)=A164,"",39635422)</f>
        <v/>
      </c>
      <c r="BK164" s="21" t="str">
        <f>IF(SUBTOTAL(109,A164)=A164,"",39527543)</f>
        <v/>
      </c>
      <c r="BL164" s="21" t="str">
        <f>IF(SUBTOTAL(109,A164)=A164,"",39310543)</f>
        <v/>
      </c>
      <c r="BM164" s="21" t="str">
        <f>IF(SUBTOTAL(109,A164)=A164,"",39206647)</f>
        <v/>
      </c>
      <c r="BN164" s="21" t="str">
        <f>IF(SUBTOTAL(109,A164)=A164,"",39206647)</f>
        <v/>
      </c>
      <c r="BO164" s="21" t="str">
        <f>IF(SUBTOTAL(109,A164)=A164,"",32128917)</f>
        <v/>
      </c>
      <c r="BP164" s="21" t="str">
        <f>IF(SUBTOTAL(109,A164)=A164,"",31974017)</f>
        <v/>
      </c>
      <c r="BQ164" s="21" t="str">
        <f>IF(SUBTOTAL(109,A164)=A164,"",31499193)</f>
        <v/>
      </c>
      <c r="BR164" s="21" t="str">
        <f>IF(SUBTOTAL(109,A164)=A164,"",31499193)</f>
        <v/>
      </c>
      <c r="BS164" s="21" t="str">
        <f>IF(SUBTOTAL(109,A164)=A164,"",31064048)</f>
        <v/>
      </c>
      <c r="BT164" s="21" t="str">
        <f>IF(SUBTOTAL(109,A164)=A164,"",30935799)</f>
        <v/>
      </c>
      <c r="BU164" s="21" t="str">
        <f>IF(SUBTOTAL(109,A164)=A164,"",30619628)</f>
        <v/>
      </c>
      <c r="BV164" s="21" t="str">
        <f>IF(SUBTOTAL(109,A164)=A164,"",30756380)</f>
        <v/>
      </c>
      <c r="BW164" s="21" t="str">
        <f>IF(SUBTOTAL(109,A164)=A164,"",30629628)</f>
        <v/>
      </c>
      <c r="BX164" s="21" t="str">
        <f>IF(SUBTOTAL(109,A164)=A164,"",30619628)</f>
        <v/>
      </c>
      <c r="BY164" s="21" t="str">
        <f>IF(SUBTOTAL(109,A164)=A164,"",29805430)</f>
        <v/>
      </c>
      <c r="BZ164" s="21" t="str">
        <f>IF(SUBTOTAL(109,A164)=A164,"",29750730)</f>
        <v/>
      </c>
      <c r="CA164" s="21" t="str">
        <f>IF(SUBTOTAL(109,A164)=A164,"",29683613)</f>
        <v/>
      </c>
      <c r="CB164" s="21" t="str">
        <f>IF(SUBTOTAL(109,A164)=A164,"",29683613)</f>
        <v/>
      </c>
      <c r="CC164" s="21" t="str">
        <f>IF(SUBTOTAL(109,A164)=A164,"",17006163)</f>
        <v/>
      </c>
      <c r="CD164" s="21" t="str">
        <f>IF(SUBTOTAL(109,A164)=A164,"",17006163)</f>
        <v/>
      </c>
      <c r="CE164" s="21" t="str">
        <f>IF(SUBTOTAL(109,A164)=A164,"",8578610)</f>
        <v/>
      </c>
      <c r="CG164" s="15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</row>
    <row r="165" spans="1:106" outlineLevel="2" x14ac:dyDescent="0.2">
      <c r="A165" s="14">
        <v>1</v>
      </c>
      <c r="C165" s="9" t="str">
        <f>"        Common Shares Outstanding"</f>
        <v xml:space="preserve">        Common Shares Outstanding</v>
      </c>
      <c r="D165" s="17">
        <f>IF(COUNT(M165:CE165)&gt;0,MEDIAN(M165:CE165),"")</f>
        <v>53702084</v>
      </c>
      <c r="E165" s="17">
        <f>IF(COUNT(M165:CE165)&gt;0,AVERAGE(M165:CE165),"")</f>
        <v>47304752.204225354</v>
      </c>
      <c r="F165" s="17">
        <f>IF(COUNT(M165:CE165)&gt;0,MIN(M165:CE165),"")</f>
        <v>8578610</v>
      </c>
      <c r="G165" s="17">
        <f>IF(COUNT(M165:CE165)&gt;0,MAX(M165:CE165),"")</f>
        <v>66247748</v>
      </c>
      <c r="H165" s="17">
        <f>IF(COUNT(M165:CE165)&gt;0,QUARTILE(M165:CE165,1),"")</f>
        <v>39206647</v>
      </c>
      <c r="I165" s="17">
        <f>IF(COUNT(M165:CE165)&gt;0,QUARTILE(M165:CE165,3),"")</f>
        <v>56316349</v>
      </c>
      <c r="J165" s="17">
        <f>IF(COUNT(M165:CE165)&gt;1,STDEV(M165:CE165),"")</f>
        <v>13682293.556680452</v>
      </c>
      <c r="K165" s="18">
        <f>IF(COUNT(M165:CE165)&gt;1,STDEV(M165:CE165)/AVERAGE(M165:CE165),"")</f>
        <v>0.28923718905895301</v>
      </c>
      <c r="L165" s="21"/>
      <c r="M165" s="21">
        <v>45601069</v>
      </c>
      <c r="N165" s="135">
        <v>49881742.5</v>
      </c>
      <c r="O165" s="135">
        <v>55520439.25</v>
      </c>
      <c r="P165" s="135">
        <v>54781189.25</v>
      </c>
      <c r="Q165" s="135">
        <v>54329672.5</v>
      </c>
      <c r="R165" s="21">
        <v>54114090</v>
      </c>
      <c r="S165" s="21">
        <v>54000036</v>
      </c>
      <c r="T165" s="21">
        <v>53850426</v>
      </c>
      <c r="U165" s="21">
        <v>56356235</v>
      </c>
      <c r="V165" s="21">
        <v>56276463</v>
      </c>
      <c r="W165" s="21">
        <v>56152013</v>
      </c>
      <c r="X165" s="21">
        <v>55996011</v>
      </c>
      <c r="Y165" s="21">
        <v>55108668</v>
      </c>
      <c r="Z165" s="21">
        <v>54555869</v>
      </c>
      <c r="AA165" s="21">
        <v>54368411</v>
      </c>
      <c r="AB165" s="21">
        <v>54062459</v>
      </c>
      <c r="AC165" s="21">
        <v>53761790</v>
      </c>
      <c r="AD165" s="21">
        <v>53702084</v>
      </c>
      <c r="AE165" s="21">
        <v>53427323</v>
      </c>
      <c r="AF165" s="21">
        <v>55352679</v>
      </c>
      <c r="AG165" s="21">
        <v>54918526</v>
      </c>
      <c r="AH165" s="21">
        <v>55930917</v>
      </c>
      <c r="AI165" s="21">
        <v>63000512</v>
      </c>
      <c r="AJ165" s="21">
        <v>64297113</v>
      </c>
      <c r="AK165" s="21">
        <v>64159865</v>
      </c>
      <c r="AL165" s="21">
        <v>66247748</v>
      </c>
      <c r="AM165" s="21">
        <v>65408175</v>
      </c>
      <c r="AN165" s="21">
        <v>65312097</v>
      </c>
      <c r="AO165" s="21">
        <v>64880283</v>
      </c>
      <c r="AP165" s="21">
        <v>64869449</v>
      </c>
      <c r="AQ165" s="21">
        <v>64611531</v>
      </c>
      <c r="AR165" s="21">
        <v>64510531</v>
      </c>
      <c r="AS165" s="21">
        <v>60255321</v>
      </c>
      <c r="AT165" s="21">
        <v>60242821</v>
      </c>
      <c r="AU165" s="21">
        <v>59980060</v>
      </c>
      <c r="AV165" s="21">
        <v>59922031</v>
      </c>
      <c r="AW165" s="21">
        <v>59748802</v>
      </c>
      <c r="AX165" s="21">
        <v>59623923</v>
      </c>
      <c r="AY165" s="21">
        <v>59446382</v>
      </c>
      <c r="AZ165" s="21">
        <v>47210026</v>
      </c>
      <c r="BA165" s="21">
        <v>47210026</v>
      </c>
      <c r="BB165" s="21">
        <v>47202859</v>
      </c>
      <c r="BC165" s="21">
        <v>47058678</v>
      </c>
      <c r="BD165" s="21">
        <v>40632039</v>
      </c>
      <c r="BE165" s="21">
        <v>40406842</v>
      </c>
      <c r="BF165" s="21">
        <v>40382673</v>
      </c>
      <c r="BG165" s="21">
        <v>40234302</v>
      </c>
      <c r="BH165" s="21">
        <v>39908890</v>
      </c>
      <c r="BI165" s="21">
        <v>39698760</v>
      </c>
      <c r="BJ165" s="21">
        <v>39635422</v>
      </c>
      <c r="BK165" s="21">
        <v>39527543</v>
      </c>
      <c r="BL165" s="21">
        <v>39310543</v>
      </c>
      <c r="BM165" s="21">
        <v>39206647</v>
      </c>
      <c r="BN165" s="21">
        <v>39206647</v>
      </c>
      <c r="BO165" s="21">
        <v>32128917</v>
      </c>
      <c r="BP165" s="21">
        <v>31974017</v>
      </c>
      <c r="BQ165" s="21">
        <v>31499193</v>
      </c>
      <c r="BR165" s="21">
        <v>31499193</v>
      </c>
      <c r="BS165" s="21">
        <v>31064048</v>
      </c>
      <c r="BT165" s="21">
        <v>30935799</v>
      </c>
      <c r="BU165" s="21">
        <v>30619628</v>
      </c>
      <c r="BV165" s="21">
        <v>30756380</v>
      </c>
      <c r="BW165" s="21">
        <v>30629628</v>
      </c>
      <c r="BX165" s="21">
        <v>30619628</v>
      </c>
      <c r="BY165" s="21">
        <v>29805430</v>
      </c>
      <c r="BZ165" s="21">
        <v>29750730</v>
      </c>
      <c r="CA165" s="21">
        <v>29683613</v>
      </c>
      <c r="CB165" s="21">
        <v>29683613</v>
      </c>
      <c r="CC165" s="21">
        <v>17006163</v>
      </c>
      <c r="CD165" s="21">
        <v>17006163</v>
      </c>
      <c r="CE165" s="21">
        <v>8578610</v>
      </c>
      <c r="CG165" s="15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</row>
    <row r="166" spans="1:106" outlineLevel="2" x14ac:dyDescent="0.2">
      <c r="A166" s="14">
        <v>1</v>
      </c>
      <c r="C166" s="9" t="str">
        <f>"        Common Shares Treasury"</f>
        <v xml:space="preserve">        Common Shares Treasury</v>
      </c>
      <c r="D166" s="17">
        <f>IF(COUNT(M166:CE166)&gt;0,MEDIAN(M166:CE166),"")</f>
        <v>14509964.5</v>
      </c>
      <c r="E166" s="17">
        <f>IF(COUNT(M166:CE166)&gt;0,AVERAGE(M166:CE166),"")</f>
        <v>10521004.40131579</v>
      </c>
      <c r="F166" s="17">
        <f>IF(COUNT(M166:CE166)&gt;0,MIN(M166:CE166),"")</f>
        <v>1200000</v>
      </c>
      <c r="G166" s="17">
        <f>IF(COUNT(M166:CE166)&gt;0,MAX(M166:CE166),"")</f>
        <v>29040370</v>
      </c>
      <c r="H166" s="17">
        <f>IF(COUNT(M166:CE166)&gt;0,QUARTILE(M166:CE166,1),"")</f>
        <v>1200000</v>
      </c>
      <c r="I166" s="17">
        <f>IF(COUNT(M166:CE166)&gt;0,QUARTILE(M166:CE166,3),"")</f>
        <v>15562622</v>
      </c>
      <c r="J166" s="17">
        <f>IF(COUNT(M166:CE166)&gt;1,STDEV(M166:CE166),"")</f>
        <v>8144792.8670809306</v>
      </c>
      <c r="K166" s="18">
        <f>IF(COUNT(M166:CE166)&gt;1,STDEV(M166:CE166)/AVERAGE(M166:CE166),"")</f>
        <v>0.77414594238382006</v>
      </c>
      <c r="L166" s="21"/>
      <c r="M166" s="21">
        <v>29040370</v>
      </c>
      <c r="N166" s="133">
        <v>24423396.25</v>
      </c>
      <c r="O166" s="133">
        <v>18166862</v>
      </c>
      <c r="P166" s="133">
        <v>18166862</v>
      </c>
      <c r="Q166" s="133">
        <v>18166862</v>
      </c>
      <c r="R166" s="21">
        <v>18166862</v>
      </c>
      <c r="S166" s="21">
        <v>18166862</v>
      </c>
      <c r="T166" s="21">
        <v>18166862</v>
      </c>
      <c r="U166" s="21">
        <v>15562622</v>
      </c>
      <c r="V166" s="21">
        <v>15562622</v>
      </c>
      <c r="W166" s="21">
        <v>15562622</v>
      </c>
      <c r="X166" s="21">
        <v>15562622</v>
      </c>
      <c r="Y166" s="21">
        <v>15562622</v>
      </c>
      <c r="Z166" s="21">
        <v>15562622</v>
      </c>
      <c r="AA166" s="21">
        <v>15562622</v>
      </c>
      <c r="AB166" s="21">
        <v>15562622</v>
      </c>
      <c r="AC166" s="21">
        <v>15562622</v>
      </c>
      <c r="AD166" s="21">
        <v>15562622</v>
      </c>
      <c r="AE166" s="21">
        <v>15562622</v>
      </c>
      <c r="AF166" s="21">
        <v>13457307</v>
      </c>
      <c r="AG166" s="21">
        <v>13457307</v>
      </c>
      <c r="AH166" s="21">
        <v>12313731</v>
      </c>
      <c r="AI166" s="21">
        <v>4716836</v>
      </c>
      <c r="AJ166" s="21">
        <v>3299603</v>
      </c>
      <c r="AK166" s="21">
        <v>3299603</v>
      </c>
      <c r="AL166" s="21">
        <v>1200000</v>
      </c>
      <c r="AM166" s="21">
        <v>1200000</v>
      </c>
      <c r="AN166" s="21">
        <v>1200000</v>
      </c>
      <c r="AO166" s="21">
        <v>1200000</v>
      </c>
      <c r="AP166" s="21">
        <v>1200000</v>
      </c>
      <c r="AQ166" s="21">
        <v>1200000</v>
      </c>
      <c r="AR166" s="21">
        <v>1200000</v>
      </c>
      <c r="AS166" s="21">
        <v>1200000</v>
      </c>
      <c r="AT166" s="21">
        <v>1200000</v>
      </c>
      <c r="AU166" s="21">
        <v>1200000</v>
      </c>
      <c r="AV166" s="21">
        <v>1200000</v>
      </c>
      <c r="AW166" s="21">
        <v>1200000</v>
      </c>
      <c r="AX166" s="21" t="s">
        <v>165</v>
      </c>
      <c r="AY166" s="21">
        <v>1200000</v>
      </c>
      <c r="AZ166" s="21" t="s">
        <v>165</v>
      </c>
      <c r="BA166" s="21" t="s">
        <v>165</v>
      </c>
      <c r="BB166" s="21" t="s">
        <v>165</v>
      </c>
      <c r="BC166" s="21" t="s">
        <v>165</v>
      </c>
      <c r="BD166" s="21" t="s">
        <v>165</v>
      </c>
      <c r="BE166" s="21" t="s">
        <v>165</v>
      </c>
      <c r="BF166" s="21" t="s">
        <v>165</v>
      </c>
      <c r="BG166" s="21" t="s">
        <v>165</v>
      </c>
      <c r="BH166" s="21" t="s">
        <v>165</v>
      </c>
      <c r="BI166" s="21" t="s">
        <v>165</v>
      </c>
      <c r="BJ166" s="21" t="s">
        <v>165</v>
      </c>
      <c r="BK166" s="21" t="s">
        <v>165</v>
      </c>
      <c r="BL166" s="21" t="s">
        <v>165</v>
      </c>
      <c r="BM166" s="21" t="s">
        <v>165</v>
      </c>
      <c r="BN166" s="21" t="s">
        <v>165</v>
      </c>
      <c r="BO166" s="21" t="s">
        <v>165</v>
      </c>
      <c r="BP166" s="21" t="s">
        <v>165</v>
      </c>
      <c r="BQ166" s="21" t="s">
        <v>165</v>
      </c>
      <c r="BR166" s="21" t="s">
        <v>165</v>
      </c>
      <c r="BS166" s="21" t="s">
        <v>165</v>
      </c>
      <c r="BT166" s="21" t="s">
        <v>165</v>
      </c>
      <c r="BU166" s="21" t="s">
        <v>165</v>
      </c>
      <c r="BV166" s="21" t="s">
        <v>165</v>
      </c>
      <c r="BW166" s="21" t="s">
        <v>165</v>
      </c>
      <c r="BX166" s="21" t="s">
        <v>165</v>
      </c>
      <c r="BY166" s="21" t="s">
        <v>165</v>
      </c>
      <c r="BZ166" s="21" t="s">
        <v>165</v>
      </c>
      <c r="CA166" s="21" t="s">
        <v>165</v>
      </c>
      <c r="CB166" s="21" t="s">
        <v>165</v>
      </c>
      <c r="CC166" s="21" t="s">
        <v>165</v>
      </c>
      <c r="CD166" s="21" t="s">
        <v>165</v>
      </c>
      <c r="CE166" s="21" t="s">
        <v>165</v>
      </c>
      <c r="CG166" s="15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</row>
    <row r="167" spans="1:106" outlineLevel="2" x14ac:dyDescent="0.2">
      <c r="A167" s="14">
        <v>1</v>
      </c>
      <c r="C167" s="10" t="str">
        <f>"        Total Common Shares Issued"</f>
        <v xml:space="preserve">        Total Common Shares Issued</v>
      </c>
      <c r="D167" s="29">
        <f>IF(COUNT(M167:CE167)&gt;0,MEDIAN(M167:CE167),"")</f>
        <v>61122031</v>
      </c>
      <c r="E167" s="29">
        <f>IF(COUNT(M167:CE167)&gt;0,AVERAGE(M167:CE167),"")</f>
        <v>52935712.306338027</v>
      </c>
      <c r="F167" s="29">
        <f>IF(COUNT(M167:CE167)&gt;0,MIN(M167:CE167),"")</f>
        <v>8578610</v>
      </c>
      <c r="G167" s="29">
        <f>IF(COUNT(M167:CE167)&gt;0,MAX(M167:CE167),"")</f>
        <v>74641439</v>
      </c>
      <c r="H167" s="29">
        <f>IF(COUNT(M167:CE167)&gt;0,QUARTILE(M167:CE167,1),"")</f>
        <v>39206647</v>
      </c>
      <c r="I167" s="29">
        <f>IF(COUNT(M167:CE167)&gt;0,QUARTILE(M167:CE167,3),"")</f>
        <v>69127325.5</v>
      </c>
      <c r="J167" s="29">
        <f>IF(COUNT(M167:CE167)&gt;1,STDEV(M167:CE167),"")</f>
        <v>18196374.232055992</v>
      </c>
      <c r="K167" s="30">
        <f>IF(COUNT(M167:CE167)&gt;1,STDEV(M167:CE167)/AVERAGE(M167:CE167),"")</f>
        <v>0.34374476963215111</v>
      </c>
      <c r="L167" s="31"/>
      <c r="M167" s="31">
        <v>74641439</v>
      </c>
      <c r="N167" s="137">
        <v>74305138.75</v>
      </c>
      <c r="O167" s="137">
        <v>73687301.25</v>
      </c>
      <c r="P167" s="137">
        <v>72948051.25</v>
      </c>
      <c r="Q167" s="137">
        <v>72496534.5</v>
      </c>
      <c r="R167" s="31">
        <v>72280952</v>
      </c>
      <c r="S167" s="31">
        <v>72166898</v>
      </c>
      <c r="T167" s="31">
        <v>72017288</v>
      </c>
      <c r="U167" s="31">
        <v>71918857</v>
      </c>
      <c r="V167" s="31">
        <v>71839085</v>
      </c>
      <c r="W167" s="31">
        <v>71714635</v>
      </c>
      <c r="X167" s="31">
        <v>71558633</v>
      </c>
      <c r="Y167" s="31">
        <v>70671290</v>
      </c>
      <c r="Z167" s="31">
        <v>70118491</v>
      </c>
      <c r="AA167" s="31">
        <v>69931033</v>
      </c>
      <c r="AB167" s="31">
        <v>69625081</v>
      </c>
      <c r="AC167" s="31">
        <v>69324412</v>
      </c>
      <c r="AD167" s="31">
        <v>69264706</v>
      </c>
      <c r="AE167" s="31">
        <v>68989945</v>
      </c>
      <c r="AF167" s="31">
        <v>68809986</v>
      </c>
      <c r="AG167" s="31">
        <v>68375833</v>
      </c>
      <c r="AH167" s="31">
        <v>68244648</v>
      </c>
      <c r="AI167" s="31">
        <v>67717348</v>
      </c>
      <c r="AJ167" s="31">
        <v>67596716</v>
      </c>
      <c r="AK167" s="31">
        <v>67459468</v>
      </c>
      <c r="AL167" s="31">
        <v>67447748</v>
      </c>
      <c r="AM167" s="31">
        <v>66608175</v>
      </c>
      <c r="AN167" s="31">
        <v>66512097</v>
      </c>
      <c r="AO167" s="31">
        <v>66080283</v>
      </c>
      <c r="AP167" s="31">
        <v>66069449</v>
      </c>
      <c r="AQ167" s="31">
        <v>65811531</v>
      </c>
      <c r="AR167" s="31">
        <v>65710531</v>
      </c>
      <c r="AS167" s="31">
        <v>61455321</v>
      </c>
      <c r="AT167" s="31">
        <v>61442821</v>
      </c>
      <c r="AU167" s="31">
        <v>61180060</v>
      </c>
      <c r="AV167" s="31">
        <v>61122031</v>
      </c>
      <c r="AW167" s="31">
        <v>60948802</v>
      </c>
      <c r="AX167" s="31">
        <v>59623923</v>
      </c>
      <c r="AY167" s="31">
        <v>60646382</v>
      </c>
      <c r="AZ167" s="31">
        <v>47210026</v>
      </c>
      <c r="BA167" s="31">
        <v>47210026</v>
      </c>
      <c r="BB167" s="31">
        <v>47202859</v>
      </c>
      <c r="BC167" s="31">
        <v>47058678</v>
      </c>
      <c r="BD167" s="31">
        <v>40632039</v>
      </c>
      <c r="BE167" s="31">
        <v>40406842</v>
      </c>
      <c r="BF167" s="31">
        <v>40382673</v>
      </c>
      <c r="BG167" s="31">
        <v>40234302</v>
      </c>
      <c r="BH167" s="31">
        <v>39908890</v>
      </c>
      <c r="BI167" s="31">
        <v>39698760</v>
      </c>
      <c r="BJ167" s="31">
        <v>39635422</v>
      </c>
      <c r="BK167" s="31">
        <v>39527543</v>
      </c>
      <c r="BL167" s="31">
        <v>39310543</v>
      </c>
      <c r="BM167" s="31">
        <v>39206647</v>
      </c>
      <c r="BN167" s="31">
        <v>39206647</v>
      </c>
      <c r="BO167" s="31">
        <v>32128917</v>
      </c>
      <c r="BP167" s="31">
        <v>31974017</v>
      </c>
      <c r="BQ167" s="31">
        <v>31499193</v>
      </c>
      <c r="BR167" s="31">
        <v>31499193</v>
      </c>
      <c r="BS167" s="31">
        <v>31064048</v>
      </c>
      <c r="BT167" s="31">
        <v>30935799</v>
      </c>
      <c r="BU167" s="31">
        <v>30619628</v>
      </c>
      <c r="BV167" s="31">
        <v>30756380</v>
      </c>
      <c r="BW167" s="31">
        <v>30629628</v>
      </c>
      <c r="BX167" s="31">
        <v>30619628</v>
      </c>
      <c r="BY167" s="31">
        <v>29805430</v>
      </c>
      <c r="BZ167" s="31">
        <v>29750730</v>
      </c>
      <c r="CA167" s="31">
        <v>29683613</v>
      </c>
      <c r="CB167" s="31">
        <v>29683613</v>
      </c>
      <c r="CC167" s="31">
        <v>17006163</v>
      </c>
      <c r="CD167" s="31">
        <v>17006163</v>
      </c>
      <c r="CE167" s="31">
        <v>8578610</v>
      </c>
      <c r="CG167" s="15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</row>
    <row r="168" spans="1:106" x14ac:dyDescent="0.2">
      <c r="A168" s="14">
        <v>1</v>
      </c>
      <c r="C168" s="91" t="str">
        <f>"Total Maturity Schedule"</f>
        <v>Total Maturity Schedule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 t="s">
        <v>165</v>
      </c>
      <c r="N168" s="28"/>
      <c r="O168" s="28"/>
      <c r="P168" s="28"/>
      <c r="Q168" s="28"/>
      <c r="R168" s="28" t="s">
        <v>165</v>
      </c>
      <c r="S168" s="28" t="s">
        <v>165</v>
      </c>
      <c r="T168" s="28" t="s">
        <v>165</v>
      </c>
      <c r="U168" s="28" t="s">
        <v>165</v>
      </c>
      <c r="V168" s="28" t="s">
        <v>165</v>
      </c>
      <c r="W168" s="28" t="s">
        <v>165</v>
      </c>
      <c r="X168" s="28" t="s">
        <v>165</v>
      </c>
      <c r="Y168" s="28" t="s">
        <v>165</v>
      </c>
      <c r="Z168" s="28" t="s">
        <v>165</v>
      </c>
      <c r="AA168" s="28" t="s">
        <v>165</v>
      </c>
      <c r="AB168" s="28" t="s">
        <v>165</v>
      </c>
      <c r="AC168" s="28" t="s">
        <v>165</v>
      </c>
      <c r="AD168" s="28" t="s">
        <v>165</v>
      </c>
      <c r="AE168" s="28" t="s">
        <v>165</v>
      </c>
      <c r="AF168" s="28" t="s">
        <v>165</v>
      </c>
      <c r="AG168" s="28" t="s">
        <v>165</v>
      </c>
      <c r="AH168" s="28" t="s">
        <v>165</v>
      </c>
      <c r="AI168" s="28" t="s">
        <v>165</v>
      </c>
      <c r="AJ168" s="28" t="s">
        <v>165</v>
      </c>
      <c r="AK168" s="28" t="s">
        <v>165</v>
      </c>
      <c r="AL168" s="28" t="s">
        <v>165</v>
      </c>
      <c r="AM168" s="28" t="s">
        <v>165</v>
      </c>
      <c r="AN168" s="28" t="s">
        <v>165</v>
      </c>
      <c r="AO168" s="28" t="s">
        <v>165</v>
      </c>
      <c r="AP168" s="28" t="s">
        <v>165</v>
      </c>
      <c r="AQ168" s="28" t="s">
        <v>165</v>
      </c>
      <c r="AR168" s="28" t="s">
        <v>165</v>
      </c>
      <c r="AS168" s="28" t="s">
        <v>165</v>
      </c>
      <c r="AT168" s="28" t="s">
        <v>165</v>
      </c>
      <c r="AU168" s="28" t="s">
        <v>165</v>
      </c>
      <c r="AV168" s="28" t="s">
        <v>165</v>
      </c>
      <c r="AW168" s="28" t="s">
        <v>165</v>
      </c>
      <c r="AX168" s="28" t="s">
        <v>165</v>
      </c>
      <c r="AY168" s="28" t="s">
        <v>165</v>
      </c>
      <c r="AZ168" s="28" t="s">
        <v>165</v>
      </c>
      <c r="BA168" s="28" t="s">
        <v>165</v>
      </c>
      <c r="BB168" s="28" t="s">
        <v>165</v>
      </c>
      <c r="BC168" s="28" t="s">
        <v>165</v>
      </c>
      <c r="BD168" s="28" t="s">
        <v>165</v>
      </c>
      <c r="BE168" s="28" t="s">
        <v>165</v>
      </c>
      <c r="BF168" s="28" t="s">
        <v>165</v>
      </c>
      <c r="BG168" s="28" t="s">
        <v>165</v>
      </c>
      <c r="BH168" s="28" t="s">
        <v>165</v>
      </c>
      <c r="BI168" s="28" t="s">
        <v>165</v>
      </c>
      <c r="BJ168" s="28" t="s">
        <v>165</v>
      </c>
      <c r="BK168" s="28" t="s">
        <v>165</v>
      </c>
      <c r="BL168" s="28" t="s">
        <v>165</v>
      </c>
      <c r="BM168" s="28" t="s">
        <v>165</v>
      </c>
      <c r="BN168" s="28" t="s">
        <v>165</v>
      </c>
      <c r="BO168" s="28" t="s">
        <v>165</v>
      </c>
      <c r="BP168" s="28" t="s">
        <v>165</v>
      </c>
      <c r="BQ168" s="28" t="s">
        <v>165</v>
      </c>
      <c r="BR168" s="28" t="s">
        <v>165</v>
      </c>
      <c r="BS168" s="28" t="s">
        <v>165</v>
      </c>
      <c r="BT168" s="28" t="s">
        <v>165</v>
      </c>
      <c r="BU168" s="28" t="s">
        <v>165</v>
      </c>
      <c r="BV168" s="28" t="s">
        <v>165</v>
      </c>
      <c r="BW168" s="28" t="s">
        <v>165</v>
      </c>
      <c r="BX168" s="28" t="s">
        <v>165</v>
      </c>
      <c r="BY168" s="28" t="s">
        <v>165</v>
      </c>
      <c r="BZ168" s="28" t="s">
        <v>165</v>
      </c>
      <c r="CA168" s="28" t="s">
        <v>165</v>
      </c>
      <c r="CB168" s="28" t="s">
        <v>165</v>
      </c>
      <c r="CC168" s="28" t="s">
        <v>165</v>
      </c>
      <c r="CD168" s="28" t="s">
        <v>165</v>
      </c>
      <c r="CE168" s="28" t="s">
        <v>165</v>
      </c>
      <c r="CG168" s="15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</row>
    <row r="169" spans="1:106" outlineLevel="1" x14ac:dyDescent="0.2">
      <c r="A169" s="14">
        <v>1</v>
      </c>
      <c r="C169" s="9" t="str">
        <f>IF(SUBTOTAL(109,A169)=A169,"    Debt Maturity Schedule","    Debt Maturity Schedule Total")</f>
        <v xml:space="preserve">    Debt Maturity Schedule</v>
      </c>
      <c r="D169" s="17" t="str">
        <f t="shared" ref="D169:D214" si="40">IF(COUNT(M169:CE169)&gt;0,MEDIAN(M169:CE169),"")</f>
        <v/>
      </c>
      <c r="E169" s="17" t="str">
        <f t="shared" ref="E169:E214" si="41">IF(COUNT(M169:CE169)&gt;0,AVERAGE(M169:CE169),"")</f>
        <v/>
      </c>
      <c r="F169" s="17" t="str">
        <f t="shared" ref="F169:F214" si="42">IF(COUNT(M169:CE169)&gt;0,MIN(M169:CE169),"")</f>
        <v/>
      </c>
      <c r="G169" s="17" t="str">
        <f t="shared" ref="G169:G214" si="43">IF(COUNT(M169:CE169)&gt;0,MAX(M169:CE169),"")</f>
        <v/>
      </c>
      <c r="H169" s="17" t="str">
        <f t="shared" ref="H169:H214" si="44">IF(COUNT(M169:CE169)&gt;0,QUARTILE(M169:CE169,1),"")</f>
        <v/>
      </c>
      <c r="I169" s="17" t="str">
        <f t="shared" ref="I169:I214" si="45">IF(COUNT(M169:CE169)&gt;0,QUARTILE(M169:CE169,3),"")</f>
        <v/>
      </c>
      <c r="J169" s="17" t="str">
        <f t="shared" ref="J169:J214" si="46">IF(COUNT(M169:CE169)&gt;1,STDEV(M169:CE169),"")</f>
        <v/>
      </c>
      <c r="K169" s="18" t="str">
        <f t="shared" ref="K169:K214" si="47">IF(COUNT(M169:CE169)&gt;1,STDEV(M169:CE169)/AVERAGE(M169:CE169),"")</f>
        <v/>
      </c>
      <c r="L169" s="21"/>
      <c r="M169" s="21" t="str">
        <f>IF(SUBTOTAL(109,A169)=A169,"","")</f>
        <v/>
      </c>
      <c r="N169" s="21"/>
      <c r="O169" s="21"/>
      <c r="P169" s="21"/>
      <c r="Q169" s="21"/>
      <c r="R169" s="21" t="str">
        <f>IF(SUBTOTAL(109,A169)=A169,"","")</f>
        <v/>
      </c>
      <c r="S169" s="21" t="str">
        <f>IF(SUBTOTAL(109,A169)=A169,"","")</f>
        <v/>
      </c>
      <c r="T169" s="21" t="str">
        <f>IF(SUBTOTAL(109,A169)=A169,"",219051)</f>
        <v/>
      </c>
      <c r="U169" s="21" t="str">
        <f>IF(SUBTOTAL(109,A169)=A169,"","")</f>
        <v/>
      </c>
      <c r="V169" s="21" t="str">
        <f>IF(SUBTOTAL(109,A169)=A169,"","")</f>
        <v/>
      </c>
      <c r="W169" s="21" t="str">
        <f>IF(SUBTOTAL(109,A169)=A169,"","")</f>
        <v/>
      </c>
      <c r="X169" s="21" t="str">
        <f>IF(SUBTOTAL(109,A169)=A169,"",194705)</f>
        <v/>
      </c>
      <c r="Y169" s="21" t="str">
        <f>IF(SUBTOTAL(109,A169)=A169,"","")</f>
        <v/>
      </c>
      <c r="Z169" s="21" t="str">
        <f>IF(SUBTOTAL(109,A169)=A169,"","")</f>
        <v/>
      </c>
      <c r="AA169" s="21" t="str">
        <f>IF(SUBTOTAL(109,A169)=A169,"","")</f>
        <v/>
      </c>
      <c r="AB169" s="21" t="str">
        <f>IF(SUBTOTAL(109,A169)=A169,"",175000)</f>
        <v/>
      </c>
      <c r="AC169" s="21" t="str">
        <f>IF(SUBTOTAL(109,A169)=A169,"","")</f>
        <v/>
      </c>
      <c r="AD169" s="21" t="str">
        <f>IF(SUBTOTAL(109,A169)=A169,"","")</f>
        <v/>
      </c>
      <c r="AE169" s="21" t="str">
        <f>IF(SUBTOTAL(109,A169)=A169,"","")</f>
        <v/>
      </c>
      <c r="AF169" s="21" t="str">
        <f>IF(SUBTOTAL(109,A169)=A169,"",100000)</f>
        <v/>
      </c>
      <c r="AG169" s="21" t="str">
        <f>IF(SUBTOTAL(109,A169)=A169,"","")</f>
        <v/>
      </c>
      <c r="AH169" s="21" t="str">
        <f>IF(SUBTOTAL(109,A169)=A169,"","")</f>
        <v/>
      </c>
      <c r="AI169" s="21" t="str">
        <f>IF(SUBTOTAL(109,A169)=A169,"","")</f>
        <v/>
      </c>
      <c r="AJ169" s="21" t="str">
        <f>IF(SUBTOTAL(109,A169)=A169,"",43559)</f>
        <v/>
      </c>
      <c r="AK169" s="21" t="str">
        <f>IF(SUBTOTAL(109,A169)=A169,"","")</f>
        <v/>
      </c>
      <c r="AL169" s="21" t="str">
        <f>IF(SUBTOTAL(109,A169)=A169,"","")</f>
        <v/>
      </c>
      <c r="AM169" s="21" t="str">
        <f>IF(SUBTOTAL(109,A169)=A169,"","")</f>
        <v/>
      </c>
      <c r="AN169" s="21" t="str">
        <f>IF(SUBTOTAL(109,A169)=A169,"","")</f>
        <v/>
      </c>
      <c r="AO169" s="21" t="str">
        <f>IF(SUBTOTAL(109,A169)=A169,"","")</f>
        <v/>
      </c>
      <c r="AP169" s="21" t="str">
        <f>IF(SUBTOTAL(109,A169)=A169,"","")</f>
        <v/>
      </c>
      <c r="AQ169" s="21" t="str">
        <f>IF(SUBTOTAL(109,A169)=A169,"","")</f>
        <v/>
      </c>
      <c r="AR169" s="21" t="str">
        <f>IF(SUBTOTAL(109,A169)=A169,"","")</f>
        <v/>
      </c>
      <c r="AS169" s="21" t="str">
        <f>IF(SUBTOTAL(109,A169)=A169,"","")</f>
        <v/>
      </c>
      <c r="AT169" s="21" t="str">
        <f>IF(SUBTOTAL(109,A169)=A169,"","")</f>
        <v/>
      </c>
      <c r="AU169" s="21" t="str">
        <f>IF(SUBTOTAL(109,A169)=A169,"","")</f>
        <v/>
      </c>
      <c r="AV169" s="21" t="str">
        <f>IF(SUBTOTAL(109,A169)=A169,"","")</f>
        <v/>
      </c>
      <c r="AW169" s="21" t="str">
        <f>IF(SUBTOTAL(109,A169)=A169,"","")</f>
        <v/>
      </c>
      <c r="AX169" s="21" t="str">
        <f>IF(SUBTOTAL(109,A169)=A169,"","")</f>
        <v/>
      </c>
      <c r="AY169" s="21" t="str">
        <f>IF(SUBTOTAL(109,A169)=A169,"","")</f>
        <v/>
      </c>
      <c r="AZ169" s="21" t="str">
        <f>IF(SUBTOTAL(109,A169)=A169,"","")</f>
        <v/>
      </c>
      <c r="BA169" s="21" t="str">
        <f>IF(SUBTOTAL(109,A169)=A169,"","")</f>
        <v/>
      </c>
      <c r="BB169" s="21" t="str">
        <f>IF(SUBTOTAL(109,A169)=A169,"","")</f>
        <v/>
      </c>
      <c r="BC169" s="21" t="str">
        <f>IF(SUBTOTAL(109,A169)=A169,"","")</f>
        <v/>
      </c>
      <c r="BD169" s="21" t="str">
        <f>IF(SUBTOTAL(109,A169)=A169,"","")</f>
        <v/>
      </c>
      <c r="BE169" s="21" t="str">
        <f>IF(SUBTOTAL(109,A169)=A169,"","")</f>
        <v/>
      </c>
      <c r="BF169" s="21" t="str">
        <f>IF(SUBTOTAL(109,A169)=A169,"","")</f>
        <v/>
      </c>
      <c r="BG169" s="21" t="str">
        <f>IF(SUBTOTAL(109,A169)=A169,"","")</f>
        <v/>
      </c>
      <c r="BH169" s="21" t="str">
        <f>IF(SUBTOTAL(109,A169)=A169,"","")</f>
        <v/>
      </c>
      <c r="BI169" s="21" t="str">
        <f>IF(SUBTOTAL(109,A169)=A169,"","")</f>
        <v/>
      </c>
      <c r="BJ169" s="21" t="str">
        <f>IF(SUBTOTAL(109,A169)=A169,"","")</f>
        <v/>
      </c>
      <c r="BK169" s="21" t="str">
        <f>IF(SUBTOTAL(109,A169)=A169,"","")</f>
        <v/>
      </c>
      <c r="BL169" s="21" t="str">
        <f>IF(SUBTOTAL(109,A169)=A169,"","")</f>
        <v/>
      </c>
      <c r="BM169" s="21" t="str">
        <f>IF(SUBTOTAL(109,A169)=A169,"","")</f>
        <v/>
      </c>
      <c r="BN169" s="21" t="str">
        <f>IF(SUBTOTAL(109,A169)=A169,"","")</f>
        <v/>
      </c>
      <c r="BO169" s="21" t="str">
        <f>IF(SUBTOTAL(109,A169)=A169,"","")</f>
        <v/>
      </c>
      <c r="BP169" s="21" t="str">
        <f>IF(SUBTOTAL(109,A169)=A169,"","")</f>
        <v/>
      </c>
      <c r="BQ169" s="21" t="str">
        <f>IF(SUBTOTAL(109,A169)=A169,"","")</f>
        <v/>
      </c>
      <c r="BR169" s="21" t="str">
        <f>IF(SUBTOTAL(109,A169)=A169,"","")</f>
        <v/>
      </c>
      <c r="BS169" s="21" t="str">
        <f>IF(SUBTOTAL(109,A169)=A169,"","")</f>
        <v/>
      </c>
      <c r="BT169" s="21" t="str">
        <f>IF(SUBTOTAL(109,A169)=A169,"","")</f>
        <v/>
      </c>
      <c r="BU169" s="21" t="str">
        <f>IF(SUBTOTAL(109,A169)=A169,"","")</f>
        <v/>
      </c>
      <c r="BV169" s="21" t="str">
        <f>IF(SUBTOTAL(109,A169)=A169,"","")</f>
        <v/>
      </c>
      <c r="BW169" s="21" t="str">
        <f>IF(SUBTOTAL(109,A169)=A169,"","")</f>
        <v/>
      </c>
      <c r="BX169" s="21" t="str">
        <f>IF(SUBTOTAL(109,A169)=A169,"","")</f>
        <v/>
      </c>
      <c r="BY169" s="21" t="str">
        <f>IF(SUBTOTAL(109,A169)=A169,"","")</f>
        <v/>
      </c>
      <c r="BZ169" s="21" t="str">
        <f>IF(SUBTOTAL(109,A169)=A169,"","")</f>
        <v/>
      </c>
      <c r="CA169" s="21" t="str">
        <f>IF(SUBTOTAL(109,A169)=A169,"","")</f>
        <v/>
      </c>
      <c r="CB169" s="21" t="str">
        <f>IF(SUBTOTAL(109,A169)=A169,"","")</f>
        <v/>
      </c>
      <c r="CC169" s="21" t="str">
        <f>IF(SUBTOTAL(109,A169)=A169,"","")</f>
        <v/>
      </c>
      <c r="CD169" s="21" t="str">
        <f>IF(SUBTOTAL(109,A169)=A169,"","")</f>
        <v/>
      </c>
      <c r="CE169" s="21" t="str">
        <f>IF(SUBTOTAL(109,A169)=A169,"","")</f>
        <v/>
      </c>
      <c r="CG169" s="15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</row>
    <row r="170" spans="1:106" outlineLevel="2" x14ac:dyDescent="0.2">
      <c r="A170" s="14">
        <v>1</v>
      </c>
      <c r="C170" s="9" t="str">
        <f>"        Debt due in Year 1"</f>
        <v xml:space="preserve">        Debt due in Year 1</v>
      </c>
      <c r="D170" s="17">
        <f t="shared" si="40"/>
        <v>9625</v>
      </c>
      <c r="E170" s="17">
        <f t="shared" si="41"/>
        <v>9492.5714285714294</v>
      </c>
      <c r="F170" s="17">
        <f t="shared" si="42"/>
        <v>4138</v>
      </c>
      <c r="G170" s="17">
        <f t="shared" si="43"/>
        <v>13591</v>
      </c>
      <c r="H170" s="17">
        <f t="shared" si="44"/>
        <v>6589</v>
      </c>
      <c r="I170" s="17">
        <f t="shared" si="45"/>
        <v>12958</v>
      </c>
      <c r="J170" s="17">
        <f t="shared" si="46"/>
        <v>3816.7251170404743</v>
      </c>
      <c r="K170" s="18">
        <f t="shared" si="47"/>
        <v>0.40207494310262637</v>
      </c>
      <c r="L170" s="21"/>
      <c r="M170" s="21" t="s">
        <v>165</v>
      </c>
      <c r="N170" s="21"/>
      <c r="O170" s="21"/>
      <c r="P170" s="21">
        <v>7303</v>
      </c>
      <c r="Q170" s="21">
        <v>13591</v>
      </c>
      <c r="R170" s="21" t="s">
        <v>165</v>
      </c>
      <c r="S170" s="21" t="s">
        <v>165</v>
      </c>
      <c r="T170" s="21">
        <v>12861</v>
      </c>
      <c r="U170" s="21" t="s">
        <v>165</v>
      </c>
      <c r="V170" s="21" t="s">
        <v>165</v>
      </c>
      <c r="W170" s="21" t="s">
        <v>165</v>
      </c>
      <c r="X170" s="21">
        <v>13055</v>
      </c>
      <c r="Y170" s="21" t="s">
        <v>165</v>
      </c>
      <c r="Z170" s="21" t="s">
        <v>165</v>
      </c>
      <c r="AA170" s="21" t="s">
        <v>165</v>
      </c>
      <c r="AB170" s="21">
        <v>9625</v>
      </c>
      <c r="AC170" s="21" t="s">
        <v>165</v>
      </c>
      <c r="AD170" s="21" t="s">
        <v>165</v>
      </c>
      <c r="AE170" s="21" t="s">
        <v>165</v>
      </c>
      <c r="AF170" s="21">
        <v>5875</v>
      </c>
      <c r="AG170" s="21" t="s">
        <v>165</v>
      </c>
      <c r="AH170" s="21" t="s">
        <v>165</v>
      </c>
      <c r="AI170" s="21" t="s">
        <v>165</v>
      </c>
      <c r="AJ170" s="21">
        <v>4138</v>
      </c>
      <c r="AK170" s="21" t="s">
        <v>165</v>
      </c>
      <c r="AL170" s="21" t="s">
        <v>165</v>
      </c>
      <c r="AM170" s="21" t="s">
        <v>165</v>
      </c>
      <c r="AN170" s="21" t="s">
        <v>165</v>
      </c>
      <c r="AO170" s="21" t="s">
        <v>165</v>
      </c>
      <c r="AP170" s="21" t="s">
        <v>165</v>
      </c>
      <c r="AQ170" s="21" t="s">
        <v>165</v>
      </c>
      <c r="AR170" s="21" t="s">
        <v>165</v>
      </c>
      <c r="AS170" s="21" t="s">
        <v>165</v>
      </c>
      <c r="AT170" s="21" t="s">
        <v>165</v>
      </c>
      <c r="AU170" s="21" t="s">
        <v>165</v>
      </c>
      <c r="AV170" s="21" t="s">
        <v>165</v>
      </c>
      <c r="AW170" s="21" t="s">
        <v>165</v>
      </c>
      <c r="AX170" s="21" t="s">
        <v>165</v>
      </c>
      <c r="AY170" s="21" t="s">
        <v>165</v>
      </c>
      <c r="AZ170" s="21" t="s">
        <v>165</v>
      </c>
      <c r="BA170" s="21" t="s">
        <v>165</v>
      </c>
      <c r="BB170" s="21" t="s">
        <v>165</v>
      </c>
      <c r="BC170" s="21" t="s">
        <v>165</v>
      </c>
      <c r="BD170" s="21" t="s">
        <v>165</v>
      </c>
      <c r="BE170" s="21" t="s">
        <v>165</v>
      </c>
      <c r="BF170" s="21" t="s">
        <v>165</v>
      </c>
      <c r="BG170" s="21" t="s">
        <v>165</v>
      </c>
      <c r="BH170" s="21" t="s">
        <v>165</v>
      </c>
      <c r="BI170" s="21" t="s">
        <v>165</v>
      </c>
      <c r="BJ170" s="21" t="s">
        <v>165</v>
      </c>
      <c r="BK170" s="21" t="s">
        <v>165</v>
      </c>
      <c r="BL170" s="21" t="s">
        <v>165</v>
      </c>
      <c r="BM170" s="21" t="s">
        <v>165</v>
      </c>
      <c r="BN170" s="21" t="s">
        <v>165</v>
      </c>
      <c r="BO170" s="21" t="s">
        <v>165</v>
      </c>
      <c r="BP170" s="21" t="s">
        <v>165</v>
      </c>
      <c r="BQ170" s="21" t="s">
        <v>165</v>
      </c>
      <c r="BR170" s="21" t="s">
        <v>165</v>
      </c>
      <c r="BS170" s="21" t="s">
        <v>165</v>
      </c>
      <c r="BT170" s="21" t="s">
        <v>165</v>
      </c>
      <c r="BU170" s="21" t="s">
        <v>165</v>
      </c>
      <c r="BV170" s="21" t="s">
        <v>165</v>
      </c>
      <c r="BW170" s="21" t="s">
        <v>165</v>
      </c>
      <c r="BX170" s="21" t="s">
        <v>165</v>
      </c>
      <c r="BY170" s="21" t="s">
        <v>165</v>
      </c>
      <c r="BZ170" s="21" t="s">
        <v>165</v>
      </c>
      <c r="CA170" s="21" t="s">
        <v>165</v>
      </c>
      <c r="CB170" s="21" t="s">
        <v>165</v>
      </c>
      <c r="CC170" s="21" t="s">
        <v>165</v>
      </c>
      <c r="CD170" s="21" t="s">
        <v>165</v>
      </c>
      <c r="CE170" s="21" t="s">
        <v>165</v>
      </c>
      <c r="CG170" s="15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</row>
    <row r="171" spans="1:106" outlineLevel="2" x14ac:dyDescent="0.2">
      <c r="A171" s="14">
        <v>1</v>
      </c>
      <c r="C171" s="9" t="str">
        <f>"        Debt due in Year 3"</f>
        <v xml:space="preserve">        Debt due in Year 3</v>
      </c>
      <c r="D171" s="17">
        <f t="shared" si="40"/>
        <v>125836</v>
      </c>
      <c r="E171" s="17">
        <f t="shared" si="41"/>
        <v>122839.375</v>
      </c>
      <c r="F171" s="17">
        <f t="shared" si="42"/>
        <v>50628</v>
      </c>
      <c r="G171" s="17">
        <f t="shared" si="43"/>
        <v>165173</v>
      </c>
      <c r="H171" s="17">
        <f t="shared" si="44"/>
        <v>104358.5</v>
      </c>
      <c r="I171" s="17">
        <f t="shared" si="45"/>
        <v>153709.5</v>
      </c>
      <c r="J171" s="17">
        <f t="shared" si="46"/>
        <v>39113.448045169105</v>
      </c>
      <c r="K171" s="18">
        <f t="shared" si="47"/>
        <v>0.31841132409839357</v>
      </c>
      <c r="L171" s="21"/>
      <c r="M171" s="21" t="s">
        <v>165</v>
      </c>
      <c r="N171" s="21"/>
      <c r="O171" s="21">
        <v>159171</v>
      </c>
      <c r="P171" s="21">
        <v>151889</v>
      </c>
      <c r="Q171" s="21">
        <v>165173</v>
      </c>
      <c r="R171" s="21" t="s">
        <v>165</v>
      </c>
      <c r="S171" s="21" t="s">
        <v>165</v>
      </c>
      <c r="T171" s="21">
        <v>143421</v>
      </c>
      <c r="U171" s="21" t="s">
        <v>165</v>
      </c>
      <c r="V171" s="21" t="s">
        <v>165</v>
      </c>
      <c r="W171" s="21" t="s">
        <v>165</v>
      </c>
      <c r="X171" s="21">
        <v>97556</v>
      </c>
      <c r="Y171" s="21" t="s">
        <v>165</v>
      </c>
      <c r="Z171" s="21" t="s">
        <v>165</v>
      </c>
      <c r="AA171" s="21" t="s">
        <v>165</v>
      </c>
      <c r="AB171" s="21">
        <v>108251</v>
      </c>
      <c r="AC171" s="21" t="s">
        <v>165</v>
      </c>
      <c r="AD171" s="21" t="s">
        <v>165</v>
      </c>
      <c r="AE171" s="21" t="s">
        <v>165</v>
      </c>
      <c r="AF171" s="21">
        <v>106626</v>
      </c>
      <c r="AG171" s="21" t="s">
        <v>165</v>
      </c>
      <c r="AH171" s="21" t="s">
        <v>165</v>
      </c>
      <c r="AI171" s="21" t="s">
        <v>165</v>
      </c>
      <c r="AJ171" s="21">
        <v>50628</v>
      </c>
      <c r="AK171" s="21" t="s">
        <v>165</v>
      </c>
      <c r="AL171" s="21" t="s">
        <v>165</v>
      </c>
      <c r="AM171" s="21" t="s">
        <v>165</v>
      </c>
      <c r="AN171" s="21" t="s">
        <v>165</v>
      </c>
      <c r="AO171" s="21" t="s">
        <v>165</v>
      </c>
      <c r="AP171" s="21" t="s">
        <v>165</v>
      </c>
      <c r="AQ171" s="21" t="s">
        <v>165</v>
      </c>
      <c r="AR171" s="21" t="s">
        <v>165</v>
      </c>
      <c r="AS171" s="21" t="s">
        <v>165</v>
      </c>
      <c r="AT171" s="21" t="s">
        <v>165</v>
      </c>
      <c r="AU171" s="21" t="s">
        <v>165</v>
      </c>
      <c r="AV171" s="21" t="s">
        <v>165</v>
      </c>
      <c r="AW171" s="21" t="s">
        <v>165</v>
      </c>
      <c r="AX171" s="21" t="s">
        <v>165</v>
      </c>
      <c r="AY171" s="21" t="s">
        <v>165</v>
      </c>
      <c r="AZ171" s="21" t="s">
        <v>165</v>
      </c>
      <c r="BA171" s="21" t="s">
        <v>165</v>
      </c>
      <c r="BB171" s="21" t="s">
        <v>165</v>
      </c>
      <c r="BC171" s="21" t="s">
        <v>165</v>
      </c>
      <c r="BD171" s="21" t="s">
        <v>165</v>
      </c>
      <c r="BE171" s="21" t="s">
        <v>165</v>
      </c>
      <c r="BF171" s="21" t="s">
        <v>165</v>
      </c>
      <c r="BG171" s="21" t="s">
        <v>165</v>
      </c>
      <c r="BH171" s="21" t="s">
        <v>165</v>
      </c>
      <c r="BI171" s="21" t="s">
        <v>165</v>
      </c>
      <c r="BJ171" s="21" t="s">
        <v>165</v>
      </c>
      <c r="BK171" s="21" t="s">
        <v>165</v>
      </c>
      <c r="BL171" s="21" t="s">
        <v>165</v>
      </c>
      <c r="BM171" s="21" t="s">
        <v>165</v>
      </c>
      <c r="BN171" s="21" t="s">
        <v>165</v>
      </c>
      <c r="BO171" s="21" t="s">
        <v>165</v>
      </c>
      <c r="BP171" s="21" t="s">
        <v>165</v>
      </c>
      <c r="BQ171" s="21" t="s">
        <v>165</v>
      </c>
      <c r="BR171" s="21" t="s">
        <v>165</v>
      </c>
      <c r="BS171" s="21" t="s">
        <v>165</v>
      </c>
      <c r="BT171" s="21" t="s">
        <v>165</v>
      </c>
      <c r="BU171" s="21" t="s">
        <v>165</v>
      </c>
      <c r="BV171" s="21" t="s">
        <v>165</v>
      </c>
      <c r="BW171" s="21" t="s">
        <v>165</v>
      </c>
      <c r="BX171" s="21" t="s">
        <v>165</v>
      </c>
      <c r="BY171" s="21" t="s">
        <v>165</v>
      </c>
      <c r="BZ171" s="21" t="s">
        <v>165</v>
      </c>
      <c r="CA171" s="21" t="s">
        <v>165</v>
      </c>
      <c r="CB171" s="21" t="s">
        <v>165</v>
      </c>
      <c r="CC171" s="21" t="s">
        <v>165</v>
      </c>
      <c r="CD171" s="21" t="s">
        <v>165</v>
      </c>
      <c r="CE171" s="21" t="s">
        <v>165</v>
      </c>
      <c r="CG171" s="15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</row>
    <row r="172" spans="1:106" outlineLevel="2" x14ac:dyDescent="0.2">
      <c r="A172" s="14">
        <v>1</v>
      </c>
      <c r="C172" s="9" t="str">
        <f>"        Debt due in Year 5"</f>
        <v xml:space="preserve">        Debt due in Year 5</v>
      </c>
      <c r="D172" s="17">
        <f t="shared" si="40"/>
        <v>75781</v>
      </c>
      <c r="E172" s="17">
        <f t="shared" si="41"/>
        <v>78414.666666666672</v>
      </c>
      <c r="F172" s="17">
        <f t="shared" si="42"/>
        <v>75369</v>
      </c>
      <c r="G172" s="17">
        <f t="shared" si="43"/>
        <v>84094</v>
      </c>
      <c r="H172" s="17">
        <f t="shared" si="44"/>
        <v>75575</v>
      </c>
      <c r="I172" s="17">
        <f t="shared" si="45"/>
        <v>79937.5</v>
      </c>
      <c r="J172" s="17">
        <f t="shared" si="46"/>
        <v>4922.7590163782479</v>
      </c>
      <c r="K172" s="18">
        <f t="shared" si="47"/>
        <v>6.2778549289821392E-2</v>
      </c>
      <c r="L172" s="21"/>
      <c r="M172" s="21" t="s">
        <v>165</v>
      </c>
      <c r="N172" s="21"/>
      <c r="O172" s="21"/>
      <c r="P172" s="21"/>
      <c r="Q172" s="21"/>
      <c r="R172" s="21" t="s">
        <v>165</v>
      </c>
      <c r="S172" s="21" t="s">
        <v>165</v>
      </c>
      <c r="T172" s="21">
        <v>75369</v>
      </c>
      <c r="U172" s="21" t="s">
        <v>165</v>
      </c>
      <c r="V172" s="21" t="s">
        <v>165</v>
      </c>
      <c r="W172" s="21" t="s">
        <v>165</v>
      </c>
      <c r="X172" s="21">
        <v>84094</v>
      </c>
      <c r="Y172" s="21" t="s">
        <v>165</v>
      </c>
      <c r="Z172" s="21" t="s">
        <v>165</v>
      </c>
      <c r="AA172" s="21" t="s">
        <v>165</v>
      </c>
      <c r="AB172" s="21">
        <v>75781</v>
      </c>
      <c r="AC172" s="21" t="s">
        <v>165</v>
      </c>
      <c r="AD172" s="21" t="s">
        <v>165</v>
      </c>
      <c r="AE172" s="21" t="s">
        <v>165</v>
      </c>
      <c r="AF172" s="21" t="s">
        <v>165</v>
      </c>
      <c r="AG172" s="21" t="s">
        <v>165</v>
      </c>
      <c r="AH172" s="21" t="s">
        <v>165</v>
      </c>
      <c r="AI172" s="21" t="s">
        <v>165</v>
      </c>
      <c r="AJ172" s="21" t="s">
        <v>165</v>
      </c>
      <c r="AK172" s="21" t="s">
        <v>165</v>
      </c>
      <c r="AL172" s="21" t="s">
        <v>165</v>
      </c>
      <c r="AM172" s="21" t="s">
        <v>165</v>
      </c>
      <c r="AN172" s="21" t="s">
        <v>165</v>
      </c>
      <c r="AO172" s="21" t="s">
        <v>165</v>
      </c>
      <c r="AP172" s="21" t="s">
        <v>165</v>
      </c>
      <c r="AQ172" s="21" t="s">
        <v>165</v>
      </c>
      <c r="AR172" s="21" t="s">
        <v>165</v>
      </c>
      <c r="AS172" s="21" t="s">
        <v>165</v>
      </c>
      <c r="AT172" s="21" t="s">
        <v>165</v>
      </c>
      <c r="AU172" s="21" t="s">
        <v>165</v>
      </c>
      <c r="AV172" s="21" t="s">
        <v>165</v>
      </c>
      <c r="AW172" s="21" t="s">
        <v>165</v>
      </c>
      <c r="AX172" s="21" t="s">
        <v>165</v>
      </c>
      <c r="AY172" s="21" t="s">
        <v>165</v>
      </c>
      <c r="AZ172" s="21" t="s">
        <v>165</v>
      </c>
      <c r="BA172" s="21" t="s">
        <v>165</v>
      </c>
      <c r="BB172" s="21" t="s">
        <v>165</v>
      </c>
      <c r="BC172" s="21" t="s">
        <v>165</v>
      </c>
      <c r="BD172" s="21" t="s">
        <v>165</v>
      </c>
      <c r="BE172" s="21" t="s">
        <v>165</v>
      </c>
      <c r="BF172" s="21" t="s">
        <v>165</v>
      </c>
      <c r="BG172" s="21" t="s">
        <v>165</v>
      </c>
      <c r="BH172" s="21" t="s">
        <v>165</v>
      </c>
      <c r="BI172" s="21" t="s">
        <v>165</v>
      </c>
      <c r="BJ172" s="21" t="s">
        <v>165</v>
      </c>
      <c r="BK172" s="21" t="s">
        <v>165</v>
      </c>
      <c r="BL172" s="21" t="s">
        <v>165</v>
      </c>
      <c r="BM172" s="21" t="s">
        <v>165</v>
      </c>
      <c r="BN172" s="21" t="s">
        <v>165</v>
      </c>
      <c r="BO172" s="21" t="s">
        <v>165</v>
      </c>
      <c r="BP172" s="21" t="s">
        <v>165</v>
      </c>
      <c r="BQ172" s="21" t="s">
        <v>165</v>
      </c>
      <c r="BR172" s="21" t="s">
        <v>165</v>
      </c>
      <c r="BS172" s="21" t="s">
        <v>165</v>
      </c>
      <c r="BT172" s="21" t="s">
        <v>165</v>
      </c>
      <c r="BU172" s="21" t="s">
        <v>165</v>
      </c>
      <c r="BV172" s="21" t="s">
        <v>165</v>
      </c>
      <c r="BW172" s="21" t="s">
        <v>165</v>
      </c>
      <c r="BX172" s="21" t="s">
        <v>165</v>
      </c>
      <c r="BY172" s="21" t="s">
        <v>165</v>
      </c>
      <c r="BZ172" s="21" t="s">
        <v>165</v>
      </c>
      <c r="CA172" s="21" t="s">
        <v>165</v>
      </c>
      <c r="CB172" s="21" t="s">
        <v>165</v>
      </c>
      <c r="CC172" s="21" t="s">
        <v>165</v>
      </c>
      <c r="CD172" s="21" t="s">
        <v>165</v>
      </c>
      <c r="CE172" s="21" t="s">
        <v>165</v>
      </c>
      <c r="CG172" s="15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</row>
    <row r="173" spans="1:106" outlineLevel="2" x14ac:dyDescent="0.2">
      <c r="A173" s="14">
        <v>1</v>
      </c>
      <c r="C173" s="9" t="str">
        <f>"        Debt - Interests Charges and Other Adjustments"</f>
        <v xml:space="preserve">        Debt - Interests Charges and Other Adjustments</v>
      </c>
      <c r="D173" s="17">
        <f t="shared" si="40"/>
        <v>-12550.5</v>
      </c>
      <c r="E173" s="17">
        <f t="shared" si="41"/>
        <v>-13741.25</v>
      </c>
      <c r="F173" s="17">
        <f t="shared" si="42"/>
        <v>-18657</v>
      </c>
      <c r="G173" s="17">
        <f t="shared" si="43"/>
        <v>-11207</v>
      </c>
      <c r="H173" s="17">
        <f t="shared" si="44"/>
        <v>-14114.25</v>
      </c>
      <c r="I173" s="17">
        <f t="shared" si="45"/>
        <v>-12177.5</v>
      </c>
      <c r="J173" s="17">
        <f t="shared" si="46"/>
        <v>3338.0479699968364</v>
      </c>
      <c r="K173" s="18">
        <f t="shared" si="47"/>
        <v>-0.2429217116344464</v>
      </c>
      <c r="L173" s="21"/>
      <c r="M173" s="21" t="s">
        <v>165</v>
      </c>
      <c r="N173" s="21"/>
      <c r="O173" s="21"/>
      <c r="P173" s="21"/>
      <c r="Q173" s="21"/>
      <c r="R173" s="21" t="s">
        <v>165</v>
      </c>
      <c r="S173" s="21" t="s">
        <v>165</v>
      </c>
      <c r="T173" s="21">
        <v>-12600</v>
      </c>
      <c r="U173" s="21" t="s">
        <v>165</v>
      </c>
      <c r="V173" s="21" t="s">
        <v>165</v>
      </c>
      <c r="W173" s="21" t="s">
        <v>165</v>
      </c>
      <c r="X173" s="21" t="s">
        <v>165</v>
      </c>
      <c r="Y173" s="21" t="s">
        <v>165</v>
      </c>
      <c r="Z173" s="21" t="s">
        <v>165</v>
      </c>
      <c r="AA173" s="21" t="s">
        <v>165</v>
      </c>
      <c r="AB173" s="21">
        <v>-18657</v>
      </c>
      <c r="AC173" s="21" t="s">
        <v>165</v>
      </c>
      <c r="AD173" s="21" t="s">
        <v>165</v>
      </c>
      <c r="AE173" s="21" t="s">
        <v>165</v>
      </c>
      <c r="AF173" s="21">
        <v>-12501</v>
      </c>
      <c r="AG173" s="21" t="s">
        <v>165</v>
      </c>
      <c r="AH173" s="21" t="s">
        <v>165</v>
      </c>
      <c r="AI173" s="21" t="s">
        <v>165</v>
      </c>
      <c r="AJ173" s="21">
        <v>-11207</v>
      </c>
      <c r="AK173" s="21" t="s">
        <v>165</v>
      </c>
      <c r="AL173" s="21" t="s">
        <v>165</v>
      </c>
      <c r="AM173" s="21" t="s">
        <v>165</v>
      </c>
      <c r="AN173" s="21" t="s">
        <v>165</v>
      </c>
      <c r="AO173" s="21" t="s">
        <v>165</v>
      </c>
      <c r="AP173" s="21" t="s">
        <v>165</v>
      </c>
      <c r="AQ173" s="21" t="s">
        <v>165</v>
      </c>
      <c r="AR173" s="21" t="s">
        <v>165</v>
      </c>
      <c r="AS173" s="21" t="s">
        <v>165</v>
      </c>
      <c r="AT173" s="21" t="s">
        <v>165</v>
      </c>
      <c r="AU173" s="21" t="s">
        <v>165</v>
      </c>
      <c r="AV173" s="21" t="s">
        <v>165</v>
      </c>
      <c r="AW173" s="21" t="s">
        <v>165</v>
      </c>
      <c r="AX173" s="21" t="s">
        <v>165</v>
      </c>
      <c r="AY173" s="21" t="s">
        <v>165</v>
      </c>
      <c r="AZ173" s="21" t="s">
        <v>165</v>
      </c>
      <c r="BA173" s="21" t="s">
        <v>165</v>
      </c>
      <c r="BB173" s="21" t="s">
        <v>165</v>
      </c>
      <c r="BC173" s="21" t="s">
        <v>165</v>
      </c>
      <c r="BD173" s="21" t="s">
        <v>165</v>
      </c>
      <c r="BE173" s="21" t="s">
        <v>165</v>
      </c>
      <c r="BF173" s="21" t="s">
        <v>165</v>
      </c>
      <c r="BG173" s="21" t="s">
        <v>165</v>
      </c>
      <c r="BH173" s="21" t="s">
        <v>165</v>
      </c>
      <c r="BI173" s="21" t="s">
        <v>165</v>
      </c>
      <c r="BJ173" s="21" t="s">
        <v>165</v>
      </c>
      <c r="BK173" s="21" t="s">
        <v>165</v>
      </c>
      <c r="BL173" s="21" t="s">
        <v>165</v>
      </c>
      <c r="BM173" s="21" t="s">
        <v>165</v>
      </c>
      <c r="BN173" s="21" t="s">
        <v>165</v>
      </c>
      <c r="BO173" s="21" t="s">
        <v>165</v>
      </c>
      <c r="BP173" s="21" t="s">
        <v>165</v>
      </c>
      <c r="BQ173" s="21" t="s">
        <v>165</v>
      </c>
      <c r="BR173" s="21" t="s">
        <v>165</v>
      </c>
      <c r="BS173" s="21" t="s">
        <v>165</v>
      </c>
      <c r="BT173" s="21" t="s">
        <v>165</v>
      </c>
      <c r="BU173" s="21" t="s">
        <v>165</v>
      </c>
      <c r="BV173" s="21" t="s">
        <v>165</v>
      </c>
      <c r="BW173" s="21" t="s">
        <v>165</v>
      </c>
      <c r="BX173" s="21" t="s">
        <v>165</v>
      </c>
      <c r="BY173" s="21" t="s">
        <v>165</v>
      </c>
      <c r="BZ173" s="21" t="s">
        <v>165</v>
      </c>
      <c r="CA173" s="21" t="s">
        <v>165</v>
      </c>
      <c r="CB173" s="21" t="s">
        <v>165</v>
      </c>
      <c r="CC173" s="21" t="s">
        <v>165</v>
      </c>
      <c r="CD173" s="21" t="s">
        <v>165</v>
      </c>
      <c r="CE173" s="21" t="s">
        <v>165</v>
      </c>
      <c r="CG173" s="15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</row>
    <row r="174" spans="1:106" outlineLevel="2" x14ac:dyDescent="0.2">
      <c r="A174" s="14">
        <v>1</v>
      </c>
      <c r="C174" s="10" t="str">
        <f>"        Total Debt Maturity Schedule"</f>
        <v xml:space="preserve">        Total Debt Maturity Schedule</v>
      </c>
      <c r="D174" s="29">
        <f t="shared" si="40"/>
        <v>167085.5</v>
      </c>
      <c r="E174" s="29">
        <f t="shared" si="41"/>
        <v>154360.5</v>
      </c>
      <c r="F174" s="29">
        <f t="shared" si="42"/>
        <v>43559</v>
      </c>
      <c r="G174" s="29">
        <f t="shared" si="43"/>
        <v>219051</v>
      </c>
      <c r="H174" s="29">
        <f t="shared" si="44"/>
        <v>141800.5</v>
      </c>
      <c r="I174" s="29">
        <f t="shared" si="45"/>
        <v>189424.25</v>
      </c>
      <c r="J174" s="29">
        <f t="shared" si="46"/>
        <v>56826.446707748422</v>
      </c>
      <c r="K174" s="30">
        <f t="shared" si="47"/>
        <v>0.36814111581491654</v>
      </c>
      <c r="L174" s="31"/>
      <c r="M174" s="31" t="s">
        <v>165</v>
      </c>
      <c r="N174" s="31"/>
      <c r="O174" s="31">
        <v>159171</v>
      </c>
      <c r="P174" s="31">
        <v>155734</v>
      </c>
      <c r="Q174" s="31">
        <v>187664</v>
      </c>
      <c r="R174" s="31" t="s">
        <v>165</v>
      </c>
      <c r="S174" s="31" t="s">
        <v>165</v>
      </c>
      <c r="T174" s="31">
        <v>219051</v>
      </c>
      <c r="U174" s="31" t="s">
        <v>165</v>
      </c>
      <c r="V174" s="31" t="s">
        <v>165</v>
      </c>
      <c r="W174" s="31" t="s">
        <v>165</v>
      </c>
      <c r="X174" s="31">
        <v>194705</v>
      </c>
      <c r="Y174" s="31" t="s">
        <v>165</v>
      </c>
      <c r="Z174" s="31" t="s">
        <v>165</v>
      </c>
      <c r="AA174" s="31" t="s">
        <v>165</v>
      </c>
      <c r="AB174" s="31">
        <v>175000</v>
      </c>
      <c r="AC174" s="31" t="s">
        <v>165</v>
      </c>
      <c r="AD174" s="31" t="s">
        <v>165</v>
      </c>
      <c r="AE174" s="31" t="s">
        <v>165</v>
      </c>
      <c r="AF174" s="31">
        <v>100000</v>
      </c>
      <c r="AG174" s="31" t="s">
        <v>165</v>
      </c>
      <c r="AH174" s="31" t="s">
        <v>165</v>
      </c>
      <c r="AI174" s="31" t="s">
        <v>165</v>
      </c>
      <c r="AJ174" s="31">
        <v>43559</v>
      </c>
      <c r="AK174" s="31" t="s">
        <v>165</v>
      </c>
      <c r="AL174" s="31" t="s">
        <v>165</v>
      </c>
      <c r="AM174" s="31" t="s">
        <v>165</v>
      </c>
      <c r="AN174" s="31" t="s">
        <v>165</v>
      </c>
      <c r="AO174" s="31" t="s">
        <v>165</v>
      </c>
      <c r="AP174" s="31" t="s">
        <v>165</v>
      </c>
      <c r="AQ174" s="31" t="s">
        <v>165</v>
      </c>
      <c r="AR174" s="31" t="s">
        <v>165</v>
      </c>
      <c r="AS174" s="31" t="s">
        <v>165</v>
      </c>
      <c r="AT174" s="31" t="s">
        <v>165</v>
      </c>
      <c r="AU174" s="31" t="s">
        <v>165</v>
      </c>
      <c r="AV174" s="31" t="s">
        <v>165</v>
      </c>
      <c r="AW174" s="31" t="s">
        <v>165</v>
      </c>
      <c r="AX174" s="31" t="s">
        <v>165</v>
      </c>
      <c r="AY174" s="31" t="s">
        <v>165</v>
      </c>
      <c r="AZ174" s="31" t="s">
        <v>165</v>
      </c>
      <c r="BA174" s="31" t="s">
        <v>165</v>
      </c>
      <c r="BB174" s="31" t="s">
        <v>165</v>
      </c>
      <c r="BC174" s="31" t="s">
        <v>165</v>
      </c>
      <c r="BD174" s="31" t="s">
        <v>165</v>
      </c>
      <c r="BE174" s="31" t="s">
        <v>165</v>
      </c>
      <c r="BF174" s="31" t="s">
        <v>165</v>
      </c>
      <c r="BG174" s="31" t="s">
        <v>165</v>
      </c>
      <c r="BH174" s="31" t="s">
        <v>165</v>
      </c>
      <c r="BI174" s="31" t="s">
        <v>165</v>
      </c>
      <c r="BJ174" s="31" t="s">
        <v>165</v>
      </c>
      <c r="BK174" s="31" t="s">
        <v>165</v>
      </c>
      <c r="BL174" s="31" t="s">
        <v>165</v>
      </c>
      <c r="BM174" s="31" t="s">
        <v>165</v>
      </c>
      <c r="BN174" s="31" t="s">
        <v>165</v>
      </c>
      <c r="BO174" s="31" t="s">
        <v>165</v>
      </c>
      <c r="BP174" s="31" t="s">
        <v>165</v>
      </c>
      <c r="BQ174" s="31" t="s">
        <v>165</v>
      </c>
      <c r="BR174" s="31" t="s">
        <v>165</v>
      </c>
      <c r="BS174" s="31" t="s">
        <v>165</v>
      </c>
      <c r="BT174" s="31" t="s">
        <v>165</v>
      </c>
      <c r="BU174" s="31" t="s">
        <v>165</v>
      </c>
      <c r="BV174" s="31" t="s">
        <v>165</v>
      </c>
      <c r="BW174" s="31" t="s">
        <v>165</v>
      </c>
      <c r="BX174" s="31" t="s">
        <v>165</v>
      </c>
      <c r="BY174" s="31" t="s">
        <v>165</v>
      </c>
      <c r="BZ174" s="31" t="s">
        <v>165</v>
      </c>
      <c r="CA174" s="31" t="s">
        <v>165</v>
      </c>
      <c r="CB174" s="31" t="s">
        <v>165</v>
      </c>
      <c r="CC174" s="31" t="s">
        <v>165</v>
      </c>
      <c r="CD174" s="31" t="s">
        <v>165</v>
      </c>
      <c r="CE174" s="31" t="s">
        <v>165</v>
      </c>
      <c r="CG174" s="15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</row>
    <row r="175" spans="1:106" outlineLevel="1" x14ac:dyDescent="0.2">
      <c r="A175" s="14">
        <v>1</v>
      </c>
      <c r="C175" s="9" t="str">
        <f>IF(SUBTOTAL(109,A175)=A175,"    Capital Lease Obligation Maturity Schedule","    Capital Lease Obligation Maturity Schedule Total")</f>
        <v xml:space="preserve">    Capital Lease Obligation Maturity Schedule</v>
      </c>
      <c r="D175" s="17" t="str">
        <f t="shared" si="40"/>
        <v/>
      </c>
      <c r="E175" s="17" t="str">
        <f t="shared" si="41"/>
        <v/>
      </c>
      <c r="F175" s="17" t="str">
        <f t="shared" si="42"/>
        <v/>
      </c>
      <c r="G175" s="17" t="str">
        <f t="shared" si="43"/>
        <v/>
      </c>
      <c r="H175" s="17" t="str">
        <f t="shared" si="44"/>
        <v/>
      </c>
      <c r="I175" s="17" t="str">
        <f t="shared" si="45"/>
        <v/>
      </c>
      <c r="J175" s="17" t="str">
        <f t="shared" si="46"/>
        <v/>
      </c>
      <c r="K175" s="18" t="str">
        <f t="shared" si="47"/>
        <v/>
      </c>
      <c r="L175" s="21"/>
      <c r="M175" s="21" t="str">
        <f>IF(SUBTOTAL(109,A175)=A175,"",38786)</f>
        <v/>
      </c>
      <c r="N175" s="136"/>
      <c r="O175" s="136"/>
      <c r="P175" s="136"/>
      <c r="Q175" s="136"/>
      <c r="R175" s="21" t="str">
        <f>IF(SUBTOTAL(109,A175)=A175,"","")</f>
        <v/>
      </c>
      <c r="S175" s="21" t="str">
        <f>IF(SUBTOTAL(109,A175)=A175,"","")</f>
        <v/>
      </c>
      <c r="T175" s="21" t="str">
        <f>IF(SUBTOTAL(109,A175)=A175,"",1275)</f>
        <v/>
      </c>
      <c r="U175" s="21" t="str">
        <f>IF(SUBTOTAL(109,A175)=A175,"","")</f>
        <v/>
      </c>
      <c r="V175" s="21" t="str">
        <f>IF(SUBTOTAL(109,A175)=A175,"","")</f>
        <v/>
      </c>
      <c r="W175" s="21" t="str">
        <f>IF(SUBTOTAL(109,A175)=A175,"","")</f>
        <v/>
      </c>
      <c r="X175" s="21" t="str">
        <f>IF(SUBTOTAL(109,A175)=A175,"",1494)</f>
        <v/>
      </c>
      <c r="Y175" s="21" t="str">
        <f>IF(SUBTOTAL(109,A175)=A175,"","")</f>
        <v/>
      </c>
      <c r="Z175" s="21" t="str">
        <f>IF(SUBTOTAL(109,A175)=A175,"","")</f>
        <v/>
      </c>
      <c r="AA175" s="21" t="str">
        <f>IF(SUBTOTAL(109,A175)=A175,"","")</f>
        <v/>
      </c>
      <c r="AB175" s="21" t="str">
        <f>IF(SUBTOTAL(109,A175)=A175,"",2089)</f>
        <v/>
      </c>
      <c r="AC175" s="21" t="str">
        <f>IF(SUBTOTAL(109,A175)=A175,"","")</f>
        <v/>
      </c>
      <c r="AD175" s="21" t="str">
        <f>IF(SUBTOTAL(109,A175)=A175,"","")</f>
        <v/>
      </c>
      <c r="AE175" s="21" t="str">
        <f>IF(SUBTOTAL(109,A175)=A175,"","")</f>
        <v/>
      </c>
      <c r="AF175" s="21" t="str">
        <f>IF(SUBTOTAL(109,A175)=A175,"",2420)</f>
        <v/>
      </c>
      <c r="AG175" s="21" t="str">
        <f>IF(SUBTOTAL(109,A175)=A175,"",2533)</f>
        <v/>
      </c>
      <c r="AH175" s="21" t="str">
        <f>IF(SUBTOTAL(109,A175)=A175,"",2644)</f>
        <v/>
      </c>
      <c r="AI175" s="21" t="str">
        <f>IF(SUBTOTAL(109,A175)=A175,"",2754)</f>
        <v/>
      </c>
      <c r="AJ175" s="21" t="str">
        <f>IF(SUBTOTAL(109,A175)=A175,"",2862)</f>
        <v/>
      </c>
      <c r="AK175" s="21" t="str">
        <f>IF(SUBTOTAL(109,A175)=A175,"",2969)</f>
        <v/>
      </c>
      <c r="AL175" s="21" t="str">
        <f>IF(SUBTOTAL(109,A175)=A175,"","")</f>
        <v/>
      </c>
      <c r="AM175" s="21" t="str">
        <f>IF(SUBTOTAL(109,A175)=A175,"","")</f>
        <v/>
      </c>
      <c r="AN175" s="21" t="str">
        <f>IF(SUBTOTAL(109,A175)=A175,"","")</f>
        <v/>
      </c>
      <c r="AO175" s="21" t="str">
        <f>IF(SUBTOTAL(109,A175)=A175,"","")</f>
        <v/>
      </c>
      <c r="AP175" s="21" t="str">
        <f>IF(SUBTOTAL(109,A175)=A175,"","")</f>
        <v/>
      </c>
      <c r="AQ175" s="21" t="str">
        <f>IF(SUBTOTAL(109,A175)=A175,"","")</f>
        <v/>
      </c>
      <c r="AR175" s="21" t="str">
        <f>IF(SUBTOTAL(109,A175)=A175,"","")</f>
        <v/>
      </c>
      <c r="AS175" s="21" t="str">
        <f>IF(SUBTOTAL(109,A175)=A175,"","")</f>
        <v/>
      </c>
      <c r="AT175" s="21" t="str">
        <f>IF(SUBTOTAL(109,A175)=A175,"","")</f>
        <v/>
      </c>
      <c r="AU175" s="21" t="str">
        <f>IF(SUBTOTAL(109,A175)=A175,"","")</f>
        <v/>
      </c>
      <c r="AV175" s="21" t="str">
        <f>IF(SUBTOTAL(109,A175)=A175,"","")</f>
        <v/>
      </c>
      <c r="AW175" s="21" t="str">
        <f>IF(SUBTOTAL(109,A175)=A175,"","")</f>
        <v/>
      </c>
      <c r="AX175" s="21" t="str">
        <f>IF(SUBTOTAL(109,A175)=A175,"","")</f>
        <v/>
      </c>
      <c r="AY175" s="21" t="str">
        <f>IF(SUBTOTAL(109,A175)=A175,"","")</f>
        <v/>
      </c>
      <c r="AZ175" s="21" t="str">
        <f>IF(SUBTOTAL(109,A175)=A175,"","")</f>
        <v/>
      </c>
      <c r="BA175" s="21" t="str">
        <f>IF(SUBTOTAL(109,A175)=A175,"","")</f>
        <v/>
      </c>
      <c r="BB175" s="21" t="str">
        <f>IF(SUBTOTAL(109,A175)=A175,"","")</f>
        <v/>
      </c>
      <c r="BC175" s="21" t="str">
        <f>IF(SUBTOTAL(109,A175)=A175,"","")</f>
        <v/>
      </c>
      <c r="BD175" s="21" t="str">
        <f>IF(SUBTOTAL(109,A175)=A175,"","")</f>
        <v/>
      </c>
      <c r="BE175" s="21" t="str">
        <f>IF(SUBTOTAL(109,A175)=A175,"","")</f>
        <v/>
      </c>
      <c r="BF175" s="21" t="str">
        <f>IF(SUBTOTAL(109,A175)=A175,"","")</f>
        <v/>
      </c>
      <c r="BG175" s="21" t="str">
        <f>IF(SUBTOTAL(109,A175)=A175,"","")</f>
        <v/>
      </c>
      <c r="BH175" s="21" t="str">
        <f>IF(SUBTOTAL(109,A175)=A175,"","")</f>
        <v/>
      </c>
      <c r="BI175" s="21" t="str">
        <f>IF(SUBTOTAL(109,A175)=A175,"","")</f>
        <v/>
      </c>
      <c r="BJ175" s="21" t="str">
        <f>IF(SUBTOTAL(109,A175)=A175,"","")</f>
        <v/>
      </c>
      <c r="BK175" s="21" t="str">
        <f>IF(SUBTOTAL(109,A175)=A175,"","")</f>
        <v/>
      </c>
      <c r="BL175" s="21" t="str">
        <f>IF(SUBTOTAL(109,A175)=A175,"","")</f>
        <v/>
      </c>
      <c r="BM175" s="21" t="str">
        <f>IF(SUBTOTAL(109,A175)=A175,"","")</f>
        <v/>
      </c>
      <c r="BN175" s="21" t="str">
        <f>IF(SUBTOTAL(109,A175)=A175,"","")</f>
        <v/>
      </c>
      <c r="BO175" s="21" t="str">
        <f>IF(SUBTOTAL(109,A175)=A175,"","")</f>
        <v/>
      </c>
      <c r="BP175" s="21" t="str">
        <f>IF(SUBTOTAL(109,A175)=A175,"","")</f>
        <v/>
      </c>
      <c r="BQ175" s="21" t="str">
        <f>IF(SUBTOTAL(109,A175)=A175,"","")</f>
        <v/>
      </c>
      <c r="BR175" s="21" t="str">
        <f>IF(SUBTOTAL(109,A175)=A175,"","")</f>
        <v/>
      </c>
      <c r="BS175" s="21" t="str">
        <f>IF(SUBTOTAL(109,A175)=A175,"","")</f>
        <v/>
      </c>
      <c r="BT175" s="21" t="str">
        <f>IF(SUBTOTAL(109,A175)=A175,"","")</f>
        <v/>
      </c>
      <c r="BU175" s="21" t="str">
        <f>IF(SUBTOTAL(109,A175)=A175,"","")</f>
        <v/>
      </c>
      <c r="BV175" s="21" t="str">
        <f>IF(SUBTOTAL(109,A175)=A175,"","")</f>
        <v/>
      </c>
      <c r="BW175" s="21" t="str">
        <f>IF(SUBTOTAL(109,A175)=A175,"","")</f>
        <v/>
      </c>
      <c r="BX175" s="21" t="str">
        <f>IF(SUBTOTAL(109,A175)=A175,"","")</f>
        <v/>
      </c>
      <c r="BY175" s="21" t="str">
        <f>IF(SUBTOTAL(109,A175)=A175,"","")</f>
        <v/>
      </c>
      <c r="BZ175" s="21" t="str">
        <f>IF(SUBTOTAL(109,A175)=A175,"","")</f>
        <v/>
      </c>
      <c r="CA175" s="21" t="str">
        <f>IF(SUBTOTAL(109,A175)=A175,"","")</f>
        <v/>
      </c>
      <c r="CB175" s="21" t="str">
        <f>IF(SUBTOTAL(109,A175)=A175,"","")</f>
        <v/>
      </c>
      <c r="CC175" s="21" t="str">
        <f>IF(SUBTOTAL(109,A175)=A175,"","")</f>
        <v/>
      </c>
      <c r="CD175" s="21" t="str">
        <f>IF(SUBTOTAL(109,A175)=A175,"","")</f>
        <v/>
      </c>
      <c r="CE175" s="21" t="str">
        <f>IF(SUBTOTAL(109,A175)=A175,"","")</f>
        <v/>
      </c>
      <c r="CG175" s="15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</row>
    <row r="176" spans="1:106" outlineLevel="2" x14ac:dyDescent="0.2">
      <c r="A176" s="14">
        <v>1</v>
      </c>
      <c r="C176" s="9" t="str">
        <f>"        Capital Lease due in Year 1"</f>
        <v xml:space="preserve">        Capital Lease due in Year 1</v>
      </c>
      <c r="D176" s="17">
        <f t="shared" si="40"/>
        <v>596</v>
      </c>
      <c r="E176" s="17">
        <f t="shared" si="41"/>
        <v>1042.7678571428571</v>
      </c>
      <c r="F176" s="17">
        <f t="shared" si="42"/>
        <v>149</v>
      </c>
      <c r="G176" s="17">
        <f t="shared" si="43"/>
        <v>3071</v>
      </c>
      <c r="H176" s="17">
        <f t="shared" si="44"/>
        <v>456.75</v>
      </c>
      <c r="I176" s="17">
        <f t="shared" si="45"/>
        <v>1778.625</v>
      </c>
      <c r="J176" s="17">
        <f t="shared" si="46"/>
        <v>872.6234013697615</v>
      </c>
      <c r="K176" s="18">
        <f t="shared" si="47"/>
        <v>0.83683381242754762</v>
      </c>
      <c r="L176" s="21"/>
      <c r="M176" s="21">
        <v>3071</v>
      </c>
      <c r="N176" s="136">
        <v>1914.75</v>
      </c>
      <c r="O176" s="136">
        <v>1888.5</v>
      </c>
      <c r="P176" s="136">
        <v>1873.5</v>
      </c>
      <c r="Q176" s="136">
        <v>486</v>
      </c>
      <c r="R176" s="21" t="s">
        <v>165</v>
      </c>
      <c r="S176" s="21" t="s">
        <v>165</v>
      </c>
      <c r="T176" s="21">
        <v>1040</v>
      </c>
      <c r="U176" s="21" t="s">
        <v>165</v>
      </c>
      <c r="V176" s="21" t="s">
        <v>165</v>
      </c>
      <c r="W176" s="21" t="s">
        <v>165</v>
      </c>
      <c r="X176" s="21">
        <v>1494</v>
      </c>
      <c r="Y176" s="21" t="s">
        <v>165</v>
      </c>
      <c r="Z176" s="21" t="s">
        <v>165</v>
      </c>
      <c r="AA176" s="21" t="s">
        <v>165</v>
      </c>
      <c r="AB176" s="21">
        <v>596</v>
      </c>
      <c r="AC176" s="21" t="s">
        <v>165</v>
      </c>
      <c r="AD176" s="21" t="s">
        <v>165</v>
      </c>
      <c r="AE176" s="21" t="s">
        <v>165</v>
      </c>
      <c r="AF176" s="21">
        <v>596</v>
      </c>
      <c r="AG176" s="21">
        <v>149</v>
      </c>
      <c r="AH176" s="21">
        <v>298</v>
      </c>
      <c r="AI176" s="21">
        <v>447</v>
      </c>
      <c r="AJ176" s="21">
        <v>596</v>
      </c>
      <c r="AK176" s="21">
        <v>149</v>
      </c>
      <c r="AL176" s="21" t="s">
        <v>165</v>
      </c>
      <c r="AM176" s="21" t="s">
        <v>165</v>
      </c>
      <c r="AN176" s="21" t="s">
        <v>165</v>
      </c>
      <c r="AO176" s="21" t="s">
        <v>165</v>
      </c>
      <c r="AP176" s="21" t="s">
        <v>165</v>
      </c>
      <c r="AQ176" s="21" t="s">
        <v>165</v>
      </c>
      <c r="AR176" s="21" t="s">
        <v>165</v>
      </c>
      <c r="AS176" s="21" t="s">
        <v>165</v>
      </c>
      <c r="AT176" s="21" t="s">
        <v>165</v>
      </c>
      <c r="AU176" s="21" t="s">
        <v>165</v>
      </c>
      <c r="AV176" s="21" t="s">
        <v>165</v>
      </c>
      <c r="AW176" s="21" t="s">
        <v>165</v>
      </c>
      <c r="AX176" s="21" t="s">
        <v>165</v>
      </c>
      <c r="AY176" s="21" t="s">
        <v>165</v>
      </c>
      <c r="AZ176" s="21" t="s">
        <v>165</v>
      </c>
      <c r="BA176" s="21" t="s">
        <v>165</v>
      </c>
      <c r="BB176" s="21" t="s">
        <v>165</v>
      </c>
      <c r="BC176" s="21" t="s">
        <v>165</v>
      </c>
      <c r="BD176" s="21" t="s">
        <v>165</v>
      </c>
      <c r="BE176" s="21" t="s">
        <v>165</v>
      </c>
      <c r="BF176" s="21" t="s">
        <v>165</v>
      </c>
      <c r="BG176" s="21" t="s">
        <v>165</v>
      </c>
      <c r="BH176" s="21" t="s">
        <v>165</v>
      </c>
      <c r="BI176" s="21" t="s">
        <v>165</v>
      </c>
      <c r="BJ176" s="21" t="s">
        <v>165</v>
      </c>
      <c r="BK176" s="21" t="s">
        <v>165</v>
      </c>
      <c r="BL176" s="21" t="s">
        <v>165</v>
      </c>
      <c r="BM176" s="21" t="s">
        <v>165</v>
      </c>
      <c r="BN176" s="21" t="s">
        <v>165</v>
      </c>
      <c r="BO176" s="21" t="s">
        <v>165</v>
      </c>
      <c r="BP176" s="21" t="s">
        <v>165</v>
      </c>
      <c r="BQ176" s="21" t="s">
        <v>165</v>
      </c>
      <c r="BR176" s="21" t="s">
        <v>165</v>
      </c>
      <c r="BS176" s="21" t="s">
        <v>165</v>
      </c>
      <c r="BT176" s="21" t="s">
        <v>165</v>
      </c>
      <c r="BU176" s="21" t="s">
        <v>165</v>
      </c>
      <c r="BV176" s="21" t="s">
        <v>165</v>
      </c>
      <c r="BW176" s="21" t="s">
        <v>165</v>
      </c>
      <c r="BX176" s="21" t="s">
        <v>165</v>
      </c>
      <c r="BY176" s="21" t="s">
        <v>165</v>
      </c>
      <c r="BZ176" s="21" t="s">
        <v>165</v>
      </c>
      <c r="CA176" s="21" t="s">
        <v>165</v>
      </c>
      <c r="CB176" s="21" t="s">
        <v>165</v>
      </c>
      <c r="CC176" s="21" t="s">
        <v>165</v>
      </c>
      <c r="CD176" s="21" t="s">
        <v>165</v>
      </c>
      <c r="CE176" s="21" t="s">
        <v>165</v>
      </c>
      <c r="CG176" s="15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</row>
    <row r="177" spans="1:106" outlineLevel="2" x14ac:dyDescent="0.2">
      <c r="A177" s="14">
        <v>1</v>
      </c>
      <c r="C177" s="9" t="str">
        <f>"        Capital Lease due in Year 2"</f>
        <v xml:space="preserve">        Capital Lease due in Year 2</v>
      </c>
      <c r="D177" s="17">
        <f t="shared" si="40"/>
        <v>596</v>
      </c>
      <c r="E177" s="17">
        <f t="shared" si="41"/>
        <v>1581.75</v>
      </c>
      <c r="F177" s="17">
        <f t="shared" si="42"/>
        <v>596</v>
      </c>
      <c r="G177" s="17">
        <f t="shared" si="43"/>
        <v>3125</v>
      </c>
      <c r="H177" s="17">
        <f t="shared" si="44"/>
        <v>596</v>
      </c>
      <c r="I177" s="17">
        <f t="shared" si="45"/>
        <v>3035.3125</v>
      </c>
      <c r="J177" s="17">
        <f t="shared" si="46"/>
        <v>1272.9335978142947</v>
      </c>
      <c r="K177" s="18">
        <f t="shared" si="47"/>
        <v>0.80476282460205129</v>
      </c>
      <c r="L177" s="21"/>
      <c r="M177" s="21">
        <v>3125</v>
      </c>
      <c r="N177" s="136">
        <v>3067.25</v>
      </c>
      <c r="O177" s="136">
        <v>3046</v>
      </c>
      <c r="P177" s="136">
        <v>3003.25</v>
      </c>
      <c r="Q177" s="136"/>
      <c r="R177" s="21" t="s">
        <v>165</v>
      </c>
      <c r="S177" s="21" t="s">
        <v>165</v>
      </c>
      <c r="T177" s="21" t="s">
        <v>165</v>
      </c>
      <c r="U177" s="21" t="s">
        <v>165</v>
      </c>
      <c r="V177" s="21" t="s">
        <v>165</v>
      </c>
      <c r="W177" s="21" t="s">
        <v>165</v>
      </c>
      <c r="X177" s="21" t="s">
        <v>165</v>
      </c>
      <c r="Y177" s="21" t="s">
        <v>165</v>
      </c>
      <c r="Z177" s="21" t="s">
        <v>165</v>
      </c>
      <c r="AA177" s="21" t="s">
        <v>165</v>
      </c>
      <c r="AB177" s="21" t="s">
        <v>165</v>
      </c>
      <c r="AC177" s="21" t="s">
        <v>165</v>
      </c>
      <c r="AD177" s="21" t="s">
        <v>165</v>
      </c>
      <c r="AE177" s="21" t="s">
        <v>165</v>
      </c>
      <c r="AF177" s="21">
        <v>596</v>
      </c>
      <c r="AG177" s="21">
        <v>596</v>
      </c>
      <c r="AH177" s="21">
        <v>596</v>
      </c>
      <c r="AI177" s="21">
        <v>596</v>
      </c>
      <c r="AJ177" s="21">
        <v>596</v>
      </c>
      <c r="AK177" s="21">
        <v>596</v>
      </c>
      <c r="AL177" s="21" t="s">
        <v>165</v>
      </c>
      <c r="AM177" s="21" t="s">
        <v>165</v>
      </c>
      <c r="AN177" s="21" t="s">
        <v>165</v>
      </c>
      <c r="AO177" s="21" t="s">
        <v>165</v>
      </c>
      <c r="AP177" s="21" t="s">
        <v>165</v>
      </c>
      <c r="AQ177" s="21" t="s">
        <v>165</v>
      </c>
      <c r="AR177" s="21" t="s">
        <v>165</v>
      </c>
      <c r="AS177" s="21" t="s">
        <v>165</v>
      </c>
      <c r="AT177" s="21" t="s">
        <v>165</v>
      </c>
      <c r="AU177" s="21" t="s">
        <v>165</v>
      </c>
      <c r="AV177" s="21" t="s">
        <v>165</v>
      </c>
      <c r="AW177" s="21" t="s">
        <v>165</v>
      </c>
      <c r="AX177" s="21" t="s">
        <v>165</v>
      </c>
      <c r="AY177" s="21" t="s">
        <v>165</v>
      </c>
      <c r="AZ177" s="21" t="s">
        <v>165</v>
      </c>
      <c r="BA177" s="21" t="s">
        <v>165</v>
      </c>
      <c r="BB177" s="21" t="s">
        <v>165</v>
      </c>
      <c r="BC177" s="21" t="s">
        <v>165</v>
      </c>
      <c r="BD177" s="21" t="s">
        <v>165</v>
      </c>
      <c r="BE177" s="21" t="s">
        <v>165</v>
      </c>
      <c r="BF177" s="21" t="s">
        <v>165</v>
      </c>
      <c r="BG177" s="21" t="s">
        <v>165</v>
      </c>
      <c r="BH177" s="21" t="s">
        <v>165</v>
      </c>
      <c r="BI177" s="21" t="s">
        <v>165</v>
      </c>
      <c r="BJ177" s="21" t="s">
        <v>165</v>
      </c>
      <c r="BK177" s="21" t="s">
        <v>165</v>
      </c>
      <c r="BL177" s="21" t="s">
        <v>165</v>
      </c>
      <c r="BM177" s="21" t="s">
        <v>165</v>
      </c>
      <c r="BN177" s="21" t="s">
        <v>165</v>
      </c>
      <c r="BO177" s="21" t="s">
        <v>165</v>
      </c>
      <c r="BP177" s="21" t="s">
        <v>165</v>
      </c>
      <c r="BQ177" s="21" t="s">
        <v>165</v>
      </c>
      <c r="BR177" s="21" t="s">
        <v>165</v>
      </c>
      <c r="BS177" s="21" t="s">
        <v>165</v>
      </c>
      <c r="BT177" s="21" t="s">
        <v>165</v>
      </c>
      <c r="BU177" s="21" t="s">
        <v>165</v>
      </c>
      <c r="BV177" s="21" t="s">
        <v>165</v>
      </c>
      <c r="BW177" s="21" t="s">
        <v>165</v>
      </c>
      <c r="BX177" s="21" t="s">
        <v>165</v>
      </c>
      <c r="BY177" s="21" t="s">
        <v>165</v>
      </c>
      <c r="BZ177" s="21" t="s">
        <v>165</v>
      </c>
      <c r="CA177" s="21" t="s">
        <v>165</v>
      </c>
      <c r="CB177" s="21" t="s">
        <v>165</v>
      </c>
      <c r="CC177" s="21" t="s">
        <v>165</v>
      </c>
      <c r="CD177" s="21" t="s">
        <v>165</v>
      </c>
      <c r="CE177" s="21" t="s">
        <v>165</v>
      </c>
      <c r="CG177" s="15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</row>
    <row r="178" spans="1:106" outlineLevel="2" x14ac:dyDescent="0.2">
      <c r="A178" s="14">
        <v>1</v>
      </c>
      <c r="C178" s="9" t="str">
        <f>"        Capital Lease due in Year 3"</f>
        <v xml:space="preserve">        Capital Lease due in Year 3</v>
      </c>
      <c r="D178" s="17">
        <f t="shared" si="40"/>
        <v>596</v>
      </c>
      <c r="E178" s="17">
        <f t="shared" si="41"/>
        <v>1428.3653846153845</v>
      </c>
      <c r="F178" s="17">
        <f t="shared" si="42"/>
        <v>99</v>
      </c>
      <c r="G178" s="17">
        <f t="shared" si="43"/>
        <v>3180</v>
      </c>
      <c r="H178" s="17">
        <f t="shared" si="44"/>
        <v>596</v>
      </c>
      <c r="I178" s="17">
        <f t="shared" si="45"/>
        <v>3046</v>
      </c>
      <c r="J178" s="17">
        <f t="shared" si="46"/>
        <v>1231.8952565364164</v>
      </c>
      <c r="K178" s="18">
        <f t="shared" si="47"/>
        <v>0.8624510715569661</v>
      </c>
      <c r="L178" s="21"/>
      <c r="M178" s="21">
        <v>3180</v>
      </c>
      <c r="N178" s="136">
        <v>3111.5</v>
      </c>
      <c r="O178" s="136">
        <v>3067.25</v>
      </c>
      <c r="P178" s="136">
        <v>3046</v>
      </c>
      <c r="Q178" s="136">
        <v>99</v>
      </c>
      <c r="R178" s="21" t="s">
        <v>165</v>
      </c>
      <c r="S178" s="21" t="s">
        <v>165</v>
      </c>
      <c r="T178" s="21">
        <v>99</v>
      </c>
      <c r="U178" s="21" t="s">
        <v>165</v>
      </c>
      <c r="V178" s="21" t="s">
        <v>165</v>
      </c>
      <c r="W178" s="21" t="s">
        <v>165</v>
      </c>
      <c r="X178" s="21" t="s">
        <v>165</v>
      </c>
      <c r="Y178" s="21" t="s">
        <v>165</v>
      </c>
      <c r="Z178" s="21" t="s">
        <v>165</v>
      </c>
      <c r="AA178" s="21" t="s">
        <v>165</v>
      </c>
      <c r="AB178" s="21">
        <v>1493</v>
      </c>
      <c r="AC178" s="21" t="s">
        <v>165</v>
      </c>
      <c r="AD178" s="21" t="s">
        <v>165</v>
      </c>
      <c r="AE178" s="21" t="s">
        <v>165</v>
      </c>
      <c r="AF178" s="21">
        <v>1493</v>
      </c>
      <c r="AG178" s="21">
        <v>596</v>
      </c>
      <c r="AH178" s="21">
        <v>596</v>
      </c>
      <c r="AI178" s="21">
        <v>596</v>
      </c>
      <c r="AJ178" s="21">
        <v>596</v>
      </c>
      <c r="AK178" s="21">
        <v>596</v>
      </c>
      <c r="AL178" s="21" t="s">
        <v>165</v>
      </c>
      <c r="AM178" s="21" t="s">
        <v>165</v>
      </c>
      <c r="AN178" s="21" t="s">
        <v>165</v>
      </c>
      <c r="AO178" s="21" t="s">
        <v>165</v>
      </c>
      <c r="AP178" s="21" t="s">
        <v>165</v>
      </c>
      <c r="AQ178" s="21" t="s">
        <v>165</v>
      </c>
      <c r="AR178" s="21" t="s">
        <v>165</v>
      </c>
      <c r="AS178" s="21" t="s">
        <v>165</v>
      </c>
      <c r="AT178" s="21" t="s">
        <v>165</v>
      </c>
      <c r="AU178" s="21" t="s">
        <v>165</v>
      </c>
      <c r="AV178" s="21" t="s">
        <v>165</v>
      </c>
      <c r="AW178" s="21" t="s">
        <v>165</v>
      </c>
      <c r="AX178" s="21" t="s">
        <v>165</v>
      </c>
      <c r="AY178" s="21" t="s">
        <v>165</v>
      </c>
      <c r="AZ178" s="21" t="s">
        <v>165</v>
      </c>
      <c r="BA178" s="21" t="s">
        <v>165</v>
      </c>
      <c r="BB178" s="21" t="s">
        <v>165</v>
      </c>
      <c r="BC178" s="21" t="s">
        <v>165</v>
      </c>
      <c r="BD178" s="21" t="s">
        <v>165</v>
      </c>
      <c r="BE178" s="21" t="s">
        <v>165</v>
      </c>
      <c r="BF178" s="21" t="s">
        <v>165</v>
      </c>
      <c r="BG178" s="21" t="s">
        <v>165</v>
      </c>
      <c r="BH178" s="21" t="s">
        <v>165</v>
      </c>
      <c r="BI178" s="21" t="s">
        <v>165</v>
      </c>
      <c r="BJ178" s="21" t="s">
        <v>165</v>
      </c>
      <c r="BK178" s="21" t="s">
        <v>165</v>
      </c>
      <c r="BL178" s="21" t="s">
        <v>165</v>
      </c>
      <c r="BM178" s="21" t="s">
        <v>165</v>
      </c>
      <c r="BN178" s="21" t="s">
        <v>165</v>
      </c>
      <c r="BO178" s="21" t="s">
        <v>165</v>
      </c>
      <c r="BP178" s="21" t="s">
        <v>165</v>
      </c>
      <c r="BQ178" s="21" t="s">
        <v>165</v>
      </c>
      <c r="BR178" s="21" t="s">
        <v>165</v>
      </c>
      <c r="BS178" s="21" t="s">
        <v>165</v>
      </c>
      <c r="BT178" s="21" t="s">
        <v>165</v>
      </c>
      <c r="BU178" s="21" t="s">
        <v>165</v>
      </c>
      <c r="BV178" s="21" t="s">
        <v>165</v>
      </c>
      <c r="BW178" s="21" t="s">
        <v>165</v>
      </c>
      <c r="BX178" s="21" t="s">
        <v>165</v>
      </c>
      <c r="BY178" s="21" t="s">
        <v>165</v>
      </c>
      <c r="BZ178" s="21" t="s">
        <v>165</v>
      </c>
      <c r="CA178" s="21" t="s">
        <v>165</v>
      </c>
      <c r="CB178" s="21" t="s">
        <v>165</v>
      </c>
      <c r="CC178" s="21" t="s">
        <v>165</v>
      </c>
      <c r="CD178" s="21" t="s">
        <v>165</v>
      </c>
      <c r="CE178" s="21" t="s">
        <v>165</v>
      </c>
      <c r="CG178" s="15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</row>
    <row r="179" spans="1:106" outlineLevel="2" x14ac:dyDescent="0.2">
      <c r="A179" s="14">
        <v>1</v>
      </c>
      <c r="C179" s="9" t="str">
        <f>"        Capital Lease due in Year 4"</f>
        <v xml:space="preserve">        Capital Lease due in Year 4</v>
      </c>
      <c r="D179" s="17">
        <f t="shared" si="40"/>
        <v>1493</v>
      </c>
      <c r="E179" s="17">
        <f t="shared" si="41"/>
        <v>2127.6666666666665</v>
      </c>
      <c r="F179" s="17">
        <f t="shared" si="42"/>
        <v>596</v>
      </c>
      <c r="G179" s="17">
        <f t="shared" si="43"/>
        <v>3236</v>
      </c>
      <c r="H179" s="17">
        <f t="shared" si="44"/>
        <v>1493</v>
      </c>
      <c r="I179" s="17">
        <f t="shared" si="45"/>
        <v>3111.5</v>
      </c>
      <c r="J179" s="17">
        <f t="shared" si="46"/>
        <v>1007.1626528892938</v>
      </c>
      <c r="K179" s="18">
        <f t="shared" si="47"/>
        <v>0.47336486897507152</v>
      </c>
      <c r="L179" s="21"/>
      <c r="M179" s="21">
        <v>3236</v>
      </c>
      <c r="N179" s="136">
        <v>3166.25</v>
      </c>
      <c r="O179" s="136">
        <v>3111.5</v>
      </c>
      <c r="P179" s="136">
        <v>3067.25</v>
      </c>
      <c r="Q179" s="136"/>
      <c r="R179" s="21" t="s">
        <v>165</v>
      </c>
      <c r="S179" s="21" t="s">
        <v>165</v>
      </c>
      <c r="T179" s="21" t="s">
        <v>165</v>
      </c>
      <c r="U179" s="21" t="s">
        <v>165</v>
      </c>
      <c r="V179" s="21" t="s">
        <v>165</v>
      </c>
      <c r="W179" s="21" t="s">
        <v>165</v>
      </c>
      <c r="X179" s="21" t="s">
        <v>165</v>
      </c>
      <c r="Y179" s="21" t="s">
        <v>165</v>
      </c>
      <c r="Z179" s="21" t="s">
        <v>165</v>
      </c>
      <c r="AA179" s="21" t="s">
        <v>165</v>
      </c>
      <c r="AB179" s="21" t="s">
        <v>165</v>
      </c>
      <c r="AC179" s="21" t="s">
        <v>165</v>
      </c>
      <c r="AD179" s="21" t="s">
        <v>165</v>
      </c>
      <c r="AE179" s="21" t="s">
        <v>165</v>
      </c>
      <c r="AF179" s="21" t="s">
        <v>165</v>
      </c>
      <c r="AG179" s="21">
        <v>1493</v>
      </c>
      <c r="AH179" s="21">
        <v>1493</v>
      </c>
      <c r="AI179" s="21">
        <v>1493</v>
      </c>
      <c r="AJ179" s="21">
        <v>1493</v>
      </c>
      <c r="AK179" s="21">
        <v>596</v>
      </c>
      <c r="AL179" s="21" t="s">
        <v>165</v>
      </c>
      <c r="AM179" s="21" t="s">
        <v>165</v>
      </c>
      <c r="AN179" s="21" t="s">
        <v>165</v>
      </c>
      <c r="AO179" s="21" t="s">
        <v>165</v>
      </c>
      <c r="AP179" s="21" t="s">
        <v>165</v>
      </c>
      <c r="AQ179" s="21" t="s">
        <v>165</v>
      </c>
      <c r="AR179" s="21" t="s">
        <v>165</v>
      </c>
      <c r="AS179" s="21" t="s">
        <v>165</v>
      </c>
      <c r="AT179" s="21" t="s">
        <v>165</v>
      </c>
      <c r="AU179" s="21" t="s">
        <v>165</v>
      </c>
      <c r="AV179" s="21" t="s">
        <v>165</v>
      </c>
      <c r="AW179" s="21" t="s">
        <v>165</v>
      </c>
      <c r="AX179" s="21" t="s">
        <v>165</v>
      </c>
      <c r="AY179" s="21" t="s">
        <v>165</v>
      </c>
      <c r="AZ179" s="21" t="s">
        <v>165</v>
      </c>
      <c r="BA179" s="21" t="s">
        <v>165</v>
      </c>
      <c r="BB179" s="21" t="s">
        <v>165</v>
      </c>
      <c r="BC179" s="21" t="s">
        <v>165</v>
      </c>
      <c r="BD179" s="21" t="s">
        <v>165</v>
      </c>
      <c r="BE179" s="21" t="s">
        <v>165</v>
      </c>
      <c r="BF179" s="21" t="s">
        <v>165</v>
      </c>
      <c r="BG179" s="21" t="s">
        <v>165</v>
      </c>
      <c r="BH179" s="21" t="s">
        <v>165</v>
      </c>
      <c r="BI179" s="21" t="s">
        <v>165</v>
      </c>
      <c r="BJ179" s="21" t="s">
        <v>165</v>
      </c>
      <c r="BK179" s="21" t="s">
        <v>165</v>
      </c>
      <c r="BL179" s="21" t="s">
        <v>165</v>
      </c>
      <c r="BM179" s="21" t="s">
        <v>165</v>
      </c>
      <c r="BN179" s="21" t="s">
        <v>165</v>
      </c>
      <c r="BO179" s="21" t="s">
        <v>165</v>
      </c>
      <c r="BP179" s="21" t="s">
        <v>165</v>
      </c>
      <c r="BQ179" s="21" t="s">
        <v>165</v>
      </c>
      <c r="BR179" s="21" t="s">
        <v>165</v>
      </c>
      <c r="BS179" s="21" t="s">
        <v>165</v>
      </c>
      <c r="BT179" s="21" t="s">
        <v>165</v>
      </c>
      <c r="BU179" s="21" t="s">
        <v>165</v>
      </c>
      <c r="BV179" s="21" t="s">
        <v>165</v>
      </c>
      <c r="BW179" s="21" t="s">
        <v>165</v>
      </c>
      <c r="BX179" s="21" t="s">
        <v>165</v>
      </c>
      <c r="BY179" s="21" t="s">
        <v>165</v>
      </c>
      <c r="BZ179" s="21" t="s">
        <v>165</v>
      </c>
      <c r="CA179" s="21" t="s">
        <v>165</v>
      </c>
      <c r="CB179" s="21" t="s">
        <v>165</v>
      </c>
      <c r="CC179" s="21" t="s">
        <v>165</v>
      </c>
      <c r="CD179" s="21" t="s">
        <v>165</v>
      </c>
      <c r="CE179" s="21" t="s">
        <v>165</v>
      </c>
      <c r="CG179" s="15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</row>
    <row r="180" spans="1:106" outlineLevel="2" x14ac:dyDescent="0.2">
      <c r="A180" s="14">
        <v>1</v>
      </c>
      <c r="C180" s="9" t="str">
        <f>"        Capital Lease due in Year 5"</f>
        <v xml:space="preserve">        Capital Lease due in Year 5</v>
      </c>
      <c r="D180" s="17">
        <f t="shared" si="40"/>
        <v>3112</v>
      </c>
      <c r="E180" s="17">
        <f t="shared" si="41"/>
        <v>2060.0714285714284</v>
      </c>
      <c r="F180" s="17">
        <f t="shared" si="42"/>
        <v>37</v>
      </c>
      <c r="G180" s="17">
        <f t="shared" si="43"/>
        <v>3292</v>
      </c>
      <c r="H180" s="17">
        <f t="shared" si="44"/>
        <v>796</v>
      </c>
      <c r="I180" s="17">
        <f t="shared" si="45"/>
        <v>3193.75</v>
      </c>
      <c r="J180" s="17">
        <f t="shared" si="46"/>
        <v>1497.5734589264569</v>
      </c>
      <c r="K180" s="18">
        <f t="shared" si="47"/>
        <v>0.72695220085886059</v>
      </c>
      <c r="L180" s="21"/>
      <c r="M180" s="21">
        <v>3292</v>
      </c>
      <c r="N180" s="136">
        <v>3221.25</v>
      </c>
      <c r="O180" s="136">
        <v>3166.25</v>
      </c>
      <c r="P180" s="136">
        <v>3112</v>
      </c>
      <c r="Q180" s="136">
        <v>37</v>
      </c>
      <c r="R180" s="21" t="s">
        <v>165</v>
      </c>
      <c r="S180" s="21" t="s">
        <v>165</v>
      </c>
      <c r="T180" s="21">
        <v>99</v>
      </c>
      <c r="U180" s="21" t="s">
        <v>165</v>
      </c>
      <c r="V180" s="21" t="s">
        <v>165</v>
      </c>
      <c r="W180" s="21" t="s">
        <v>165</v>
      </c>
      <c r="X180" s="21" t="s">
        <v>165</v>
      </c>
      <c r="Y180" s="21" t="s">
        <v>165</v>
      </c>
      <c r="Z180" s="21" t="s">
        <v>165</v>
      </c>
      <c r="AA180" s="21" t="s">
        <v>165</v>
      </c>
      <c r="AB180" s="21" t="s">
        <v>165</v>
      </c>
      <c r="AC180" s="21" t="s">
        <v>165</v>
      </c>
      <c r="AD180" s="21" t="s">
        <v>165</v>
      </c>
      <c r="AE180" s="21" t="s">
        <v>165</v>
      </c>
      <c r="AF180" s="21" t="s">
        <v>165</v>
      </c>
      <c r="AG180" s="21" t="s">
        <v>165</v>
      </c>
      <c r="AH180" s="21" t="s">
        <v>165</v>
      </c>
      <c r="AI180" s="21" t="s">
        <v>165</v>
      </c>
      <c r="AJ180" s="21" t="s">
        <v>165</v>
      </c>
      <c r="AK180" s="21">
        <v>1493</v>
      </c>
      <c r="AL180" s="21" t="s">
        <v>165</v>
      </c>
      <c r="AM180" s="21" t="s">
        <v>165</v>
      </c>
      <c r="AN180" s="21" t="s">
        <v>165</v>
      </c>
      <c r="AO180" s="21" t="s">
        <v>165</v>
      </c>
      <c r="AP180" s="21" t="s">
        <v>165</v>
      </c>
      <c r="AQ180" s="21" t="s">
        <v>165</v>
      </c>
      <c r="AR180" s="21" t="s">
        <v>165</v>
      </c>
      <c r="AS180" s="21" t="s">
        <v>165</v>
      </c>
      <c r="AT180" s="21" t="s">
        <v>165</v>
      </c>
      <c r="AU180" s="21" t="s">
        <v>165</v>
      </c>
      <c r="AV180" s="21" t="s">
        <v>165</v>
      </c>
      <c r="AW180" s="21" t="s">
        <v>165</v>
      </c>
      <c r="AX180" s="21" t="s">
        <v>165</v>
      </c>
      <c r="AY180" s="21" t="s">
        <v>165</v>
      </c>
      <c r="AZ180" s="21" t="s">
        <v>165</v>
      </c>
      <c r="BA180" s="21" t="s">
        <v>165</v>
      </c>
      <c r="BB180" s="21" t="s">
        <v>165</v>
      </c>
      <c r="BC180" s="21" t="s">
        <v>165</v>
      </c>
      <c r="BD180" s="21" t="s">
        <v>165</v>
      </c>
      <c r="BE180" s="21" t="s">
        <v>165</v>
      </c>
      <c r="BF180" s="21" t="s">
        <v>165</v>
      </c>
      <c r="BG180" s="21" t="s">
        <v>165</v>
      </c>
      <c r="BH180" s="21" t="s">
        <v>165</v>
      </c>
      <c r="BI180" s="21" t="s">
        <v>165</v>
      </c>
      <c r="BJ180" s="21" t="s">
        <v>165</v>
      </c>
      <c r="BK180" s="21" t="s">
        <v>165</v>
      </c>
      <c r="BL180" s="21" t="s">
        <v>165</v>
      </c>
      <c r="BM180" s="21" t="s">
        <v>165</v>
      </c>
      <c r="BN180" s="21" t="s">
        <v>165</v>
      </c>
      <c r="BO180" s="21" t="s">
        <v>165</v>
      </c>
      <c r="BP180" s="21" t="s">
        <v>165</v>
      </c>
      <c r="BQ180" s="21" t="s">
        <v>165</v>
      </c>
      <c r="BR180" s="21" t="s">
        <v>165</v>
      </c>
      <c r="BS180" s="21" t="s">
        <v>165</v>
      </c>
      <c r="BT180" s="21" t="s">
        <v>165</v>
      </c>
      <c r="BU180" s="21" t="s">
        <v>165</v>
      </c>
      <c r="BV180" s="21" t="s">
        <v>165</v>
      </c>
      <c r="BW180" s="21" t="s">
        <v>165</v>
      </c>
      <c r="BX180" s="21" t="s">
        <v>165</v>
      </c>
      <c r="BY180" s="21" t="s">
        <v>165</v>
      </c>
      <c r="BZ180" s="21" t="s">
        <v>165</v>
      </c>
      <c r="CA180" s="21" t="s">
        <v>165</v>
      </c>
      <c r="CB180" s="21" t="s">
        <v>165</v>
      </c>
      <c r="CC180" s="21" t="s">
        <v>165</v>
      </c>
      <c r="CD180" s="21" t="s">
        <v>165</v>
      </c>
      <c r="CE180" s="21" t="s">
        <v>165</v>
      </c>
      <c r="CG180" s="15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</row>
    <row r="181" spans="1:106" outlineLevel="2" x14ac:dyDescent="0.2">
      <c r="A181" s="14">
        <v>1</v>
      </c>
      <c r="C181" s="9" t="str">
        <f>"        Capital Lease due Beyond"</f>
        <v xml:space="preserve">        Capital Lease due Beyond</v>
      </c>
      <c r="D181" s="17">
        <f t="shared" si="40"/>
        <v>46356.75</v>
      </c>
      <c r="E181" s="17">
        <f t="shared" si="41"/>
        <v>39328.1</v>
      </c>
      <c r="F181" s="17">
        <f t="shared" si="42"/>
        <v>37</v>
      </c>
      <c r="G181" s="17">
        <f t="shared" si="43"/>
        <v>58394.75</v>
      </c>
      <c r="H181" s="17">
        <f t="shared" si="44"/>
        <v>42256</v>
      </c>
      <c r="I181" s="17">
        <f t="shared" si="45"/>
        <v>49596</v>
      </c>
      <c r="J181" s="17">
        <f t="shared" si="46"/>
        <v>22752.648038607505</v>
      </c>
      <c r="K181" s="18">
        <f t="shared" si="47"/>
        <v>0.57853412797993053</v>
      </c>
      <c r="L181" s="21"/>
      <c r="M181" s="21">
        <v>42256</v>
      </c>
      <c r="N181" s="136">
        <v>46356.75</v>
      </c>
      <c r="O181" s="136">
        <v>49596</v>
      </c>
      <c r="P181" s="136">
        <v>58394.75</v>
      </c>
      <c r="Q181" s="136"/>
      <c r="R181" s="21" t="s">
        <v>165</v>
      </c>
      <c r="S181" s="21" t="s">
        <v>165</v>
      </c>
      <c r="T181" s="21">
        <v>37</v>
      </c>
      <c r="U181" s="21" t="s">
        <v>165</v>
      </c>
      <c r="V181" s="21" t="s">
        <v>165</v>
      </c>
      <c r="W181" s="21" t="s">
        <v>165</v>
      </c>
      <c r="X181" s="21" t="s">
        <v>165</v>
      </c>
      <c r="Y181" s="21" t="s">
        <v>165</v>
      </c>
      <c r="Z181" s="21" t="s">
        <v>165</v>
      </c>
      <c r="AA181" s="21" t="s">
        <v>165</v>
      </c>
      <c r="AB181" s="21" t="s">
        <v>165</v>
      </c>
      <c r="AC181" s="21" t="s">
        <v>165</v>
      </c>
      <c r="AD181" s="21" t="s">
        <v>165</v>
      </c>
      <c r="AE181" s="21" t="s">
        <v>165</v>
      </c>
      <c r="AF181" s="21" t="s">
        <v>165</v>
      </c>
      <c r="AG181" s="21" t="s">
        <v>165</v>
      </c>
      <c r="AH181" s="21" t="s">
        <v>165</v>
      </c>
      <c r="AI181" s="21" t="s">
        <v>165</v>
      </c>
      <c r="AJ181" s="21" t="s">
        <v>165</v>
      </c>
      <c r="AK181" s="21" t="s">
        <v>165</v>
      </c>
      <c r="AL181" s="21" t="s">
        <v>165</v>
      </c>
      <c r="AM181" s="21" t="s">
        <v>165</v>
      </c>
      <c r="AN181" s="21" t="s">
        <v>165</v>
      </c>
      <c r="AO181" s="21" t="s">
        <v>165</v>
      </c>
      <c r="AP181" s="21" t="s">
        <v>165</v>
      </c>
      <c r="AQ181" s="21" t="s">
        <v>165</v>
      </c>
      <c r="AR181" s="21" t="s">
        <v>165</v>
      </c>
      <c r="AS181" s="21" t="s">
        <v>165</v>
      </c>
      <c r="AT181" s="21" t="s">
        <v>165</v>
      </c>
      <c r="AU181" s="21" t="s">
        <v>165</v>
      </c>
      <c r="AV181" s="21" t="s">
        <v>165</v>
      </c>
      <c r="AW181" s="21" t="s">
        <v>165</v>
      </c>
      <c r="AX181" s="21" t="s">
        <v>165</v>
      </c>
      <c r="AY181" s="21" t="s">
        <v>165</v>
      </c>
      <c r="AZ181" s="21" t="s">
        <v>165</v>
      </c>
      <c r="BA181" s="21" t="s">
        <v>165</v>
      </c>
      <c r="BB181" s="21" t="s">
        <v>165</v>
      </c>
      <c r="BC181" s="21" t="s">
        <v>165</v>
      </c>
      <c r="BD181" s="21" t="s">
        <v>165</v>
      </c>
      <c r="BE181" s="21" t="s">
        <v>165</v>
      </c>
      <c r="BF181" s="21" t="s">
        <v>165</v>
      </c>
      <c r="BG181" s="21" t="s">
        <v>165</v>
      </c>
      <c r="BH181" s="21" t="s">
        <v>165</v>
      </c>
      <c r="BI181" s="21" t="s">
        <v>165</v>
      </c>
      <c r="BJ181" s="21" t="s">
        <v>165</v>
      </c>
      <c r="BK181" s="21" t="s">
        <v>165</v>
      </c>
      <c r="BL181" s="21" t="s">
        <v>165</v>
      </c>
      <c r="BM181" s="21" t="s">
        <v>165</v>
      </c>
      <c r="BN181" s="21" t="s">
        <v>165</v>
      </c>
      <c r="BO181" s="21" t="s">
        <v>165</v>
      </c>
      <c r="BP181" s="21" t="s">
        <v>165</v>
      </c>
      <c r="BQ181" s="21" t="s">
        <v>165</v>
      </c>
      <c r="BR181" s="21" t="s">
        <v>165</v>
      </c>
      <c r="BS181" s="21" t="s">
        <v>165</v>
      </c>
      <c r="BT181" s="21" t="s">
        <v>165</v>
      </c>
      <c r="BU181" s="21" t="s">
        <v>165</v>
      </c>
      <c r="BV181" s="21" t="s">
        <v>165</v>
      </c>
      <c r="BW181" s="21" t="s">
        <v>165</v>
      </c>
      <c r="BX181" s="21" t="s">
        <v>165</v>
      </c>
      <c r="BY181" s="21" t="s">
        <v>165</v>
      </c>
      <c r="BZ181" s="21" t="s">
        <v>165</v>
      </c>
      <c r="CA181" s="21" t="s">
        <v>165</v>
      </c>
      <c r="CB181" s="21" t="s">
        <v>165</v>
      </c>
      <c r="CC181" s="21" t="s">
        <v>165</v>
      </c>
      <c r="CD181" s="21" t="s">
        <v>165</v>
      </c>
      <c r="CE181" s="21" t="s">
        <v>165</v>
      </c>
      <c r="CG181" s="15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</row>
    <row r="182" spans="1:106" outlineLevel="2" x14ac:dyDescent="0.2">
      <c r="A182" s="14">
        <v>1</v>
      </c>
      <c r="C182" s="9" t="str">
        <f>"        Capital Lease - Interests Charges and Other Adjustments"</f>
        <v xml:space="preserve">        Capital Lease - Interests Charges and Other Adjustments</v>
      </c>
      <c r="D182" s="17">
        <f t="shared" si="40"/>
        <v>-440</v>
      </c>
      <c r="E182" s="17">
        <f t="shared" si="41"/>
        <v>-9442.1749999999993</v>
      </c>
      <c r="F182" s="17">
        <f t="shared" si="42"/>
        <v>-28677.25</v>
      </c>
      <c r="G182" s="17">
        <f t="shared" si="43"/>
        <v>-265</v>
      </c>
      <c r="H182" s="17">
        <f t="shared" si="44"/>
        <v>-20666.8125</v>
      </c>
      <c r="I182" s="17">
        <f t="shared" si="45"/>
        <v>-348.75</v>
      </c>
      <c r="J182" s="17">
        <f t="shared" si="46"/>
        <v>11954.414198116898</v>
      </c>
      <c r="K182" s="18">
        <f t="shared" si="47"/>
        <v>-1.2660657314778532</v>
      </c>
      <c r="L182" s="21"/>
      <c r="M182" s="21">
        <v>-19374</v>
      </c>
      <c r="N182" s="133">
        <v>-21097.75</v>
      </c>
      <c r="O182" s="133">
        <v>-23109.75</v>
      </c>
      <c r="P182" s="133">
        <v>-28677.25</v>
      </c>
      <c r="Q182" s="133"/>
      <c r="R182" s="21" t="s">
        <v>165</v>
      </c>
      <c r="S182" s="21" t="s">
        <v>165</v>
      </c>
      <c r="T182" s="21" t="s">
        <v>165</v>
      </c>
      <c r="U182" s="21" t="s">
        <v>165</v>
      </c>
      <c r="V182" s="21" t="s">
        <v>165</v>
      </c>
      <c r="W182" s="21" t="s">
        <v>165</v>
      </c>
      <c r="X182" s="21" t="s">
        <v>165</v>
      </c>
      <c r="Y182" s="21" t="s">
        <v>165</v>
      </c>
      <c r="Z182" s="21" t="s">
        <v>165</v>
      </c>
      <c r="AA182" s="21" t="s">
        <v>165</v>
      </c>
      <c r="AB182" s="21" t="s">
        <v>165</v>
      </c>
      <c r="AC182" s="21" t="s">
        <v>165</v>
      </c>
      <c r="AD182" s="21" t="s">
        <v>165</v>
      </c>
      <c r="AE182" s="21" t="s">
        <v>165</v>
      </c>
      <c r="AF182" s="21">
        <v>-265</v>
      </c>
      <c r="AG182" s="21">
        <v>-301</v>
      </c>
      <c r="AH182" s="21">
        <v>-339</v>
      </c>
      <c r="AI182" s="21">
        <v>-378</v>
      </c>
      <c r="AJ182" s="21">
        <v>-419</v>
      </c>
      <c r="AK182" s="21">
        <v>-461</v>
      </c>
      <c r="AL182" s="21" t="s">
        <v>165</v>
      </c>
      <c r="AM182" s="21" t="s">
        <v>165</v>
      </c>
      <c r="AN182" s="21" t="s">
        <v>165</v>
      </c>
      <c r="AO182" s="21" t="s">
        <v>165</v>
      </c>
      <c r="AP182" s="21" t="s">
        <v>165</v>
      </c>
      <c r="AQ182" s="21" t="s">
        <v>165</v>
      </c>
      <c r="AR182" s="21" t="s">
        <v>165</v>
      </c>
      <c r="AS182" s="21" t="s">
        <v>165</v>
      </c>
      <c r="AT182" s="21" t="s">
        <v>165</v>
      </c>
      <c r="AU182" s="21" t="s">
        <v>165</v>
      </c>
      <c r="AV182" s="21" t="s">
        <v>165</v>
      </c>
      <c r="AW182" s="21" t="s">
        <v>165</v>
      </c>
      <c r="AX182" s="21" t="s">
        <v>165</v>
      </c>
      <c r="AY182" s="21" t="s">
        <v>165</v>
      </c>
      <c r="AZ182" s="21" t="s">
        <v>165</v>
      </c>
      <c r="BA182" s="21" t="s">
        <v>165</v>
      </c>
      <c r="BB182" s="21" t="s">
        <v>165</v>
      </c>
      <c r="BC182" s="21" t="s">
        <v>165</v>
      </c>
      <c r="BD182" s="21" t="s">
        <v>165</v>
      </c>
      <c r="BE182" s="21" t="s">
        <v>165</v>
      </c>
      <c r="BF182" s="21" t="s">
        <v>165</v>
      </c>
      <c r="BG182" s="21" t="s">
        <v>165</v>
      </c>
      <c r="BH182" s="21" t="s">
        <v>165</v>
      </c>
      <c r="BI182" s="21" t="s">
        <v>165</v>
      </c>
      <c r="BJ182" s="21" t="s">
        <v>165</v>
      </c>
      <c r="BK182" s="21" t="s">
        <v>165</v>
      </c>
      <c r="BL182" s="21" t="s">
        <v>165</v>
      </c>
      <c r="BM182" s="21" t="s">
        <v>165</v>
      </c>
      <c r="BN182" s="21" t="s">
        <v>165</v>
      </c>
      <c r="BO182" s="21" t="s">
        <v>165</v>
      </c>
      <c r="BP182" s="21" t="s">
        <v>165</v>
      </c>
      <c r="BQ182" s="21" t="s">
        <v>165</v>
      </c>
      <c r="BR182" s="21" t="s">
        <v>165</v>
      </c>
      <c r="BS182" s="21" t="s">
        <v>165</v>
      </c>
      <c r="BT182" s="21" t="s">
        <v>165</v>
      </c>
      <c r="BU182" s="21" t="s">
        <v>165</v>
      </c>
      <c r="BV182" s="21" t="s">
        <v>165</v>
      </c>
      <c r="BW182" s="21" t="s">
        <v>165</v>
      </c>
      <c r="BX182" s="21" t="s">
        <v>165</v>
      </c>
      <c r="BY182" s="21" t="s">
        <v>165</v>
      </c>
      <c r="BZ182" s="21" t="s">
        <v>165</v>
      </c>
      <c r="CA182" s="21" t="s">
        <v>165</v>
      </c>
      <c r="CB182" s="21" t="s">
        <v>165</v>
      </c>
      <c r="CC182" s="21" t="s">
        <v>165</v>
      </c>
      <c r="CD182" s="21" t="s">
        <v>165</v>
      </c>
      <c r="CE182" s="21" t="s">
        <v>165</v>
      </c>
      <c r="CG182" s="15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</row>
    <row r="183" spans="1:106" outlineLevel="2" x14ac:dyDescent="0.2">
      <c r="A183" s="14">
        <v>1</v>
      </c>
      <c r="C183" s="10" t="str">
        <f>"        Total Capital Lease Obligation Maturity Schedule"</f>
        <v xml:space="preserve">        Total Capital Lease Obligation Maturity Schedule</v>
      </c>
      <c r="D183" s="29">
        <f t="shared" si="40"/>
        <v>2699</v>
      </c>
      <c r="E183" s="29">
        <f t="shared" si="41"/>
        <v>13198.089285714286</v>
      </c>
      <c r="F183" s="29">
        <f t="shared" si="42"/>
        <v>622</v>
      </c>
      <c r="G183" s="29">
        <f t="shared" si="43"/>
        <v>43819.5</v>
      </c>
      <c r="H183" s="29">
        <f t="shared" si="44"/>
        <v>2171.75</v>
      </c>
      <c r="I183" s="29">
        <f t="shared" si="45"/>
        <v>29831.75</v>
      </c>
      <c r="J183" s="29">
        <f t="shared" si="46"/>
        <v>18143.497903361949</v>
      </c>
      <c r="K183" s="30">
        <f t="shared" si="47"/>
        <v>1.3747064071615738</v>
      </c>
      <c r="L183" s="31"/>
      <c r="M183" s="31">
        <v>38786</v>
      </c>
      <c r="N183" s="137">
        <v>39740</v>
      </c>
      <c r="O183" s="137">
        <v>40765.75</v>
      </c>
      <c r="P183" s="137">
        <v>43819.5</v>
      </c>
      <c r="Q183" s="137">
        <v>622</v>
      </c>
      <c r="R183" s="31" t="s">
        <v>165</v>
      </c>
      <c r="S183" s="31" t="s">
        <v>165</v>
      </c>
      <c r="T183" s="31">
        <v>1275</v>
      </c>
      <c r="U183" s="31" t="s">
        <v>165</v>
      </c>
      <c r="V183" s="31" t="s">
        <v>165</v>
      </c>
      <c r="W183" s="31" t="s">
        <v>165</v>
      </c>
      <c r="X183" s="31">
        <v>1494</v>
      </c>
      <c r="Y183" s="31" t="s">
        <v>165</v>
      </c>
      <c r="Z183" s="31" t="s">
        <v>165</v>
      </c>
      <c r="AA183" s="31" t="s">
        <v>165</v>
      </c>
      <c r="AB183" s="31">
        <v>2089</v>
      </c>
      <c r="AC183" s="31" t="s">
        <v>165</v>
      </c>
      <c r="AD183" s="31" t="s">
        <v>165</v>
      </c>
      <c r="AE183" s="31" t="s">
        <v>165</v>
      </c>
      <c r="AF183" s="31">
        <v>2420</v>
      </c>
      <c r="AG183" s="31">
        <v>2533</v>
      </c>
      <c r="AH183" s="31">
        <v>2644</v>
      </c>
      <c r="AI183" s="31">
        <v>2754</v>
      </c>
      <c r="AJ183" s="31">
        <v>2862</v>
      </c>
      <c r="AK183" s="31">
        <v>2969</v>
      </c>
      <c r="AL183" s="31" t="s">
        <v>165</v>
      </c>
      <c r="AM183" s="31" t="s">
        <v>165</v>
      </c>
      <c r="AN183" s="31" t="s">
        <v>165</v>
      </c>
      <c r="AO183" s="31" t="s">
        <v>165</v>
      </c>
      <c r="AP183" s="31" t="s">
        <v>165</v>
      </c>
      <c r="AQ183" s="31" t="s">
        <v>165</v>
      </c>
      <c r="AR183" s="31" t="s">
        <v>165</v>
      </c>
      <c r="AS183" s="31" t="s">
        <v>165</v>
      </c>
      <c r="AT183" s="31" t="s">
        <v>165</v>
      </c>
      <c r="AU183" s="31" t="s">
        <v>165</v>
      </c>
      <c r="AV183" s="31" t="s">
        <v>165</v>
      </c>
      <c r="AW183" s="31" t="s">
        <v>165</v>
      </c>
      <c r="AX183" s="31" t="s">
        <v>165</v>
      </c>
      <c r="AY183" s="31" t="s">
        <v>165</v>
      </c>
      <c r="AZ183" s="31" t="s">
        <v>165</v>
      </c>
      <c r="BA183" s="31" t="s">
        <v>165</v>
      </c>
      <c r="BB183" s="31" t="s">
        <v>165</v>
      </c>
      <c r="BC183" s="31" t="s">
        <v>165</v>
      </c>
      <c r="BD183" s="31" t="s">
        <v>165</v>
      </c>
      <c r="BE183" s="31" t="s">
        <v>165</v>
      </c>
      <c r="BF183" s="31" t="s">
        <v>165</v>
      </c>
      <c r="BG183" s="31" t="s">
        <v>165</v>
      </c>
      <c r="BH183" s="31" t="s">
        <v>165</v>
      </c>
      <c r="BI183" s="31" t="s">
        <v>165</v>
      </c>
      <c r="BJ183" s="31" t="s">
        <v>165</v>
      </c>
      <c r="BK183" s="31" t="s">
        <v>165</v>
      </c>
      <c r="BL183" s="31" t="s">
        <v>165</v>
      </c>
      <c r="BM183" s="31" t="s">
        <v>165</v>
      </c>
      <c r="BN183" s="31" t="s">
        <v>165</v>
      </c>
      <c r="BO183" s="31" t="s">
        <v>165</v>
      </c>
      <c r="BP183" s="31" t="s">
        <v>165</v>
      </c>
      <c r="BQ183" s="31" t="s">
        <v>165</v>
      </c>
      <c r="BR183" s="31" t="s">
        <v>165</v>
      </c>
      <c r="BS183" s="31" t="s">
        <v>165</v>
      </c>
      <c r="BT183" s="31" t="s">
        <v>165</v>
      </c>
      <c r="BU183" s="31" t="s">
        <v>165</v>
      </c>
      <c r="BV183" s="31" t="s">
        <v>165</v>
      </c>
      <c r="BW183" s="31" t="s">
        <v>165</v>
      </c>
      <c r="BX183" s="31" t="s">
        <v>165</v>
      </c>
      <c r="BY183" s="31" t="s">
        <v>165</v>
      </c>
      <c r="BZ183" s="31" t="s">
        <v>165</v>
      </c>
      <c r="CA183" s="31" t="s">
        <v>165</v>
      </c>
      <c r="CB183" s="31" t="s">
        <v>165</v>
      </c>
      <c r="CC183" s="31" t="s">
        <v>165</v>
      </c>
      <c r="CD183" s="31" t="s">
        <v>165</v>
      </c>
      <c r="CE183" s="31" t="s">
        <v>165</v>
      </c>
      <c r="CG183" s="15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</row>
    <row r="184" spans="1:106" outlineLevel="1" x14ac:dyDescent="0.2">
      <c r="A184" s="14">
        <v>1</v>
      </c>
      <c r="C184" s="9" t="str">
        <f>IF(SUBTOTAL(109,A184)=A184,"    Operating Lease Obligation Maturity Schedule","    Operating Lease Obligation Maturity Schedule Total")</f>
        <v xml:space="preserve">    Operating Lease Obligation Maturity Schedule</v>
      </c>
      <c r="D184" s="17" t="str">
        <f t="shared" si="40"/>
        <v/>
      </c>
      <c r="E184" s="17" t="str">
        <f t="shared" si="41"/>
        <v/>
      </c>
      <c r="F184" s="17" t="str">
        <f t="shared" si="42"/>
        <v/>
      </c>
      <c r="G184" s="17" t="str">
        <f t="shared" si="43"/>
        <v/>
      </c>
      <c r="H184" s="17" t="str">
        <f t="shared" si="44"/>
        <v/>
      </c>
      <c r="I184" s="17" t="str">
        <f t="shared" si="45"/>
        <v/>
      </c>
      <c r="J184" s="17" t="str">
        <f t="shared" si="46"/>
        <v/>
      </c>
      <c r="K184" s="18" t="str">
        <f t="shared" si="47"/>
        <v/>
      </c>
      <c r="L184" s="21"/>
      <c r="M184" s="21" t="str">
        <f>IF(SUBTOTAL(109,A184)=A184,"",3799)</f>
        <v/>
      </c>
      <c r="N184" s="21"/>
      <c r="O184" s="21"/>
      <c r="P184" s="21"/>
      <c r="Q184" s="21"/>
      <c r="R184" s="21" t="str">
        <f>IF(SUBTOTAL(109,A184)=A184,"","")</f>
        <v/>
      </c>
      <c r="S184" s="21" t="str">
        <f>IF(SUBTOTAL(109,A184)=A184,"","")</f>
        <v/>
      </c>
      <c r="T184" s="21" t="str">
        <f>IF(SUBTOTAL(109,A184)=A184,"",15268)</f>
        <v/>
      </c>
      <c r="U184" s="21" t="str">
        <f>IF(SUBTOTAL(109,A184)=A184,"","")</f>
        <v/>
      </c>
      <c r="V184" s="21" t="str">
        <f>IF(SUBTOTAL(109,A184)=A184,"","")</f>
        <v/>
      </c>
      <c r="W184" s="21" t="str">
        <f>IF(SUBTOTAL(109,A184)=A184,"","")</f>
        <v/>
      </c>
      <c r="X184" s="21" t="str">
        <f>IF(SUBTOTAL(109,A184)=A184,"",14443)</f>
        <v/>
      </c>
      <c r="Y184" s="21" t="str">
        <f>IF(SUBTOTAL(109,A184)=A184,"","")</f>
        <v/>
      </c>
      <c r="Z184" s="21" t="str">
        <f>IF(SUBTOTAL(109,A184)=A184,"","")</f>
        <v/>
      </c>
      <c r="AA184" s="21" t="str">
        <f>IF(SUBTOTAL(109,A184)=A184,"","")</f>
        <v/>
      </c>
      <c r="AB184" s="21" t="str">
        <f>IF(SUBTOTAL(109,A184)=A184,"",15794)</f>
        <v/>
      </c>
      <c r="AC184" s="21" t="str">
        <f>IF(SUBTOTAL(109,A184)=A184,"","")</f>
        <v/>
      </c>
      <c r="AD184" s="21" t="str">
        <f>IF(SUBTOTAL(109,A184)=A184,"","")</f>
        <v/>
      </c>
      <c r="AE184" s="21" t="str">
        <f>IF(SUBTOTAL(109,A184)=A184,"","")</f>
        <v/>
      </c>
      <c r="AF184" s="21" t="str">
        <f>IF(SUBTOTAL(109,A184)=A184,"",1342)</f>
        <v/>
      </c>
      <c r="AG184" s="21" t="str">
        <f>IF(SUBTOTAL(109,A184)=A184,"","")</f>
        <v/>
      </c>
      <c r="AH184" s="21" t="str">
        <f>IF(SUBTOTAL(109,A184)=A184,"","")</f>
        <v/>
      </c>
      <c r="AI184" s="21" t="str">
        <f>IF(SUBTOTAL(109,A184)=A184,"","")</f>
        <v/>
      </c>
      <c r="AJ184" s="21" t="str">
        <f>IF(SUBTOTAL(109,A184)=A184,"",2194)</f>
        <v/>
      </c>
      <c r="AK184" s="21" t="str">
        <f>IF(SUBTOTAL(109,A184)=A184,"","")</f>
        <v/>
      </c>
      <c r="AL184" s="21" t="str">
        <f>IF(SUBTOTAL(109,A184)=A184,"","")</f>
        <v/>
      </c>
      <c r="AM184" s="21" t="str">
        <f>IF(SUBTOTAL(109,A184)=A184,"","")</f>
        <v/>
      </c>
      <c r="AN184" s="21" t="str">
        <f>IF(SUBTOTAL(109,A184)=A184,"","")</f>
        <v/>
      </c>
      <c r="AO184" s="21" t="str">
        <f>IF(SUBTOTAL(109,A184)=A184,"","")</f>
        <v/>
      </c>
      <c r="AP184" s="21" t="str">
        <f>IF(SUBTOTAL(109,A184)=A184,"","")</f>
        <v/>
      </c>
      <c r="AQ184" s="21" t="str">
        <f>IF(SUBTOTAL(109,A184)=A184,"","")</f>
        <v/>
      </c>
      <c r="AR184" s="21" t="str">
        <f>IF(SUBTOTAL(109,A184)=A184,"","")</f>
        <v/>
      </c>
      <c r="AS184" s="21" t="str">
        <f>IF(SUBTOTAL(109,A184)=A184,"","")</f>
        <v/>
      </c>
      <c r="AT184" s="21" t="str">
        <f>IF(SUBTOTAL(109,A184)=A184,"","")</f>
        <v/>
      </c>
      <c r="AU184" s="21" t="str">
        <f>IF(SUBTOTAL(109,A184)=A184,"","")</f>
        <v/>
      </c>
      <c r="AV184" s="21" t="str">
        <f>IF(SUBTOTAL(109,A184)=A184,"","")</f>
        <v/>
      </c>
      <c r="AW184" s="21" t="str">
        <f>IF(SUBTOTAL(109,A184)=A184,"","")</f>
        <v/>
      </c>
      <c r="AX184" s="21" t="str">
        <f>IF(SUBTOTAL(109,A184)=A184,"","")</f>
        <v/>
      </c>
      <c r="AY184" s="21" t="str">
        <f>IF(SUBTOTAL(109,A184)=A184,"","")</f>
        <v/>
      </c>
      <c r="AZ184" s="21" t="str">
        <f>IF(SUBTOTAL(109,A184)=A184,"","")</f>
        <v/>
      </c>
      <c r="BA184" s="21" t="str">
        <f>IF(SUBTOTAL(109,A184)=A184,"","")</f>
        <v/>
      </c>
      <c r="BB184" s="21" t="str">
        <f>IF(SUBTOTAL(109,A184)=A184,"","")</f>
        <v/>
      </c>
      <c r="BC184" s="21" t="str">
        <f>IF(SUBTOTAL(109,A184)=A184,"","")</f>
        <v/>
      </c>
      <c r="BD184" s="21" t="str">
        <f>IF(SUBTOTAL(109,A184)=A184,"","")</f>
        <v/>
      </c>
      <c r="BE184" s="21" t="str">
        <f>IF(SUBTOTAL(109,A184)=A184,"","")</f>
        <v/>
      </c>
      <c r="BF184" s="21" t="str">
        <f>IF(SUBTOTAL(109,A184)=A184,"","")</f>
        <v/>
      </c>
      <c r="BG184" s="21" t="str">
        <f>IF(SUBTOTAL(109,A184)=A184,"","")</f>
        <v/>
      </c>
      <c r="BH184" s="21" t="str">
        <f>IF(SUBTOTAL(109,A184)=A184,"","")</f>
        <v/>
      </c>
      <c r="BI184" s="21" t="str">
        <f>IF(SUBTOTAL(109,A184)=A184,"","")</f>
        <v/>
      </c>
      <c r="BJ184" s="21" t="str">
        <f>IF(SUBTOTAL(109,A184)=A184,"","")</f>
        <v/>
      </c>
      <c r="BK184" s="21" t="str">
        <f>IF(SUBTOTAL(109,A184)=A184,"","")</f>
        <v/>
      </c>
      <c r="BL184" s="21" t="str">
        <f>IF(SUBTOTAL(109,A184)=A184,"","")</f>
        <v/>
      </c>
      <c r="BM184" s="21" t="str">
        <f>IF(SUBTOTAL(109,A184)=A184,"","")</f>
        <v/>
      </c>
      <c r="BN184" s="21" t="str">
        <f>IF(SUBTOTAL(109,A184)=A184,"","")</f>
        <v/>
      </c>
      <c r="BO184" s="21" t="str">
        <f>IF(SUBTOTAL(109,A184)=A184,"","")</f>
        <v/>
      </c>
      <c r="BP184" s="21" t="str">
        <f>IF(SUBTOTAL(109,A184)=A184,"","")</f>
        <v/>
      </c>
      <c r="BQ184" s="21" t="str">
        <f>IF(SUBTOTAL(109,A184)=A184,"","")</f>
        <v/>
      </c>
      <c r="BR184" s="21" t="str">
        <f>IF(SUBTOTAL(109,A184)=A184,"","")</f>
        <v/>
      </c>
      <c r="BS184" s="21" t="str">
        <f>IF(SUBTOTAL(109,A184)=A184,"","")</f>
        <v/>
      </c>
      <c r="BT184" s="21" t="str">
        <f>IF(SUBTOTAL(109,A184)=A184,"","")</f>
        <v/>
      </c>
      <c r="BU184" s="21" t="str">
        <f>IF(SUBTOTAL(109,A184)=A184,"","")</f>
        <v/>
      </c>
      <c r="BV184" s="21" t="str">
        <f>IF(SUBTOTAL(109,A184)=A184,"","")</f>
        <v/>
      </c>
      <c r="BW184" s="21" t="str">
        <f>IF(SUBTOTAL(109,A184)=A184,"","")</f>
        <v/>
      </c>
      <c r="BX184" s="21" t="str">
        <f>IF(SUBTOTAL(109,A184)=A184,"","")</f>
        <v/>
      </c>
      <c r="BY184" s="21" t="str">
        <f>IF(SUBTOTAL(109,A184)=A184,"","")</f>
        <v/>
      </c>
      <c r="BZ184" s="21" t="str">
        <f>IF(SUBTOTAL(109,A184)=A184,"","")</f>
        <v/>
      </c>
      <c r="CA184" s="21" t="str">
        <f>IF(SUBTOTAL(109,A184)=A184,"","")</f>
        <v/>
      </c>
      <c r="CB184" s="21" t="str">
        <f>IF(SUBTOTAL(109,A184)=A184,"","")</f>
        <v/>
      </c>
      <c r="CC184" s="21" t="str">
        <f>IF(SUBTOTAL(109,A184)=A184,"","")</f>
        <v/>
      </c>
      <c r="CD184" s="21" t="str">
        <f>IF(SUBTOTAL(109,A184)=A184,"","")</f>
        <v/>
      </c>
      <c r="CE184" s="21" t="str">
        <f>IF(SUBTOTAL(109,A184)=A184,"","")</f>
        <v/>
      </c>
      <c r="CG184" s="15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</row>
    <row r="185" spans="1:106" outlineLevel="2" x14ac:dyDescent="0.2">
      <c r="A185" s="14">
        <v>1</v>
      </c>
      <c r="C185" s="9" t="str">
        <f>"        Operating Lease due in year 1"</f>
        <v xml:space="preserve">        Operating Lease due in year 1</v>
      </c>
      <c r="D185" s="17">
        <f t="shared" si="40"/>
        <v>1952.375</v>
      </c>
      <c r="E185" s="17">
        <f t="shared" si="41"/>
        <v>2186.0500000000002</v>
      </c>
      <c r="F185" s="17">
        <f t="shared" si="42"/>
        <v>980.75</v>
      </c>
      <c r="G185" s="17">
        <f t="shared" si="43"/>
        <v>3938</v>
      </c>
      <c r="H185" s="17">
        <f t="shared" si="44"/>
        <v>1499.5</v>
      </c>
      <c r="I185" s="17">
        <f t="shared" si="45"/>
        <v>2914.75</v>
      </c>
      <c r="J185" s="17">
        <f t="shared" si="46"/>
        <v>1016.4786219536981</v>
      </c>
      <c r="K185" s="18">
        <f t="shared" si="47"/>
        <v>0.46498415953601152</v>
      </c>
      <c r="L185" s="21"/>
      <c r="M185" s="21">
        <v>1675</v>
      </c>
      <c r="N185" s="136">
        <v>980.75</v>
      </c>
      <c r="O185" s="136">
        <v>1782.75</v>
      </c>
      <c r="P185" s="136">
        <v>3071</v>
      </c>
      <c r="Q185" s="136">
        <v>3938</v>
      </c>
      <c r="R185" s="21" t="s">
        <v>165</v>
      </c>
      <c r="S185" s="21" t="s">
        <v>165</v>
      </c>
      <c r="T185" s="21">
        <v>3415</v>
      </c>
      <c r="U185" s="21" t="s">
        <v>165</v>
      </c>
      <c r="V185" s="21" t="s">
        <v>165</v>
      </c>
      <c r="W185" s="21" t="s">
        <v>165</v>
      </c>
      <c r="X185" s="21">
        <v>2122</v>
      </c>
      <c r="Y185" s="21" t="s">
        <v>165</v>
      </c>
      <c r="Z185" s="21" t="s">
        <v>165</v>
      </c>
      <c r="AA185" s="21" t="s">
        <v>165</v>
      </c>
      <c r="AB185" s="21">
        <v>2446</v>
      </c>
      <c r="AC185" s="21" t="s">
        <v>165</v>
      </c>
      <c r="AD185" s="21" t="s">
        <v>165</v>
      </c>
      <c r="AE185" s="21" t="s">
        <v>165</v>
      </c>
      <c r="AF185" s="21">
        <v>989</v>
      </c>
      <c r="AG185" s="21" t="s">
        <v>165</v>
      </c>
      <c r="AH185" s="21" t="s">
        <v>165</v>
      </c>
      <c r="AI185" s="21" t="s">
        <v>165</v>
      </c>
      <c r="AJ185" s="21">
        <v>1441</v>
      </c>
      <c r="AK185" s="21" t="s">
        <v>165</v>
      </c>
      <c r="AL185" s="21" t="s">
        <v>165</v>
      </c>
      <c r="AM185" s="21" t="s">
        <v>165</v>
      </c>
      <c r="AN185" s="21" t="s">
        <v>165</v>
      </c>
      <c r="AO185" s="21" t="s">
        <v>165</v>
      </c>
      <c r="AP185" s="21" t="s">
        <v>165</v>
      </c>
      <c r="AQ185" s="21" t="s">
        <v>165</v>
      </c>
      <c r="AR185" s="21" t="s">
        <v>165</v>
      </c>
      <c r="AS185" s="21" t="s">
        <v>165</v>
      </c>
      <c r="AT185" s="21" t="s">
        <v>165</v>
      </c>
      <c r="AU185" s="21" t="s">
        <v>165</v>
      </c>
      <c r="AV185" s="21" t="s">
        <v>165</v>
      </c>
      <c r="AW185" s="21" t="s">
        <v>165</v>
      </c>
      <c r="AX185" s="21" t="s">
        <v>165</v>
      </c>
      <c r="AY185" s="21" t="s">
        <v>165</v>
      </c>
      <c r="AZ185" s="21" t="s">
        <v>165</v>
      </c>
      <c r="BA185" s="21" t="s">
        <v>165</v>
      </c>
      <c r="BB185" s="21" t="s">
        <v>165</v>
      </c>
      <c r="BC185" s="21" t="s">
        <v>165</v>
      </c>
      <c r="BD185" s="21" t="s">
        <v>165</v>
      </c>
      <c r="BE185" s="21" t="s">
        <v>165</v>
      </c>
      <c r="BF185" s="21" t="s">
        <v>165</v>
      </c>
      <c r="BG185" s="21" t="s">
        <v>165</v>
      </c>
      <c r="BH185" s="21" t="s">
        <v>165</v>
      </c>
      <c r="BI185" s="21" t="s">
        <v>165</v>
      </c>
      <c r="BJ185" s="21" t="s">
        <v>165</v>
      </c>
      <c r="BK185" s="21" t="s">
        <v>165</v>
      </c>
      <c r="BL185" s="21" t="s">
        <v>165</v>
      </c>
      <c r="BM185" s="21" t="s">
        <v>165</v>
      </c>
      <c r="BN185" s="21" t="s">
        <v>165</v>
      </c>
      <c r="BO185" s="21" t="s">
        <v>165</v>
      </c>
      <c r="BP185" s="21" t="s">
        <v>165</v>
      </c>
      <c r="BQ185" s="21" t="s">
        <v>165</v>
      </c>
      <c r="BR185" s="21" t="s">
        <v>165</v>
      </c>
      <c r="BS185" s="21" t="s">
        <v>165</v>
      </c>
      <c r="BT185" s="21" t="s">
        <v>165</v>
      </c>
      <c r="BU185" s="21" t="s">
        <v>165</v>
      </c>
      <c r="BV185" s="21" t="s">
        <v>165</v>
      </c>
      <c r="BW185" s="21" t="s">
        <v>165</v>
      </c>
      <c r="BX185" s="21" t="s">
        <v>165</v>
      </c>
      <c r="BY185" s="21" t="s">
        <v>165</v>
      </c>
      <c r="BZ185" s="21" t="s">
        <v>165</v>
      </c>
      <c r="CA185" s="21" t="s">
        <v>165</v>
      </c>
      <c r="CB185" s="21" t="s">
        <v>165</v>
      </c>
      <c r="CC185" s="21" t="s">
        <v>165</v>
      </c>
      <c r="CD185" s="21" t="s">
        <v>165</v>
      </c>
      <c r="CE185" s="21" t="s">
        <v>165</v>
      </c>
      <c r="CG185" s="15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</row>
    <row r="186" spans="1:106" outlineLevel="2" x14ac:dyDescent="0.2">
      <c r="A186" s="14">
        <v>1</v>
      </c>
      <c r="C186" s="9" t="str">
        <f>"        Operating Lease due in year 2"</f>
        <v xml:space="preserve">        Operating Lease due in year 2</v>
      </c>
      <c r="D186" s="17">
        <f t="shared" si="40"/>
        <v>2022.5</v>
      </c>
      <c r="E186" s="17">
        <f t="shared" si="41"/>
        <v>1931</v>
      </c>
      <c r="F186" s="17">
        <f t="shared" si="42"/>
        <v>167</v>
      </c>
      <c r="G186" s="17">
        <f t="shared" si="43"/>
        <v>3014</v>
      </c>
      <c r="H186" s="17">
        <f t="shared" si="44"/>
        <v>1578.375</v>
      </c>
      <c r="I186" s="17">
        <f t="shared" si="45"/>
        <v>2799.625</v>
      </c>
      <c r="J186" s="17">
        <f t="shared" si="46"/>
        <v>983.06993647451145</v>
      </c>
      <c r="K186" s="18">
        <f t="shared" si="47"/>
        <v>0.50909887958286459</v>
      </c>
      <c r="L186" s="21"/>
      <c r="M186" s="21">
        <v>1617</v>
      </c>
      <c r="N186" s="136">
        <v>1565.5</v>
      </c>
      <c r="O186" s="136">
        <v>2606.5</v>
      </c>
      <c r="P186" s="136">
        <v>3014</v>
      </c>
      <c r="Q186" s="136">
        <v>2864</v>
      </c>
      <c r="R186" s="21" t="s">
        <v>165</v>
      </c>
      <c r="S186" s="21" t="s">
        <v>165</v>
      </c>
      <c r="T186" s="21">
        <v>2886</v>
      </c>
      <c r="U186" s="21" t="s">
        <v>165</v>
      </c>
      <c r="V186" s="21" t="s">
        <v>165</v>
      </c>
      <c r="W186" s="21" t="s">
        <v>165</v>
      </c>
      <c r="X186" s="21">
        <v>2070</v>
      </c>
      <c r="Y186" s="21" t="s">
        <v>165</v>
      </c>
      <c r="Z186" s="21" t="s">
        <v>165</v>
      </c>
      <c r="AA186" s="21" t="s">
        <v>165</v>
      </c>
      <c r="AB186" s="21">
        <v>1975</v>
      </c>
      <c r="AC186" s="21" t="s">
        <v>165</v>
      </c>
      <c r="AD186" s="21" t="s">
        <v>165</v>
      </c>
      <c r="AE186" s="21" t="s">
        <v>165</v>
      </c>
      <c r="AF186" s="21">
        <v>167</v>
      </c>
      <c r="AG186" s="21" t="s">
        <v>165</v>
      </c>
      <c r="AH186" s="21" t="s">
        <v>165</v>
      </c>
      <c r="AI186" s="21" t="s">
        <v>165</v>
      </c>
      <c r="AJ186" s="21">
        <v>545</v>
      </c>
      <c r="AK186" s="21" t="s">
        <v>165</v>
      </c>
      <c r="AL186" s="21" t="s">
        <v>165</v>
      </c>
      <c r="AM186" s="21" t="s">
        <v>165</v>
      </c>
      <c r="AN186" s="21" t="s">
        <v>165</v>
      </c>
      <c r="AO186" s="21" t="s">
        <v>165</v>
      </c>
      <c r="AP186" s="21" t="s">
        <v>165</v>
      </c>
      <c r="AQ186" s="21" t="s">
        <v>165</v>
      </c>
      <c r="AR186" s="21" t="s">
        <v>165</v>
      </c>
      <c r="AS186" s="21" t="s">
        <v>165</v>
      </c>
      <c r="AT186" s="21" t="s">
        <v>165</v>
      </c>
      <c r="AU186" s="21" t="s">
        <v>165</v>
      </c>
      <c r="AV186" s="21" t="s">
        <v>165</v>
      </c>
      <c r="AW186" s="21" t="s">
        <v>165</v>
      </c>
      <c r="AX186" s="21" t="s">
        <v>165</v>
      </c>
      <c r="AY186" s="21" t="s">
        <v>165</v>
      </c>
      <c r="AZ186" s="21" t="s">
        <v>165</v>
      </c>
      <c r="BA186" s="21" t="s">
        <v>165</v>
      </c>
      <c r="BB186" s="21" t="s">
        <v>165</v>
      </c>
      <c r="BC186" s="21" t="s">
        <v>165</v>
      </c>
      <c r="BD186" s="21" t="s">
        <v>165</v>
      </c>
      <c r="BE186" s="21" t="s">
        <v>165</v>
      </c>
      <c r="BF186" s="21" t="s">
        <v>165</v>
      </c>
      <c r="BG186" s="21" t="s">
        <v>165</v>
      </c>
      <c r="BH186" s="21" t="s">
        <v>165</v>
      </c>
      <c r="BI186" s="21" t="s">
        <v>165</v>
      </c>
      <c r="BJ186" s="21" t="s">
        <v>165</v>
      </c>
      <c r="BK186" s="21" t="s">
        <v>165</v>
      </c>
      <c r="BL186" s="21" t="s">
        <v>165</v>
      </c>
      <c r="BM186" s="21" t="s">
        <v>165</v>
      </c>
      <c r="BN186" s="21" t="s">
        <v>165</v>
      </c>
      <c r="BO186" s="21" t="s">
        <v>165</v>
      </c>
      <c r="BP186" s="21" t="s">
        <v>165</v>
      </c>
      <c r="BQ186" s="21" t="s">
        <v>165</v>
      </c>
      <c r="BR186" s="21" t="s">
        <v>165</v>
      </c>
      <c r="BS186" s="21" t="s">
        <v>165</v>
      </c>
      <c r="BT186" s="21" t="s">
        <v>165</v>
      </c>
      <c r="BU186" s="21" t="s">
        <v>165</v>
      </c>
      <c r="BV186" s="21" t="s">
        <v>165</v>
      </c>
      <c r="BW186" s="21" t="s">
        <v>165</v>
      </c>
      <c r="BX186" s="21" t="s">
        <v>165</v>
      </c>
      <c r="BY186" s="21" t="s">
        <v>165</v>
      </c>
      <c r="BZ186" s="21" t="s">
        <v>165</v>
      </c>
      <c r="CA186" s="21" t="s">
        <v>165</v>
      </c>
      <c r="CB186" s="21" t="s">
        <v>165</v>
      </c>
      <c r="CC186" s="21" t="s">
        <v>165</v>
      </c>
      <c r="CD186" s="21" t="s">
        <v>165</v>
      </c>
      <c r="CE186" s="21" t="s">
        <v>165</v>
      </c>
      <c r="CG186" s="15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</row>
    <row r="187" spans="1:106" outlineLevel="2" x14ac:dyDescent="0.2">
      <c r="A187" s="14">
        <v>1</v>
      </c>
      <c r="C187" s="9" t="str">
        <f>"        Operating Lease due in year 3"</f>
        <v xml:space="preserve">        Operating Lease due in year 3</v>
      </c>
      <c r="D187" s="17">
        <f t="shared" si="40"/>
        <v>1921</v>
      </c>
      <c r="E187" s="17">
        <f t="shared" si="41"/>
        <v>1610.4749999999999</v>
      </c>
      <c r="F187" s="17">
        <f t="shared" si="42"/>
        <v>99</v>
      </c>
      <c r="G187" s="17">
        <f t="shared" si="43"/>
        <v>2749</v>
      </c>
      <c r="H187" s="17">
        <f t="shared" si="44"/>
        <v>633.3125</v>
      </c>
      <c r="I187" s="17">
        <f t="shared" si="45"/>
        <v>2401.875</v>
      </c>
      <c r="J187" s="17">
        <f t="shared" si="46"/>
        <v>1055.8463459471743</v>
      </c>
      <c r="K187" s="18">
        <f t="shared" si="47"/>
        <v>0.65561175798890037</v>
      </c>
      <c r="L187" s="21"/>
      <c r="M187" s="21">
        <v>324</v>
      </c>
      <c r="N187" s="136">
        <v>1561.25</v>
      </c>
      <c r="O187" s="136">
        <v>2462.5</v>
      </c>
      <c r="P187" s="136">
        <v>2749</v>
      </c>
      <c r="Q187" s="136">
        <v>2734</v>
      </c>
      <c r="R187" s="21" t="s">
        <v>165</v>
      </c>
      <c r="S187" s="21" t="s">
        <v>165</v>
      </c>
      <c r="T187" s="21">
        <v>2220</v>
      </c>
      <c r="U187" s="21" t="s">
        <v>165</v>
      </c>
      <c r="V187" s="21" t="s">
        <v>165</v>
      </c>
      <c r="W187" s="21" t="s">
        <v>165</v>
      </c>
      <c r="X187" s="21">
        <v>1923</v>
      </c>
      <c r="Y187" s="21" t="s">
        <v>165</v>
      </c>
      <c r="Z187" s="21" t="s">
        <v>165</v>
      </c>
      <c r="AA187" s="21" t="s">
        <v>165</v>
      </c>
      <c r="AB187" s="21">
        <v>1919</v>
      </c>
      <c r="AC187" s="21" t="s">
        <v>165</v>
      </c>
      <c r="AD187" s="21" t="s">
        <v>165</v>
      </c>
      <c r="AE187" s="21" t="s">
        <v>165</v>
      </c>
      <c r="AF187" s="21">
        <v>113</v>
      </c>
      <c r="AG187" s="21" t="s">
        <v>165</v>
      </c>
      <c r="AH187" s="21" t="s">
        <v>165</v>
      </c>
      <c r="AI187" s="21" t="s">
        <v>165</v>
      </c>
      <c r="AJ187" s="21">
        <v>99</v>
      </c>
      <c r="AK187" s="21" t="s">
        <v>165</v>
      </c>
      <c r="AL187" s="21" t="s">
        <v>165</v>
      </c>
      <c r="AM187" s="21" t="s">
        <v>165</v>
      </c>
      <c r="AN187" s="21" t="s">
        <v>165</v>
      </c>
      <c r="AO187" s="21" t="s">
        <v>165</v>
      </c>
      <c r="AP187" s="21" t="s">
        <v>165</v>
      </c>
      <c r="AQ187" s="21" t="s">
        <v>165</v>
      </c>
      <c r="AR187" s="21" t="s">
        <v>165</v>
      </c>
      <c r="AS187" s="21" t="s">
        <v>165</v>
      </c>
      <c r="AT187" s="21" t="s">
        <v>165</v>
      </c>
      <c r="AU187" s="21" t="s">
        <v>165</v>
      </c>
      <c r="AV187" s="21" t="s">
        <v>165</v>
      </c>
      <c r="AW187" s="21" t="s">
        <v>165</v>
      </c>
      <c r="AX187" s="21" t="s">
        <v>165</v>
      </c>
      <c r="AY187" s="21" t="s">
        <v>165</v>
      </c>
      <c r="AZ187" s="21" t="s">
        <v>165</v>
      </c>
      <c r="BA187" s="21" t="s">
        <v>165</v>
      </c>
      <c r="BB187" s="21" t="s">
        <v>165</v>
      </c>
      <c r="BC187" s="21" t="s">
        <v>165</v>
      </c>
      <c r="BD187" s="21" t="s">
        <v>165</v>
      </c>
      <c r="BE187" s="21" t="s">
        <v>165</v>
      </c>
      <c r="BF187" s="21" t="s">
        <v>165</v>
      </c>
      <c r="BG187" s="21" t="s">
        <v>165</v>
      </c>
      <c r="BH187" s="21" t="s">
        <v>165</v>
      </c>
      <c r="BI187" s="21" t="s">
        <v>165</v>
      </c>
      <c r="BJ187" s="21" t="s">
        <v>165</v>
      </c>
      <c r="BK187" s="21" t="s">
        <v>165</v>
      </c>
      <c r="BL187" s="21" t="s">
        <v>165</v>
      </c>
      <c r="BM187" s="21" t="s">
        <v>165</v>
      </c>
      <c r="BN187" s="21" t="s">
        <v>165</v>
      </c>
      <c r="BO187" s="21" t="s">
        <v>165</v>
      </c>
      <c r="BP187" s="21" t="s">
        <v>165</v>
      </c>
      <c r="BQ187" s="21" t="s">
        <v>165</v>
      </c>
      <c r="BR187" s="21" t="s">
        <v>165</v>
      </c>
      <c r="BS187" s="21" t="s">
        <v>165</v>
      </c>
      <c r="BT187" s="21" t="s">
        <v>165</v>
      </c>
      <c r="BU187" s="21" t="s">
        <v>165</v>
      </c>
      <c r="BV187" s="21" t="s">
        <v>165</v>
      </c>
      <c r="BW187" s="21" t="s">
        <v>165</v>
      </c>
      <c r="BX187" s="21" t="s">
        <v>165</v>
      </c>
      <c r="BY187" s="21" t="s">
        <v>165</v>
      </c>
      <c r="BZ187" s="21" t="s">
        <v>165</v>
      </c>
      <c r="CA187" s="21" t="s">
        <v>165</v>
      </c>
      <c r="CB187" s="21" t="s">
        <v>165</v>
      </c>
      <c r="CC187" s="21" t="s">
        <v>165</v>
      </c>
      <c r="CD187" s="21" t="s">
        <v>165</v>
      </c>
      <c r="CE187" s="21" t="s">
        <v>165</v>
      </c>
      <c r="CG187" s="15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</row>
    <row r="188" spans="1:106" outlineLevel="2" x14ac:dyDescent="0.2">
      <c r="A188" s="14">
        <v>1</v>
      </c>
      <c r="C188" s="9" t="str">
        <f>"        Operating Lease due in year 4"</f>
        <v xml:space="preserve">        Operating Lease due in year 4</v>
      </c>
      <c r="D188" s="17">
        <f t="shared" si="40"/>
        <v>1840.125</v>
      </c>
      <c r="E188" s="17">
        <f t="shared" si="41"/>
        <v>1378.3</v>
      </c>
      <c r="F188" s="17">
        <f t="shared" si="42"/>
        <v>64</v>
      </c>
      <c r="G188" s="17">
        <f t="shared" si="43"/>
        <v>2582.5</v>
      </c>
      <c r="H188" s="17">
        <f t="shared" si="44"/>
        <v>384.0625</v>
      </c>
      <c r="I188" s="17">
        <f t="shared" si="45"/>
        <v>2062.5</v>
      </c>
      <c r="J188" s="17">
        <f t="shared" si="46"/>
        <v>994.98252218038715</v>
      </c>
      <c r="K188" s="18">
        <f t="shared" si="47"/>
        <v>0.72189111382165505</v>
      </c>
      <c r="L188" s="21"/>
      <c r="M188" s="21">
        <v>301</v>
      </c>
      <c r="N188" s="136">
        <v>633.25</v>
      </c>
      <c r="O188" s="136">
        <v>1900.25</v>
      </c>
      <c r="P188" s="136">
        <v>2582.5</v>
      </c>
      <c r="Q188" s="136">
        <v>2409</v>
      </c>
      <c r="R188" s="21" t="s">
        <v>165</v>
      </c>
      <c r="S188" s="21" t="s">
        <v>165</v>
      </c>
      <c r="T188" s="21">
        <v>2108</v>
      </c>
      <c r="U188" s="21" t="s">
        <v>165</v>
      </c>
      <c r="V188" s="21" t="s">
        <v>165</v>
      </c>
      <c r="W188" s="21" t="s">
        <v>165</v>
      </c>
      <c r="X188" s="21">
        <v>1926</v>
      </c>
      <c r="Y188" s="21" t="s">
        <v>165</v>
      </c>
      <c r="Z188" s="21" t="s">
        <v>165</v>
      </c>
      <c r="AA188" s="21" t="s">
        <v>165</v>
      </c>
      <c r="AB188" s="21">
        <v>1780</v>
      </c>
      <c r="AC188" s="21" t="s">
        <v>165</v>
      </c>
      <c r="AD188" s="21" t="s">
        <v>165</v>
      </c>
      <c r="AE188" s="21" t="s">
        <v>165</v>
      </c>
      <c r="AF188" s="21">
        <v>64</v>
      </c>
      <c r="AG188" s="21" t="s">
        <v>165</v>
      </c>
      <c r="AH188" s="21" t="s">
        <v>165</v>
      </c>
      <c r="AI188" s="21" t="s">
        <v>165</v>
      </c>
      <c r="AJ188" s="21">
        <v>79</v>
      </c>
      <c r="AK188" s="21" t="s">
        <v>165</v>
      </c>
      <c r="AL188" s="21" t="s">
        <v>165</v>
      </c>
      <c r="AM188" s="21" t="s">
        <v>165</v>
      </c>
      <c r="AN188" s="21" t="s">
        <v>165</v>
      </c>
      <c r="AO188" s="21" t="s">
        <v>165</v>
      </c>
      <c r="AP188" s="21" t="s">
        <v>165</v>
      </c>
      <c r="AQ188" s="21" t="s">
        <v>165</v>
      </c>
      <c r="AR188" s="21" t="s">
        <v>165</v>
      </c>
      <c r="AS188" s="21" t="s">
        <v>165</v>
      </c>
      <c r="AT188" s="21" t="s">
        <v>165</v>
      </c>
      <c r="AU188" s="21" t="s">
        <v>165</v>
      </c>
      <c r="AV188" s="21" t="s">
        <v>165</v>
      </c>
      <c r="AW188" s="21" t="s">
        <v>165</v>
      </c>
      <c r="AX188" s="21" t="s">
        <v>165</v>
      </c>
      <c r="AY188" s="21" t="s">
        <v>165</v>
      </c>
      <c r="AZ188" s="21" t="s">
        <v>165</v>
      </c>
      <c r="BA188" s="21" t="s">
        <v>165</v>
      </c>
      <c r="BB188" s="21" t="s">
        <v>165</v>
      </c>
      <c r="BC188" s="21" t="s">
        <v>165</v>
      </c>
      <c r="BD188" s="21" t="s">
        <v>165</v>
      </c>
      <c r="BE188" s="21" t="s">
        <v>165</v>
      </c>
      <c r="BF188" s="21" t="s">
        <v>165</v>
      </c>
      <c r="BG188" s="21" t="s">
        <v>165</v>
      </c>
      <c r="BH188" s="21" t="s">
        <v>165</v>
      </c>
      <c r="BI188" s="21" t="s">
        <v>165</v>
      </c>
      <c r="BJ188" s="21" t="s">
        <v>165</v>
      </c>
      <c r="BK188" s="21" t="s">
        <v>165</v>
      </c>
      <c r="BL188" s="21" t="s">
        <v>165</v>
      </c>
      <c r="BM188" s="21" t="s">
        <v>165</v>
      </c>
      <c r="BN188" s="21" t="s">
        <v>165</v>
      </c>
      <c r="BO188" s="21" t="s">
        <v>165</v>
      </c>
      <c r="BP188" s="21" t="s">
        <v>165</v>
      </c>
      <c r="BQ188" s="21" t="s">
        <v>165</v>
      </c>
      <c r="BR188" s="21" t="s">
        <v>165</v>
      </c>
      <c r="BS188" s="21" t="s">
        <v>165</v>
      </c>
      <c r="BT188" s="21" t="s">
        <v>165</v>
      </c>
      <c r="BU188" s="21" t="s">
        <v>165</v>
      </c>
      <c r="BV188" s="21" t="s">
        <v>165</v>
      </c>
      <c r="BW188" s="21" t="s">
        <v>165</v>
      </c>
      <c r="BX188" s="21" t="s">
        <v>165</v>
      </c>
      <c r="BY188" s="21" t="s">
        <v>165</v>
      </c>
      <c r="BZ188" s="21" t="s">
        <v>165</v>
      </c>
      <c r="CA188" s="21" t="s">
        <v>165</v>
      </c>
      <c r="CB188" s="21" t="s">
        <v>165</v>
      </c>
      <c r="CC188" s="21" t="s">
        <v>165</v>
      </c>
      <c r="CD188" s="21" t="s">
        <v>165</v>
      </c>
      <c r="CE188" s="21" t="s">
        <v>165</v>
      </c>
      <c r="CG188" s="15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</row>
    <row r="189" spans="1:106" outlineLevel="2" x14ac:dyDescent="0.2">
      <c r="A189" s="14">
        <v>1</v>
      </c>
      <c r="C189" s="9" t="str">
        <f>"        Operating Lease due in year 5"</f>
        <v xml:space="preserve">        Operating Lease due in year 5</v>
      </c>
      <c r="D189" s="17">
        <f t="shared" si="40"/>
        <v>1108.875</v>
      </c>
      <c r="E189" s="17">
        <f t="shared" si="41"/>
        <v>1051.8</v>
      </c>
      <c r="F189" s="17">
        <f t="shared" si="42"/>
        <v>9</v>
      </c>
      <c r="G189" s="17">
        <f t="shared" si="43"/>
        <v>2189</v>
      </c>
      <c r="H189" s="17">
        <f t="shared" si="44"/>
        <v>282.0625</v>
      </c>
      <c r="I189" s="17">
        <f t="shared" si="45"/>
        <v>1815.75</v>
      </c>
      <c r="J189" s="17">
        <f t="shared" si="46"/>
        <v>868.99226278360948</v>
      </c>
      <c r="K189" s="18">
        <f t="shared" si="47"/>
        <v>0.82619534396616234</v>
      </c>
      <c r="L189" s="21"/>
      <c r="M189" s="21">
        <v>272</v>
      </c>
      <c r="N189" s="136">
        <v>312.25</v>
      </c>
      <c r="O189" s="136">
        <v>668.25</v>
      </c>
      <c r="P189" s="136">
        <v>1549.5</v>
      </c>
      <c r="Q189" s="136">
        <v>2189</v>
      </c>
      <c r="R189" s="21" t="s">
        <v>165</v>
      </c>
      <c r="S189" s="21" t="s">
        <v>165</v>
      </c>
      <c r="T189" s="21">
        <v>1891</v>
      </c>
      <c r="U189" s="21" t="s">
        <v>165</v>
      </c>
      <c r="V189" s="21" t="s">
        <v>165</v>
      </c>
      <c r="W189" s="21" t="s">
        <v>165</v>
      </c>
      <c r="X189" s="21">
        <v>1833</v>
      </c>
      <c r="Y189" s="21" t="s">
        <v>165</v>
      </c>
      <c r="Z189" s="21" t="s">
        <v>165</v>
      </c>
      <c r="AA189" s="21" t="s">
        <v>165</v>
      </c>
      <c r="AB189" s="21">
        <v>1764</v>
      </c>
      <c r="AC189" s="21" t="s">
        <v>165</v>
      </c>
      <c r="AD189" s="21" t="s">
        <v>165</v>
      </c>
      <c r="AE189" s="21" t="s">
        <v>165</v>
      </c>
      <c r="AF189" s="21">
        <v>9</v>
      </c>
      <c r="AG189" s="21" t="s">
        <v>165</v>
      </c>
      <c r="AH189" s="21" t="s">
        <v>165</v>
      </c>
      <c r="AI189" s="21" t="s">
        <v>165</v>
      </c>
      <c r="AJ189" s="21">
        <v>30</v>
      </c>
      <c r="AK189" s="21" t="s">
        <v>165</v>
      </c>
      <c r="AL189" s="21" t="s">
        <v>165</v>
      </c>
      <c r="AM189" s="21" t="s">
        <v>165</v>
      </c>
      <c r="AN189" s="21" t="s">
        <v>165</v>
      </c>
      <c r="AO189" s="21" t="s">
        <v>165</v>
      </c>
      <c r="AP189" s="21" t="s">
        <v>165</v>
      </c>
      <c r="AQ189" s="21" t="s">
        <v>165</v>
      </c>
      <c r="AR189" s="21" t="s">
        <v>165</v>
      </c>
      <c r="AS189" s="21" t="s">
        <v>165</v>
      </c>
      <c r="AT189" s="21" t="s">
        <v>165</v>
      </c>
      <c r="AU189" s="21" t="s">
        <v>165</v>
      </c>
      <c r="AV189" s="21" t="s">
        <v>165</v>
      </c>
      <c r="AW189" s="21" t="s">
        <v>165</v>
      </c>
      <c r="AX189" s="21" t="s">
        <v>165</v>
      </c>
      <c r="AY189" s="21" t="s">
        <v>165</v>
      </c>
      <c r="AZ189" s="21" t="s">
        <v>165</v>
      </c>
      <c r="BA189" s="21" t="s">
        <v>165</v>
      </c>
      <c r="BB189" s="21" t="s">
        <v>165</v>
      </c>
      <c r="BC189" s="21" t="s">
        <v>165</v>
      </c>
      <c r="BD189" s="21" t="s">
        <v>165</v>
      </c>
      <c r="BE189" s="21" t="s">
        <v>165</v>
      </c>
      <c r="BF189" s="21" t="s">
        <v>165</v>
      </c>
      <c r="BG189" s="21" t="s">
        <v>165</v>
      </c>
      <c r="BH189" s="21" t="s">
        <v>165</v>
      </c>
      <c r="BI189" s="21" t="s">
        <v>165</v>
      </c>
      <c r="BJ189" s="21" t="s">
        <v>165</v>
      </c>
      <c r="BK189" s="21" t="s">
        <v>165</v>
      </c>
      <c r="BL189" s="21" t="s">
        <v>165</v>
      </c>
      <c r="BM189" s="21" t="s">
        <v>165</v>
      </c>
      <c r="BN189" s="21" t="s">
        <v>165</v>
      </c>
      <c r="BO189" s="21" t="s">
        <v>165</v>
      </c>
      <c r="BP189" s="21" t="s">
        <v>165</v>
      </c>
      <c r="BQ189" s="21" t="s">
        <v>165</v>
      </c>
      <c r="BR189" s="21" t="s">
        <v>165</v>
      </c>
      <c r="BS189" s="21" t="s">
        <v>165</v>
      </c>
      <c r="BT189" s="21" t="s">
        <v>165</v>
      </c>
      <c r="BU189" s="21" t="s">
        <v>165</v>
      </c>
      <c r="BV189" s="21" t="s">
        <v>165</v>
      </c>
      <c r="BW189" s="21" t="s">
        <v>165</v>
      </c>
      <c r="BX189" s="21" t="s">
        <v>165</v>
      </c>
      <c r="BY189" s="21" t="s">
        <v>165</v>
      </c>
      <c r="BZ189" s="21" t="s">
        <v>165</v>
      </c>
      <c r="CA189" s="21" t="s">
        <v>165</v>
      </c>
      <c r="CB189" s="21" t="s">
        <v>165</v>
      </c>
      <c r="CC189" s="21" t="s">
        <v>165</v>
      </c>
      <c r="CD189" s="21" t="s">
        <v>165</v>
      </c>
      <c r="CE189" s="21" t="s">
        <v>165</v>
      </c>
      <c r="CG189" s="15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</row>
    <row r="190" spans="1:106" outlineLevel="2" x14ac:dyDescent="0.2">
      <c r="A190" s="14">
        <v>1</v>
      </c>
      <c r="C190" s="9" t="str">
        <f>"        Operating Lease due Beyond"</f>
        <v xml:space="preserve">        Operating Lease due Beyond</v>
      </c>
      <c r="D190" s="17">
        <f t="shared" si="40"/>
        <v>1548</v>
      </c>
      <c r="E190" s="17">
        <f t="shared" si="41"/>
        <v>2211.3125</v>
      </c>
      <c r="F190" s="17">
        <f t="shared" si="42"/>
        <v>125</v>
      </c>
      <c r="G190" s="17">
        <f t="shared" si="43"/>
        <v>5910</v>
      </c>
      <c r="H190" s="17">
        <f t="shared" si="44"/>
        <v>692.25</v>
      </c>
      <c r="I190" s="17">
        <f t="shared" si="45"/>
        <v>3203.25</v>
      </c>
      <c r="J190" s="17">
        <f t="shared" si="46"/>
        <v>2090.0788550999014</v>
      </c>
      <c r="K190" s="18">
        <f t="shared" si="47"/>
        <v>0.94517570678043084</v>
      </c>
      <c r="L190" s="21"/>
      <c r="M190" s="21">
        <v>125</v>
      </c>
      <c r="N190" s="136">
        <v>479.25</v>
      </c>
      <c r="O190" s="136">
        <v>763.25</v>
      </c>
      <c r="P190" s="136">
        <v>947</v>
      </c>
      <c r="Q190" s="136">
        <v>2149</v>
      </c>
      <c r="R190" s="21" t="s">
        <v>165</v>
      </c>
      <c r="S190" s="21" t="s">
        <v>165</v>
      </c>
      <c r="T190" s="21">
        <v>2748</v>
      </c>
      <c r="U190" s="21" t="s">
        <v>165</v>
      </c>
      <c r="V190" s="21" t="s">
        <v>165</v>
      </c>
      <c r="W190" s="21" t="s">
        <v>165</v>
      </c>
      <c r="X190" s="21">
        <v>4569</v>
      </c>
      <c r="Y190" s="21" t="s">
        <v>165</v>
      </c>
      <c r="Z190" s="21" t="s">
        <v>165</v>
      </c>
      <c r="AA190" s="21" t="s">
        <v>165</v>
      </c>
      <c r="AB190" s="21">
        <v>5910</v>
      </c>
      <c r="AC190" s="21" t="s">
        <v>165</v>
      </c>
      <c r="AD190" s="21" t="s">
        <v>165</v>
      </c>
      <c r="AE190" s="21" t="s">
        <v>165</v>
      </c>
      <c r="AF190" s="21" t="s">
        <v>165</v>
      </c>
      <c r="AG190" s="21" t="s">
        <v>165</v>
      </c>
      <c r="AH190" s="21" t="s">
        <v>165</v>
      </c>
      <c r="AI190" s="21" t="s">
        <v>165</v>
      </c>
      <c r="AJ190" s="21" t="s">
        <v>165</v>
      </c>
      <c r="AK190" s="21" t="s">
        <v>165</v>
      </c>
      <c r="AL190" s="21" t="s">
        <v>165</v>
      </c>
      <c r="AM190" s="21" t="s">
        <v>165</v>
      </c>
      <c r="AN190" s="21" t="s">
        <v>165</v>
      </c>
      <c r="AO190" s="21" t="s">
        <v>165</v>
      </c>
      <c r="AP190" s="21" t="s">
        <v>165</v>
      </c>
      <c r="AQ190" s="21" t="s">
        <v>165</v>
      </c>
      <c r="AR190" s="21" t="s">
        <v>165</v>
      </c>
      <c r="AS190" s="21" t="s">
        <v>165</v>
      </c>
      <c r="AT190" s="21" t="s">
        <v>165</v>
      </c>
      <c r="AU190" s="21" t="s">
        <v>165</v>
      </c>
      <c r="AV190" s="21" t="s">
        <v>165</v>
      </c>
      <c r="AW190" s="21" t="s">
        <v>165</v>
      </c>
      <c r="AX190" s="21" t="s">
        <v>165</v>
      </c>
      <c r="AY190" s="21" t="s">
        <v>165</v>
      </c>
      <c r="AZ190" s="21" t="s">
        <v>165</v>
      </c>
      <c r="BA190" s="21" t="s">
        <v>165</v>
      </c>
      <c r="BB190" s="21" t="s">
        <v>165</v>
      </c>
      <c r="BC190" s="21" t="s">
        <v>165</v>
      </c>
      <c r="BD190" s="21" t="s">
        <v>165</v>
      </c>
      <c r="BE190" s="21" t="s">
        <v>165</v>
      </c>
      <c r="BF190" s="21" t="s">
        <v>165</v>
      </c>
      <c r="BG190" s="21" t="s">
        <v>165</v>
      </c>
      <c r="BH190" s="21" t="s">
        <v>165</v>
      </c>
      <c r="BI190" s="21" t="s">
        <v>165</v>
      </c>
      <c r="BJ190" s="21" t="s">
        <v>165</v>
      </c>
      <c r="BK190" s="21" t="s">
        <v>165</v>
      </c>
      <c r="BL190" s="21" t="s">
        <v>165</v>
      </c>
      <c r="BM190" s="21" t="s">
        <v>165</v>
      </c>
      <c r="BN190" s="21" t="s">
        <v>165</v>
      </c>
      <c r="BO190" s="21" t="s">
        <v>165</v>
      </c>
      <c r="BP190" s="21" t="s">
        <v>165</v>
      </c>
      <c r="BQ190" s="21" t="s">
        <v>165</v>
      </c>
      <c r="BR190" s="21" t="s">
        <v>165</v>
      </c>
      <c r="BS190" s="21" t="s">
        <v>165</v>
      </c>
      <c r="BT190" s="21" t="s">
        <v>165</v>
      </c>
      <c r="BU190" s="21" t="s">
        <v>165</v>
      </c>
      <c r="BV190" s="21" t="s">
        <v>165</v>
      </c>
      <c r="BW190" s="21" t="s">
        <v>165</v>
      </c>
      <c r="BX190" s="21" t="s">
        <v>165</v>
      </c>
      <c r="BY190" s="21" t="s">
        <v>165</v>
      </c>
      <c r="BZ190" s="21" t="s">
        <v>165</v>
      </c>
      <c r="CA190" s="21" t="s">
        <v>165</v>
      </c>
      <c r="CB190" s="21" t="s">
        <v>165</v>
      </c>
      <c r="CC190" s="21" t="s">
        <v>165</v>
      </c>
      <c r="CD190" s="21" t="s">
        <v>165</v>
      </c>
      <c r="CE190" s="21" t="s">
        <v>165</v>
      </c>
      <c r="CG190" s="15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</row>
    <row r="191" spans="1:106" outlineLevel="2" x14ac:dyDescent="0.2">
      <c r="A191" s="14">
        <v>1</v>
      </c>
      <c r="C191" s="9" t="str">
        <f>"        Operating Lease - Interests Charges and Other Adjustments"</f>
        <v xml:space="preserve">        Operating Lease - Interests Charges and Other Adjustments</v>
      </c>
      <c r="D191" s="17">
        <f t="shared" si="40"/>
        <v>-1006.25</v>
      </c>
      <c r="E191" s="17">
        <f t="shared" si="41"/>
        <v>-1044.875</v>
      </c>
      <c r="F191" s="17">
        <f t="shared" si="42"/>
        <v>-1652</v>
      </c>
      <c r="G191" s="17">
        <f t="shared" si="43"/>
        <v>-515</v>
      </c>
      <c r="H191" s="17">
        <f t="shared" si="44"/>
        <v>-1377.6875</v>
      </c>
      <c r="I191" s="17">
        <f t="shared" si="45"/>
        <v>-673.4375</v>
      </c>
      <c r="J191" s="17">
        <f t="shared" si="46"/>
        <v>519.34319497483227</v>
      </c>
      <c r="K191" s="18">
        <f t="shared" si="47"/>
        <v>-0.49703858832380166</v>
      </c>
      <c r="L191" s="21"/>
      <c r="M191" s="21">
        <v>-515</v>
      </c>
      <c r="N191" s="133">
        <v>-726.25</v>
      </c>
      <c r="O191" s="133">
        <v>-1286.25</v>
      </c>
      <c r="P191" s="133">
        <v>-1652</v>
      </c>
      <c r="Q191" s="133"/>
      <c r="R191" s="21" t="s">
        <v>165</v>
      </c>
      <c r="S191" s="21" t="s">
        <v>165</v>
      </c>
      <c r="T191" s="21" t="s">
        <v>165</v>
      </c>
      <c r="U191" s="21" t="s">
        <v>165</v>
      </c>
      <c r="V191" s="21" t="s">
        <v>165</v>
      </c>
      <c r="W191" s="21" t="s">
        <v>165</v>
      </c>
      <c r="X191" s="21" t="s">
        <v>165</v>
      </c>
      <c r="Y191" s="21" t="s">
        <v>165</v>
      </c>
      <c r="Z191" s="21" t="s">
        <v>165</v>
      </c>
      <c r="AA191" s="21" t="s">
        <v>165</v>
      </c>
      <c r="AB191" s="21" t="s">
        <v>165</v>
      </c>
      <c r="AC191" s="21" t="s">
        <v>165</v>
      </c>
      <c r="AD191" s="21" t="s">
        <v>165</v>
      </c>
      <c r="AE191" s="21" t="s">
        <v>165</v>
      </c>
      <c r="AF191" s="21" t="s">
        <v>165</v>
      </c>
      <c r="AG191" s="21" t="s">
        <v>165</v>
      </c>
      <c r="AH191" s="21" t="s">
        <v>165</v>
      </c>
      <c r="AI191" s="21" t="s">
        <v>165</v>
      </c>
      <c r="AJ191" s="21" t="s">
        <v>165</v>
      </c>
      <c r="AK191" s="21" t="s">
        <v>165</v>
      </c>
      <c r="AL191" s="21" t="s">
        <v>165</v>
      </c>
      <c r="AM191" s="21" t="s">
        <v>165</v>
      </c>
      <c r="AN191" s="21" t="s">
        <v>165</v>
      </c>
      <c r="AO191" s="21" t="s">
        <v>165</v>
      </c>
      <c r="AP191" s="21" t="s">
        <v>165</v>
      </c>
      <c r="AQ191" s="21" t="s">
        <v>165</v>
      </c>
      <c r="AR191" s="21" t="s">
        <v>165</v>
      </c>
      <c r="AS191" s="21" t="s">
        <v>165</v>
      </c>
      <c r="AT191" s="21" t="s">
        <v>165</v>
      </c>
      <c r="AU191" s="21" t="s">
        <v>165</v>
      </c>
      <c r="AV191" s="21" t="s">
        <v>165</v>
      </c>
      <c r="AW191" s="21" t="s">
        <v>165</v>
      </c>
      <c r="AX191" s="21" t="s">
        <v>165</v>
      </c>
      <c r="AY191" s="21" t="s">
        <v>165</v>
      </c>
      <c r="AZ191" s="21" t="s">
        <v>165</v>
      </c>
      <c r="BA191" s="21" t="s">
        <v>165</v>
      </c>
      <c r="BB191" s="21" t="s">
        <v>165</v>
      </c>
      <c r="BC191" s="21" t="s">
        <v>165</v>
      </c>
      <c r="BD191" s="21" t="s">
        <v>165</v>
      </c>
      <c r="BE191" s="21" t="s">
        <v>165</v>
      </c>
      <c r="BF191" s="21" t="s">
        <v>165</v>
      </c>
      <c r="BG191" s="21" t="s">
        <v>165</v>
      </c>
      <c r="BH191" s="21" t="s">
        <v>165</v>
      </c>
      <c r="BI191" s="21" t="s">
        <v>165</v>
      </c>
      <c r="BJ191" s="21" t="s">
        <v>165</v>
      </c>
      <c r="BK191" s="21" t="s">
        <v>165</v>
      </c>
      <c r="BL191" s="21" t="s">
        <v>165</v>
      </c>
      <c r="BM191" s="21" t="s">
        <v>165</v>
      </c>
      <c r="BN191" s="21" t="s">
        <v>165</v>
      </c>
      <c r="BO191" s="21" t="s">
        <v>165</v>
      </c>
      <c r="BP191" s="21" t="s">
        <v>165</v>
      </c>
      <c r="BQ191" s="21" t="s">
        <v>165</v>
      </c>
      <c r="BR191" s="21" t="s">
        <v>165</v>
      </c>
      <c r="BS191" s="21" t="s">
        <v>165</v>
      </c>
      <c r="BT191" s="21" t="s">
        <v>165</v>
      </c>
      <c r="BU191" s="21" t="s">
        <v>165</v>
      </c>
      <c r="BV191" s="21" t="s">
        <v>165</v>
      </c>
      <c r="BW191" s="21" t="s">
        <v>165</v>
      </c>
      <c r="BX191" s="21" t="s">
        <v>165</v>
      </c>
      <c r="BY191" s="21" t="s">
        <v>165</v>
      </c>
      <c r="BZ191" s="21" t="s">
        <v>165</v>
      </c>
      <c r="CA191" s="21" t="s">
        <v>165</v>
      </c>
      <c r="CB191" s="21" t="s">
        <v>165</v>
      </c>
      <c r="CC191" s="21" t="s">
        <v>165</v>
      </c>
      <c r="CD191" s="21" t="s">
        <v>165</v>
      </c>
      <c r="CE191" s="21" t="s">
        <v>165</v>
      </c>
      <c r="CG191" s="15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</row>
    <row r="192" spans="1:106" outlineLevel="2" x14ac:dyDescent="0.2">
      <c r="A192" s="14">
        <v>1</v>
      </c>
      <c r="C192" s="10" t="str">
        <f>"        Operating Lease Obligation Maturity Schedule Total"</f>
        <v xml:space="preserve">        Operating Lease Obligation Maturity Schedule Total</v>
      </c>
      <c r="D192" s="29">
        <f t="shared" si="40"/>
        <v>10992.125</v>
      </c>
      <c r="E192" s="29">
        <f t="shared" si="41"/>
        <v>9591.3250000000007</v>
      </c>
      <c r="F192" s="29">
        <f t="shared" si="42"/>
        <v>1342</v>
      </c>
      <c r="G192" s="29">
        <f t="shared" si="43"/>
        <v>16283</v>
      </c>
      <c r="H192" s="29">
        <f t="shared" si="44"/>
        <v>4050.75</v>
      </c>
      <c r="I192" s="29">
        <f t="shared" si="45"/>
        <v>15061.75</v>
      </c>
      <c r="J192" s="29">
        <f t="shared" si="46"/>
        <v>6063.9069639433874</v>
      </c>
      <c r="K192" s="30">
        <f t="shared" si="47"/>
        <v>0.63222828586700863</v>
      </c>
      <c r="L192" s="31"/>
      <c r="M192" s="31">
        <v>3799</v>
      </c>
      <c r="N192" s="137">
        <v>4806</v>
      </c>
      <c r="O192" s="137">
        <v>8897.25</v>
      </c>
      <c r="P192" s="137">
        <v>13087</v>
      </c>
      <c r="Q192" s="137">
        <v>16283</v>
      </c>
      <c r="R192" s="31" t="s">
        <v>165</v>
      </c>
      <c r="S192" s="31" t="s">
        <v>165</v>
      </c>
      <c r="T192" s="31">
        <v>15268</v>
      </c>
      <c r="U192" s="31" t="s">
        <v>165</v>
      </c>
      <c r="V192" s="31" t="s">
        <v>165</v>
      </c>
      <c r="W192" s="31" t="s">
        <v>165</v>
      </c>
      <c r="X192" s="31">
        <v>14443</v>
      </c>
      <c r="Y192" s="31" t="s">
        <v>165</v>
      </c>
      <c r="Z192" s="31" t="s">
        <v>165</v>
      </c>
      <c r="AA192" s="31" t="s">
        <v>165</v>
      </c>
      <c r="AB192" s="31">
        <v>15794</v>
      </c>
      <c r="AC192" s="31" t="s">
        <v>165</v>
      </c>
      <c r="AD192" s="31" t="s">
        <v>165</v>
      </c>
      <c r="AE192" s="31" t="s">
        <v>165</v>
      </c>
      <c r="AF192" s="31">
        <v>1342</v>
      </c>
      <c r="AG192" s="31" t="s">
        <v>165</v>
      </c>
      <c r="AH192" s="31" t="s">
        <v>165</v>
      </c>
      <c r="AI192" s="31" t="s">
        <v>165</v>
      </c>
      <c r="AJ192" s="31">
        <v>2194</v>
      </c>
      <c r="AK192" s="31" t="s">
        <v>165</v>
      </c>
      <c r="AL192" s="31" t="s">
        <v>165</v>
      </c>
      <c r="AM192" s="31" t="s">
        <v>165</v>
      </c>
      <c r="AN192" s="31" t="s">
        <v>165</v>
      </c>
      <c r="AO192" s="31" t="s">
        <v>165</v>
      </c>
      <c r="AP192" s="31" t="s">
        <v>165</v>
      </c>
      <c r="AQ192" s="31" t="s">
        <v>165</v>
      </c>
      <c r="AR192" s="31" t="s">
        <v>165</v>
      </c>
      <c r="AS192" s="31" t="s">
        <v>165</v>
      </c>
      <c r="AT192" s="31" t="s">
        <v>165</v>
      </c>
      <c r="AU192" s="31" t="s">
        <v>165</v>
      </c>
      <c r="AV192" s="31" t="s">
        <v>165</v>
      </c>
      <c r="AW192" s="31" t="s">
        <v>165</v>
      </c>
      <c r="AX192" s="31" t="s">
        <v>165</v>
      </c>
      <c r="AY192" s="31" t="s">
        <v>165</v>
      </c>
      <c r="AZ192" s="31" t="s">
        <v>165</v>
      </c>
      <c r="BA192" s="31" t="s">
        <v>165</v>
      </c>
      <c r="BB192" s="31" t="s">
        <v>165</v>
      </c>
      <c r="BC192" s="31" t="s">
        <v>165</v>
      </c>
      <c r="BD192" s="31" t="s">
        <v>165</v>
      </c>
      <c r="BE192" s="31" t="s">
        <v>165</v>
      </c>
      <c r="BF192" s="31" t="s">
        <v>165</v>
      </c>
      <c r="BG192" s="31" t="s">
        <v>165</v>
      </c>
      <c r="BH192" s="31" t="s">
        <v>165</v>
      </c>
      <c r="BI192" s="31" t="s">
        <v>165</v>
      </c>
      <c r="BJ192" s="31" t="s">
        <v>165</v>
      </c>
      <c r="BK192" s="31" t="s">
        <v>165</v>
      </c>
      <c r="BL192" s="31" t="s">
        <v>165</v>
      </c>
      <c r="BM192" s="31" t="s">
        <v>165</v>
      </c>
      <c r="BN192" s="31" t="s">
        <v>165</v>
      </c>
      <c r="BO192" s="31" t="s">
        <v>165</v>
      </c>
      <c r="BP192" s="31" t="s">
        <v>165</v>
      </c>
      <c r="BQ192" s="31" t="s">
        <v>165</v>
      </c>
      <c r="BR192" s="31" t="s">
        <v>165</v>
      </c>
      <c r="BS192" s="31" t="s">
        <v>165</v>
      </c>
      <c r="BT192" s="31" t="s">
        <v>165</v>
      </c>
      <c r="BU192" s="31" t="s">
        <v>165</v>
      </c>
      <c r="BV192" s="31" t="s">
        <v>165</v>
      </c>
      <c r="BW192" s="31" t="s">
        <v>165</v>
      </c>
      <c r="BX192" s="31" t="s">
        <v>165</v>
      </c>
      <c r="BY192" s="31" t="s">
        <v>165</v>
      </c>
      <c r="BZ192" s="31" t="s">
        <v>165</v>
      </c>
      <c r="CA192" s="31" t="s">
        <v>165</v>
      </c>
      <c r="CB192" s="31" t="s">
        <v>165</v>
      </c>
      <c r="CC192" s="31" t="s">
        <v>165</v>
      </c>
      <c r="CD192" s="31" t="s">
        <v>165</v>
      </c>
      <c r="CE192" s="31" t="s">
        <v>165</v>
      </c>
      <c r="CG192" s="15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</row>
    <row r="193" spans="1:106" outlineLevel="1" x14ac:dyDescent="0.2">
      <c r="A193" s="14">
        <v>1</v>
      </c>
      <c r="C193" s="9" t="str">
        <f>IF(SUBTOTAL(109,A193)=A193,"    Other Contractual Obligations Maturity Schedule","    Other Contractual Obligations Maturity Schedule Total")</f>
        <v xml:space="preserve">    Other Contractual Obligations Maturity Schedule</v>
      </c>
      <c r="D193" s="17" t="str">
        <f t="shared" si="40"/>
        <v/>
      </c>
      <c r="E193" s="17" t="str">
        <f t="shared" si="41"/>
        <v/>
      </c>
      <c r="F193" s="17" t="str">
        <f t="shared" si="42"/>
        <v/>
      </c>
      <c r="G193" s="17" t="str">
        <f t="shared" si="43"/>
        <v/>
      </c>
      <c r="H193" s="17" t="str">
        <f t="shared" si="44"/>
        <v/>
      </c>
      <c r="I193" s="17" t="str">
        <f t="shared" si="45"/>
        <v/>
      </c>
      <c r="J193" s="17" t="str">
        <f t="shared" si="46"/>
        <v/>
      </c>
      <c r="K193" s="18" t="str">
        <f t="shared" si="47"/>
        <v/>
      </c>
      <c r="L193" s="21"/>
      <c r="M193" s="21" t="str">
        <f>IF(SUBTOTAL(109,A193)=A193,"","")</f>
        <v/>
      </c>
      <c r="N193" s="21"/>
      <c r="O193" s="21"/>
      <c r="P193" s="21"/>
      <c r="Q193" s="21"/>
      <c r="R193" s="21" t="str">
        <f>IF(SUBTOTAL(109,A193)=A193,"","")</f>
        <v/>
      </c>
      <c r="S193" s="21" t="str">
        <f>IF(SUBTOTAL(109,A193)=A193,"","")</f>
        <v/>
      </c>
      <c r="T193" s="21" t="str">
        <f>IF(SUBTOTAL(109,A193)=A193,"","")</f>
        <v/>
      </c>
      <c r="U193" s="21" t="str">
        <f>IF(SUBTOTAL(109,A193)=A193,"","")</f>
        <v/>
      </c>
      <c r="V193" s="21" t="str">
        <f>IF(SUBTOTAL(109,A193)=A193,"","")</f>
        <v/>
      </c>
      <c r="W193" s="21" t="str">
        <f>IF(SUBTOTAL(109,A193)=A193,"","")</f>
        <v/>
      </c>
      <c r="X193" s="21" t="str">
        <f>IF(SUBTOTAL(109,A193)=A193,"","")</f>
        <v/>
      </c>
      <c r="Y193" s="21" t="str">
        <f>IF(SUBTOTAL(109,A193)=A193,"","")</f>
        <v/>
      </c>
      <c r="Z193" s="21" t="str">
        <f>IF(SUBTOTAL(109,A193)=A193,"","")</f>
        <v/>
      </c>
      <c r="AA193" s="21" t="str">
        <f>IF(SUBTOTAL(109,A193)=A193,"","")</f>
        <v/>
      </c>
      <c r="AB193" s="21" t="str">
        <f>IF(SUBTOTAL(109,A193)=A193,"","")</f>
        <v/>
      </c>
      <c r="AC193" s="21" t="str">
        <f>IF(SUBTOTAL(109,A193)=A193,"","")</f>
        <v/>
      </c>
      <c r="AD193" s="21" t="str">
        <f>IF(SUBTOTAL(109,A193)=A193,"","")</f>
        <v/>
      </c>
      <c r="AE193" s="21" t="str">
        <f>IF(SUBTOTAL(109,A193)=A193,"","")</f>
        <v/>
      </c>
      <c r="AF193" s="21" t="str">
        <f>IF(SUBTOTAL(109,A193)=A193,"",67448)</f>
        <v/>
      </c>
      <c r="AG193" s="21" t="str">
        <f>IF(SUBTOTAL(109,A193)=A193,"","")</f>
        <v/>
      </c>
      <c r="AH193" s="21" t="str">
        <f>IF(SUBTOTAL(109,A193)=A193,"","")</f>
        <v/>
      </c>
      <c r="AI193" s="21" t="str">
        <f>IF(SUBTOTAL(109,A193)=A193,"","")</f>
        <v/>
      </c>
      <c r="AJ193" s="21" t="str">
        <f>IF(SUBTOTAL(109,A193)=A193,"",64402)</f>
        <v/>
      </c>
      <c r="AK193" s="21" t="str">
        <f>IF(SUBTOTAL(109,A193)=A193,"","")</f>
        <v/>
      </c>
      <c r="AL193" s="21" t="str">
        <f>IF(SUBTOTAL(109,A193)=A193,"","")</f>
        <v/>
      </c>
      <c r="AM193" s="21" t="str">
        <f>IF(SUBTOTAL(109,A193)=A193,"","")</f>
        <v/>
      </c>
      <c r="AN193" s="21" t="str">
        <f>IF(SUBTOTAL(109,A193)=A193,"","")</f>
        <v/>
      </c>
      <c r="AO193" s="21" t="str">
        <f>IF(SUBTOTAL(109,A193)=A193,"","")</f>
        <v/>
      </c>
      <c r="AP193" s="21" t="str">
        <f>IF(SUBTOTAL(109,A193)=A193,"","")</f>
        <v/>
      </c>
      <c r="AQ193" s="21" t="str">
        <f>IF(SUBTOTAL(109,A193)=A193,"","")</f>
        <v/>
      </c>
      <c r="AR193" s="21" t="str">
        <f>IF(SUBTOTAL(109,A193)=A193,"","")</f>
        <v/>
      </c>
      <c r="AS193" s="21" t="str">
        <f>IF(SUBTOTAL(109,A193)=A193,"","")</f>
        <v/>
      </c>
      <c r="AT193" s="21" t="str">
        <f>IF(SUBTOTAL(109,A193)=A193,"","")</f>
        <v/>
      </c>
      <c r="AU193" s="21" t="str">
        <f>IF(SUBTOTAL(109,A193)=A193,"","")</f>
        <v/>
      </c>
      <c r="AV193" s="21" t="str">
        <f>IF(SUBTOTAL(109,A193)=A193,"","")</f>
        <v/>
      </c>
      <c r="AW193" s="21" t="str">
        <f>IF(SUBTOTAL(109,A193)=A193,"","")</f>
        <v/>
      </c>
      <c r="AX193" s="21" t="str">
        <f>IF(SUBTOTAL(109,A193)=A193,"","")</f>
        <v/>
      </c>
      <c r="AY193" s="21" t="str">
        <f>IF(SUBTOTAL(109,A193)=A193,"","")</f>
        <v/>
      </c>
      <c r="AZ193" s="21" t="str">
        <f>IF(SUBTOTAL(109,A193)=A193,"","")</f>
        <v/>
      </c>
      <c r="BA193" s="21" t="str">
        <f>IF(SUBTOTAL(109,A193)=A193,"","")</f>
        <v/>
      </c>
      <c r="BB193" s="21" t="str">
        <f>IF(SUBTOTAL(109,A193)=A193,"","")</f>
        <v/>
      </c>
      <c r="BC193" s="21" t="str">
        <f>IF(SUBTOTAL(109,A193)=A193,"","")</f>
        <v/>
      </c>
      <c r="BD193" s="21" t="str">
        <f>IF(SUBTOTAL(109,A193)=A193,"","")</f>
        <v/>
      </c>
      <c r="BE193" s="21" t="str">
        <f>IF(SUBTOTAL(109,A193)=A193,"","")</f>
        <v/>
      </c>
      <c r="BF193" s="21" t="str">
        <f>IF(SUBTOTAL(109,A193)=A193,"","")</f>
        <v/>
      </c>
      <c r="BG193" s="21" t="str">
        <f>IF(SUBTOTAL(109,A193)=A193,"","")</f>
        <v/>
      </c>
      <c r="BH193" s="21" t="str">
        <f>IF(SUBTOTAL(109,A193)=A193,"","")</f>
        <v/>
      </c>
      <c r="BI193" s="21" t="str">
        <f>IF(SUBTOTAL(109,A193)=A193,"","")</f>
        <v/>
      </c>
      <c r="BJ193" s="21" t="str">
        <f>IF(SUBTOTAL(109,A193)=A193,"","")</f>
        <v/>
      </c>
      <c r="BK193" s="21" t="str">
        <f>IF(SUBTOTAL(109,A193)=A193,"","")</f>
        <v/>
      </c>
      <c r="BL193" s="21" t="str">
        <f>IF(SUBTOTAL(109,A193)=A193,"","")</f>
        <v/>
      </c>
      <c r="BM193" s="21" t="str">
        <f>IF(SUBTOTAL(109,A193)=A193,"","")</f>
        <v/>
      </c>
      <c r="BN193" s="21" t="str">
        <f>IF(SUBTOTAL(109,A193)=A193,"","")</f>
        <v/>
      </c>
      <c r="BO193" s="21" t="str">
        <f>IF(SUBTOTAL(109,A193)=A193,"","")</f>
        <v/>
      </c>
      <c r="BP193" s="21" t="str">
        <f>IF(SUBTOTAL(109,A193)=A193,"","")</f>
        <v/>
      </c>
      <c r="BQ193" s="21" t="str">
        <f>IF(SUBTOTAL(109,A193)=A193,"","")</f>
        <v/>
      </c>
      <c r="BR193" s="21" t="str">
        <f>IF(SUBTOTAL(109,A193)=A193,"","")</f>
        <v/>
      </c>
      <c r="BS193" s="21" t="str">
        <f>IF(SUBTOTAL(109,A193)=A193,"","")</f>
        <v/>
      </c>
      <c r="BT193" s="21" t="str">
        <f>IF(SUBTOTAL(109,A193)=A193,"","")</f>
        <v/>
      </c>
      <c r="BU193" s="21" t="str">
        <f>IF(SUBTOTAL(109,A193)=A193,"","")</f>
        <v/>
      </c>
      <c r="BV193" s="21" t="str">
        <f>IF(SUBTOTAL(109,A193)=A193,"","")</f>
        <v/>
      </c>
      <c r="BW193" s="21" t="str">
        <f>IF(SUBTOTAL(109,A193)=A193,"","")</f>
        <v/>
      </c>
      <c r="BX193" s="21" t="str">
        <f>IF(SUBTOTAL(109,A193)=A193,"","")</f>
        <v/>
      </c>
      <c r="BY193" s="21" t="str">
        <f>IF(SUBTOTAL(109,A193)=A193,"","")</f>
        <v/>
      </c>
      <c r="BZ193" s="21" t="str">
        <f>IF(SUBTOTAL(109,A193)=A193,"","")</f>
        <v/>
      </c>
      <c r="CA193" s="21" t="str">
        <f>IF(SUBTOTAL(109,A193)=A193,"","")</f>
        <v/>
      </c>
      <c r="CB193" s="21" t="str">
        <f>IF(SUBTOTAL(109,A193)=A193,"","")</f>
        <v/>
      </c>
      <c r="CC193" s="21" t="str">
        <f>IF(SUBTOTAL(109,A193)=A193,"","")</f>
        <v/>
      </c>
      <c r="CD193" s="21" t="str">
        <f>IF(SUBTOTAL(109,A193)=A193,"","")</f>
        <v/>
      </c>
      <c r="CE193" s="21" t="str">
        <f>IF(SUBTOTAL(109,A193)=A193,"","")</f>
        <v/>
      </c>
      <c r="CG193" s="15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</row>
    <row r="194" spans="1:106" outlineLevel="2" x14ac:dyDescent="0.2">
      <c r="A194" s="14">
        <v>1</v>
      </c>
      <c r="C194" s="9" t="str">
        <f>"        Other Contractual Obligations due in year 1"</f>
        <v xml:space="preserve">        Other Contractual Obligations due in year 1</v>
      </c>
      <c r="D194" s="17">
        <f t="shared" si="40"/>
        <v>65844</v>
      </c>
      <c r="E194" s="17">
        <f t="shared" si="41"/>
        <v>65844</v>
      </c>
      <c r="F194" s="17">
        <f t="shared" si="42"/>
        <v>64324</v>
      </c>
      <c r="G194" s="17">
        <f t="shared" si="43"/>
        <v>67364</v>
      </c>
      <c r="H194" s="17">
        <f t="shared" si="44"/>
        <v>65084</v>
      </c>
      <c r="I194" s="17">
        <f t="shared" si="45"/>
        <v>66604</v>
      </c>
      <c r="J194" s="17">
        <f t="shared" si="46"/>
        <v>2149.6046148071046</v>
      </c>
      <c r="K194" s="18">
        <f t="shared" si="47"/>
        <v>3.2646932367521787E-2</v>
      </c>
      <c r="L194" s="21"/>
      <c r="M194" s="21" t="s">
        <v>165</v>
      </c>
      <c r="N194" s="21"/>
      <c r="O194" s="21"/>
      <c r="P194" s="21"/>
      <c r="Q194" s="21"/>
      <c r="R194" s="21" t="s">
        <v>165</v>
      </c>
      <c r="S194" s="21" t="s">
        <v>165</v>
      </c>
      <c r="T194" s="21" t="s">
        <v>165</v>
      </c>
      <c r="U194" s="21" t="s">
        <v>165</v>
      </c>
      <c r="V194" s="21" t="s">
        <v>165</v>
      </c>
      <c r="W194" s="21" t="s">
        <v>165</v>
      </c>
      <c r="X194" s="21" t="s">
        <v>165</v>
      </c>
      <c r="Y194" s="21" t="s">
        <v>165</v>
      </c>
      <c r="Z194" s="21" t="s">
        <v>165</v>
      </c>
      <c r="AA194" s="21" t="s">
        <v>165</v>
      </c>
      <c r="AB194" s="21" t="s">
        <v>165</v>
      </c>
      <c r="AC194" s="21" t="s">
        <v>165</v>
      </c>
      <c r="AD194" s="21" t="s">
        <v>165</v>
      </c>
      <c r="AE194" s="21" t="s">
        <v>165</v>
      </c>
      <c r="AF194" s="21">
        <v>67364</v>
      </c>
      <c r="AG194" s="21" t="s">
        <v>165</v>
      </c>
      <c r="AH194" s="21" t="s">
        <v>165</v>
      </c>
      <c r="AI194" s="21" t="s">
        <v>165</v>
      </c>
      <c r="AJ194" s="21">
        <v>64324</v>
      </c>
      <c r="AK194" s="21" t="s">
        <v>165</v>
      </c>
      <c r="AL194" s="21" t="s">
        <v>165</v>
      </c>
      <c r="AM194" s="21" t="s">
        <v>165</v>
      </c>
      <c r="AN194" s="21" t="s">
        <v>165</v>
      </c>
      <c r="AO194" s="21" t="s">
        <v>165</v>
      </c>
      <c r="AP194" s="21" t="s">
        <v>165</v>
      </c>
      <c r="AQ194" s="21" t="s">
        <v>165</v>
      </c>
      <c r="AR194" s="21" t="s">
        <v>165</v>
      </c>
      <c r="AS194" s="21" t="s">
        <v>165</v>
      </c>
      <c r="AT194" s="21" t="s">
        <v>165</v>
      </c>
      <c r="AU194" s="21" t="s">
        <v>165</v>
      </c>
      <c r="AV194" s="21" t="s">
        <v>165</v>
      </c>
      <c r="AW194" s="21" t="s">
        <v>165</v>
      </c>
      <c r="AX194" s="21" t="s">
        <v>165</v>
      </c>
      <c r="AY194" s="21" t="s">
        <v>165</v>
      </c>
      <c r="AZ194" s="21" t="s">
        <v>165</v>
      </c>
      <c r="BA194" s="21" t="s">
        <v>165</v>
      </c>
      <c r="BB194" s="21" t="s">
        <v>165</v>
      </c>
      <c r="BC194" s="21" t="s">
        <v>165</v>
      </c>
      <c r="BD194" s="21" t="s">
        <v>165</v>
      </c>
      <c r="BE194" s="21" t="s">
        <v>165</v>
      </c>
      <c r="BF194" s="21" t="s">
        <v>165</v>
      </c>
      <c r="BG194" s="21" t="s">
        <v>165</v>
      </c>
      <c r="BH194" s="21" t="s">
        <v>165</v>
      </c>
      <c r="BI194" s="21" t="s">
        <v>165</v>
      </c>
      <c r="BJ194" s="21" t="s">
        <v>165</v>
      </c>
      <c r="BK194" s="21" t="s">
        <v>165</v>
      </c>
      <c r="BL194" s="21" t="s">
        <v>165</v>
      </c>
      <c r="BM194" s="21" t="s">
        <v>165</v>
      </c>
      <c r="BN194" s="21" t="s">
        <v>165</v>
      </c>
      <c r="BO194" s="21" t="s">
        <v>165</v>
      </c>
      <c r="BP194" s="21" t="s">
        <v>165</v>
      </c>
      <c r="BQ194" s="21" t="s">
        <v>165</v>
      </c>
      <c r="BR194" s="21" t="s">
        <v>165</v>
      </c>
      <c r="BS194" s="21" t="s">
        <v>165</v>
      </c>
      <c r="BT194" s="21" t="s">
        <v>165</v>
      </c>
      <c r="BU194" s="21" t="s">
        <v>165</v>
      </c>
      <c r="BV194" s="21" t="s">
        <v>165</v>
      </c>
      <c r="BW194" s="21" t="s">
        <v>165</v>
      </c>
      <c r="BX194" s="21" t="s">
        <v>165</v>
      </c>
      <c r="BY194" s="21" t="s">
        <v>165</v>
      </c>
      <c r="BZ194" s="21" t="s">
        <v>165</v>
      </c>
      <c r="CA194" s="21" t="s">
        <v>165</v>
      </c>
      <c r="CB194" s="21" t="s">
        <v>165</v>
      </c>
      <c r="CC194" s="21" t="s">
        <v>165</v>
      </c>
      <c r="CD194" s="21" t="s">
        <v>165</v>
      </c>
      <c r="CE194" s="21" t="s">
        <v>165</v>
      </c>
      <c r="CG194" s="15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</row>
    <row r="195" spans="1:106" outlineLevel="2" x14ac:dyDescent="0.2">
      <c r="A195" s="14">
        <v>1</v>
      </c>
      <c r="C195" s="9" t="str">
        <f>"        Other Contractual Obligations due in year 3"</f>
        <v xml:space="preserve">        Other Contractual Obligations due in year 3</v>
      </c>
      <c r="D195" s="17">
        <f t="shared" si="40"/>
        <v>81</v>
      </c>
      <c r="E195" s="17">
        <f t="shared" si="41"/>
        <v>81</v>
      </c>
      <c r="F195" s="17">
        <f t="shared" si="42"/>
        <v>78</v>
      </c>
      <c r="G195" s="17">
        <f t="shared" si="43"/>
        <v>84</v>
      </c>
      <c r="H195" s="17">
        <f t="shared" si="44"/>
        <v>79.5</v>
      </c>
      <c r="I195" s="17">
        <f t="shared" si="45"/>
        <v>82.5</v>
      </c>
      <c r="J195" s="17">
        <f t="shared" si="46"/>
        <v>4.2426406871192848</v>
      </c>
      <c r="K195" s="18">
        <f t="shared" si="47"/>
        <v>5.2378280087892408E-2</v>
      </c>
      <c r="L195" s="21"/>
      <c r="M195" s="21" t="s">
        <v>165</v>
      </c>
      <c r="N195" s="21"/>
      <c r="O195" s="21"/>
      <c r="P195" s="21"/>
      <c r="Q195" s="21"/>
      <c r="R195" s="21" t="s">
        <v>165</v>
      </c>
      <c r="S195" s="21" t="s">
        <v>165</v>
      </c>
      <c r="T195" s="21" t="s">
        <v>165</v>
      </c>
      <c r="U195" s="21" t="s">
        <v>165</v>
      </c>
      <c r="V195" s="21" t="s">
        <v>165</v>
      </c>
      <c r="W195" s="21" t="s">
        <v>165</v>
      </c>
      <c r="X195" s="21" t="s">
        <v>165</v>
      </c>
      <c r="Y195" s="21" t="s">
        <v>165</v>
      </c>
      <c r="Z195" s="21" t="s">
        <v>165</v>
      </c>
      <c r="AA195" s="21" t="s">
        <v>165</v>
      </c>
      <c r="AB195" s="21" t="s">
        <v>165</v>
      </c>
      <c r="AC195" s="21" t="s">
        <v>165</v>
      </c>
      <c r="AD195" s="21" t="s">
        <v>165</v>
      </c>
      <c r="AE195" s="21" t="s">
        <v>165</v>
      </c>
      <c r="AF195" s="21">
        <v>84</v>
      </c>
      <c r="AG195" s="21" t="s">
        <v>165</v>
      </c>
      <c r="AH195" s="21" t="s">
        <v>165</v>
      </c>
      <c r="AI195" s="21" t="s">
        <v>165</v>
      </c>
      <c r="AJ195" s="21">
        <v>78</v>
      </c>
      <c r="AK195" s="21" t="s">
        <v>165</v>
      </c>
      <c r="AL195" s="21" t="s">
        <v>165</v>
      </c>
      <c r="AM195" s="21" t="s">
        <v>165</v>
      </c>
      <c r="AN195" s="21" t="s">
        <v>165</v>
      </c>
      <c r="AO195" s="21" t="s">
        <v>165</v>
      </c>
      <c r="AP195" s="21" t="s">
        <v>165</v>
      </c>
      <c r="AQ195" s="21" t="s">
        <v>165</v>
      </c>
      <c r="AR195" s="21" t="s">
        <v>165</v>
      </c>
      <c r="AS195" s="21" t="s">
        <v>165</v>
      </c>
      <c r="AT195" s="21" t="s">
        <v>165</v>
      </c>
      <c r="AU195" s="21" t="s">
        <v>165</v>
      </c>
      <c r="AV195" s="21" t="s">
        <v>165</v>
      </c>
      <c r="AW195" s="21" t="s">
        <v>165</v>
      </c>
      <c r="AX195" s="21" t="s">
        <v>165</v>
      </c>
      <c r="AY195" s="21" t="s">
        <v>165</v>
      </c>
      <c r="AZ195" s="21" t="s">
        <v>165</v>
      </c>
      <c r="BA195" s="21" t="s">
        <v>165</v>
      </c>
      <c r="BB195" s="21" t="s">
        <v>165</v>
      </c>
      <c r="BC195" s="21" t="s">
        <v>165</v>
      </c>
      <c r="BD195" s="21" t="s">
        <v>165</v>
      </c>
      <c r="BE195" s="21" t="s">
        <v>165</v>
      </c>
      <c r="BF195" s="21" t="s">
        <v>165</v>
      </c>
      <c r="BG195" s="21" t="s">
        <v>165</v>
      </c>
      <c r="BH195" s="21" t="s">
        <v>165</v>
      </c>
      <c r="BI195" s="21" t="s">
        <v>165</v>
      </c>
      <c r="BJ195" s="21" t="s">
        <v>165</v>
      </c>
      <c r="BK195" s="21" t="s">
        <v>165</v>
      </c>
      <c r="BL195" s="21" t="s">
        <v>165</v>
      </c>
      <c r="BM195" s="21" t="s">
        <v>165</v>
      </c>
      <c r="BN195" s="21" t="s">
        <v>165</v>
      </c>
      <c r="BO195" s="21" t="s">
        <v>165</v>
      </c>
      <c r="BP195" s="21" t="s">
        <v>165</v>
      </c>
      <c r="BQ195" s="21" t="s">
        <v>165</v>
      </c>
      <c r="BR195" s="21" t="s">
        <v>165</v>
      </c>
      <c r="BS195" s="21" t="s">
        <v>165</v>
      </c>
      <c r="BT195" s="21" t="s">
        <v>165</v>
      </c>
      <c r="BU195" s="21" t="s">
        <v>165</v>
      </c>
      <c r="BV195" s="21" t="s">
        <v>165</v>
      </c>
      <c r="BW195" s="21" t="s">
        <v>165</v>
      </c>
      <c r="BX195" s="21" t="s">
        <v>165</v>
      </c>
      <c r="BY195" s="21" t="s">
        <v>165</v>
      </c>
      <c r="BZ195" s="21" t="s">
        <v>165</v>
      </c>
      <c r="CA195" s="21" t="s">
        <v>165</v>
      </c>
      <c r="CB195" s="21" t="s">
        <v>165</v>
      </c>
      <c r="CC195" s="21" t="s">
        <v>165</v>
      </c>
      <c r="CD195" s="21" t="s">
        <v>165</v>
      </c>
      <c r="CE195" s="21" t="s">
        <v>165</v>
      </c>
      <c r="CG195" s="15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</row>
    <row r="196" spans="1:106" outlineLevel="2" x14ac:dyDescent="0.2">
      <c r="A196" s="14">
        <v>1</v>
      </c>
      <c r="C196" s="10" t="str">
        <f>"        Other Contractual Obligations Maturity Schedule Total"</f>
        <v xml:space="preserve">        Other Contractual Obligations Maturity Schedule Total</v>
      </c>
      <c r="D196" s="29">
        <f t="shared" si="40"/>
        <v>65925</v>
      </c>
      <c r="E196" s="29">
        <f t="shared" si="41"/>
        <v>65925</v>
      </c>
      <c r="F196" s="29">
        <f t="shared" si="42"/>
        <v>64402</v>
      </c>
      <c r="G196" s="29">
        <f t="shared" si="43"/>
        <v>67448</v>
      </c>
      <c r="H196" s="29">
        <f t="shared" si="44"/>
        <v>65163.5</v>
      </c>
      <c r="I196" s="29">
        <f t="shared" si="45"/>
        <v>66686.5</v>
      </c>
      <c r="J196" s="29">
        <f t="shared" si="46"/>
        <v>2153.8472554942236</v>
      </c>
      <c r="K196" s="30">
        <f t="shared" si="47"/>
        <v>3.2671175661649204E-2</v>
      </c>
      <c r="L196" s="31"/>
      <c r="M196" s="31" t="s">
        <v>165</v>
      </c>
      <c r="N196" s="31"/>
      <c r="O196" s="31"/>
      <c r="P196" s="31"/>
      <c r="Q196" s="31"/>
      <c r="R196" s="31" t="s">
        <v>165</v>
      </c>
      <c r="S196" s="31" t="s">
        <v>165</v>
      </c>
      <c r="T196" s="31" t="s">
        <v>165</v>
      </c>
      <c r="U196" s="31" t="s">
        <v>165</v>
      </c>
      <c r="V196" s="31" t="s">
        <v>165</v>
      </c>
      <c r="W196" s="31" t="s">
        <v>165</v>
      </c>
      <c r="X196" s="31" t="s">
        <v>165</v>
      </c>
      <c r="Y196" s="31" t="s">
        <v>165</v>
      </c>
      <c r="Z196" s="31" t="s">
        <v>165</v>
      </c>
      <c r="AA196" s="31" t="s">
        <v>165</v>
      </c>
      <c r="AB196" s="31" t="s">
        <v>165</v>
      </c>
      <c r="AC196" s="31" t="s">
        <v>165</v>
      </c>
      <c r="AD196" s="31" t="s">
        <v>165</v>
      </c>
      <c r="AE196" s="31" t="s">
        <v>165</v>
      </c>
      <c r="AF196" s="31">
        <v>67448</v>
      </c>
      <c r="AG196" s="31" t="s">
        <v>165</v>
      </c>
      <c r="AH196" s="31" t="s">
        <v>165</v>
      </c>
      <c r="AI196" s="31" t="s">
        <v>165</v>
      </c>
      <c r="AJ196" s="31">
        <v>64402</v>
      </c>
      <c r="AK196" s="31" t="s">
        <v>165</v>
      </c>
      <c r="AL196" s="31" t="s">
        <v>165</v>
      </c>
      <c r="AM196" s="31" t="s">
        <v>165</v>
      </c>
      <c r="AN196" s="31" t="s">
        <v>165</v>
      </c>
      <c r="AO196" s="31" t="s">
        <v>165</v>
      </c>
      <c r="AP196" s="31" t="s">
        <v>165</v>
      </c>
      <c r="AQ196" s="31" t="s">
        <v>165</v>
      </c>
      <c r="AR196" s="31" t="s">
        <v>165</v>
      </c>
      <c r="AS196" s="31" t="s">
        <v>165</v>
      </c>
      <c r="AT196" s="31" t="s">
        <v>165</v>
      </c>
      <c r="AU196" s="31" t="s">
        <v>165</v>
      </c>
      <c r="AV196" s="31" t="s">
        <v>165</v>
      </c>
      <c r="AW196" s="31" t="s">
        <v>165</v>
      </c>
      <c r="AX196" s="31" t="s">
        <v>165</v>
      </c>
      <c r="AY196" s="31" t="s">
        <v>165</v>
      </c>
      <c r="AZ196" s="31" t="s">
        <v>165</v>
      </c>
      <c r="BA196" s="31" t="s">
        <v>165</v>
      </c>
      <c r="BB196" s="31" t="s">
        <v>165</v>
      </c>
      <c r="BC196" s="31" t="s">
        <v>165</v>
      </c>
      <c r="BD196" s="31" t="s">
        <v>165</v>
      </c>
      <c r="BE196" s="31" t="s">
        <v>165</v>
      </c>
      <c r="BF196" s="31" t="s">
        <v>165</v>
      </c>
      <c r="BG196" s="31" t="s">
        <v>165</v>
      </c>
      <c r="BH196" s="31" t="s">
        <v>165</v>
      </c>
      <c r="BI196" s="31" t="s">
        <v>165</v>
      </c>
      <c r="BJ196" s="31" t="s">
        <v>165</v>
      </c>
      <c r="BK196" s="31" t="s">
        <v>165</v>
      </c>
      <c r="BL196" s="31" t="s">
        <v>165</v>
      </c>
      <c r="BM196" s="31" t="s">
        <v>165</v>
      </c>
      <c r="BN196" s="31" t="s">
        <v>165</v>
      </c>
      <c r="BO196" s="31" t="s">
        <v>165</v>
      </c>
      <c r="BP196" s="31" t="s">
        <v>165</v>
      </c>
      <c r="BQ196" s="31" t="s">
        <v>165</v>
      </c>
      <c r="BR196" s="31" t="s">
        <v>165</v>
      </c>
      <c r="BS196" s="31" t="s">
        <v>165</v>
      </c>
      <c r="BT196" s="31" t="s">
        <v>165</v>
      </c>
      <c r="BU196" s="31" t="s">
        <v>165</v>
      </c>
      <c r="BV196" s="31" t="s">
        <v>165</v>
      </c>
      <c r="BW196" s="31" t="s">
        <v>165</v>
      </c>
      <c r="BX196" s="31" t="s">
        <v>165</v>
      </c>
      <c r="BY196" s="31" t="s">
        <v>165</v>
      </c>
      <c r="BZ196" s="31" t="s">
        <v>165</v>
      </c>
      <c r="CA196" s="31" t="s">
        <v>165</v>
      </c>
      <c r="CB196" s="31" t="s">
        <v>165</v>
      </c>
      <c r="CC196" s="31" t="s">
        <v>165</v>
      </c>
      <c r="CD196" s="31" t="s">
        <v>165</v>
      </c>
      <c r="CE196" s="31" t="s">
        <v>165</v>
      </c>
      <c r="CG196" s="15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</row>
    <row r="197" spans="1:106" outlineLevel="1" x14ac:dyDescent="0.2">
      <c r="A197" s="14">
        <v>1</v>
      </c>
      <c r="C197" s="9" t="str">
        <f>IF(SUBTOTAL(109,A197)=A197,"    Lease Liability","    Total Lease Liability")</f>
        <v xml:space="preserve">    Lease Liability</v>
      </c>
      <c r="D197" s="17" t="str">
        <f t="shared" si="40"/>
        <v/>
      </c>
      <c r="E197" s="17" t="str">
        <f t="shared" si="41"/>
        <v/>
      </c>
      <c r="F197" s="17" t="str">
        <f t="shared" si="42"/>
        <v/>
      </c>
      <c r="G197" s="17" t="str">
        <f t="shared" si="43"/>
        <v/>
      </c>
      <c r="H197" s="17" t="str">
        <f t="shared" si="44"/>
        <v/>
      </c>
      <c r="I197" s="17" t="str">
        <f t="shared" si="45"/>
        <v/>
      </c>
      <c r="J197" s="17" t="str">
        <f t="shared" si="46"/>
        <v/>
      </c>
      <c r="K197" s="18" t="str">
        <f t="shared" si="47"/>
        <v/>
      </c>
      <c r="L197" s="21"/>
      <c r="M197" s="21" t="str">
        <f>IF(SUBTOTAL(109,A197)=A197,"",42585)</f>
        <v/>
      </c>
      <c r="N197" s="21"/>
      <c r="O197" s="21"/>
      <c r="P197" s="21"/>
      <c r="Q197" s="21"/>
      <c r="R197" s="21" t="str">
        <f>IF(SUBTOTAL(109,A197)=A197,"","")</f>
        <v/>
      </c>
      <c r="S197" s="21" t="str">
        <f>IF(SUBTOTAL(109,A197)=A197,"","")</f>
        <v/>
      </c>
      <c r="T197" s="21" t="str">
        <f>IF(SUBTOTAL(109,A197)=A197,"",16543)</f>
        <v/>
      </c>
      <c r="U197" s="21" t="str">
        <f>IF(SUBTOTAL(109,A197)=A197,"","")</f>
        <v/>
      </c>
      <c r="V197" s="21" t="str">
        <f>IF(SUBTOTAL(109,A197)=A197,"","")</f>
        <v/>
      </c>
      <c r="W197" s="21" t="str">
        <f>IF(SUBTOTAL(109,A197)=A197,"","")</f>
        <v/>
      </c>
      <c r="X197" s="21" t="str">
        <f>IF(SUBTOTAL(109,A197)=A197,"",15937)</f>
        <v/>
      </c>
      <c r="Y197" s="21" t="str">
        <f>IF(SUBTOTAL(109,A197)=A197,"","")</f>
        <v/>
      </c>
      <c r="Z197" s="21" t="str">
        <f>IF(SUBTOTAL(109,A197)=A197,"","")</f>
        <v/>
      </c>
      <c r="AA197" s="21" t="str">
        <f>IF(SUBTOTAL(109,A197)=A197,"","")</f>
        <v/>
      </c>
      <c r="AB197" s="21" t="str">
        <f>IF(SUBTOTAL(109,A197)=A197,"",15794)</f>
        <v/>
      </c>
      <c r="AC197" s="21" t="str">
        <f>IF(SUBTOTAL(109,A197)=A197,"","")</f>
        <v/>
      </c>
      <c r="AD197" s="21" t="str">
        <f>IF(SUBTOTAL(109,A197)=A197,"","")</f>
        <v/>
      </c>
      <c r="AE197" s="21" t="str">
        <f>IF(SUBTOTAL(109,A197)=A197,"","")</f>
        <v/>
      </c>
      <c r="AF197" s="21" t="str">
        <f>IF(SUBTOTAL(109,A197)=A197,"",3762)</f>
        <v/>
      </c>
      <c r="AG197" s="21" t="str">
        <f>IF(SUBTOTAL(109,A197)=A197,"",2533)</f>
        <v/>
      </c>
      <c r="AH197" s="21" t="str">
        <f>IF(SUBTOTAL(109,A197)=A197,"",2644)</f>
        <v/>
      </c>
      <c r="AI197" s="21" t="str">
        <f>IF(SUBTOTAL(109,A197)=A197,"",2754)</f>
        <v/>
      </c>
      <c r="AJ197" s="21" t="str">
        <f>IF(SUBTOTAL(109,A197)=A197,"",5056)</f>
        <v/>
      </c>
      <c r="AK197" s="21" t="str">
        <f>IF(SUBTOTAL(109,A197)=A197,"",2969)</f>
        <v/>
      </c>
      <c r="AL197" s="21" t="str">
        <f>IF(SUBTOTAL(109,A197)=A197,"","")</f>
        <v/>
      </c>
      <c r="AM197" s="21" t="str">
        <f>IF(SUBTOTAL(109,A197)=A197,"","")</f>
        <v/>
      </c>
      <c r="AN197" s="21" t="str">
        <f>IF(SUBTOTAL(109,A197)=A197,"","")</f>
        <v/>
      </c>
      <c r="AO197" s="21" t="str">
        <f>IF(SUBTOTAL(109,A197)=A197,"","")</f>
        <v/>
      </c>
      <c r="AP197" s="21" t="str">
        <f>IF(SUBTOTAL(109,A197)=A197,"","")</f>
        <v/>
      </c>
      <c r="AQ197" s="21" t="str">
        <f>IF(SUBTOTAL(109,A197)=A197,"","")</f>
        <v/>
      </c>
      <c r="AR197" s="21" t="str">
        <f>IF(SUBTOTAL(109,A197)=A197,"","")</f>
        <v/>
      </c>
      <c r="AS197" s="21" t="str">
        <f>IF(SUBTOTAL(109,A197)=A197,"","")</f>
        <v/>
      </c>
      <c r="AT197" s="21" t="str">
        <f>IF(SUBTOTAL(109,A197)=A197,"","")</f>
        <v/>
      </c>
      <c r="AU197" s="21" t="str">
        <f>IF(SUBTOTAL(109,A197)=A197,"","")</f>
        <v/>
      </c>
      <c r="AV197" s="21" t="str">
        <f>IF(SUBTOTAL(109,A197)=A197,"","")</f>
        <v/>
      </c>
      <c r="AW197" s="21" t="str">
        <f>IF(SUBTOTAL(109,A197)=A197,"","")</f>
        <v/>
      </c>
      <c r="AX197" s="21" t="str">
        <f>IF(SUBTOTAL(109,A197)=A197,"","")</f>
        <v/>
      </c>
      <c r="AY197" s="21" t="str">
        <f>IF(SUBTOTAL(109,A197)=A197,"","")</f>
        <v/>
      </c>
      <c r="AZ197" s="21" t="str">
        <f>IF(SUBTOTAL(109,A197)=A197,"","")</f>
        <v/>
      </c>
      <c r="BA197" s="21" t="str">
        <f>IF(SUBTOTAL(109,A197)=A197,"","")</f>
        <v/>
      </c>
      <c r="BB197" s="21" t="str">
        <f>IF(SUBTOTAL(109,A197)=A197,"","")</f>
        <v/>
      </c>
      <c r="BC197" s="21" t="str">
        <f>IF(SUBTOTAL(109,A197)=A197,"","")</f>
        <v/>
      </c>
      <c r="BD197" s="21" t="str">
        <f>IF(SUBTOTAL(109,A197)=A197,"","")</f>
        <v/>
      </c>
      <c r="BE197" s="21" t="str">
        <f>IF(SUBTOTAL(109,A197)=A197,"","")</f>
        <v/>
      </c>
      <c r="BF197" s="21" t="str">
        <f>IF(SUBTOTAL(109,A197)=A197,"","")</f>
        <v/>
      </c>
      <c r="BG197" s="21" t="str">
        <f>IF(SUBTOTAL(109,A197)=A197,"","")</f>
        <v/>
      </c>
      <c r="BH197" s="21" t="str">
        <f>IF(SUBTOTAL(109,A197)=A197,"","")</f>
        <v/>
      </c>
      <c r="BI197" s="21" t="str">
        <f>IF(SUBTOTAL(109,A197)=A197,"","")</f>
        <v/>
      </c>
      <c r="BJ197" s="21" t="str">
        <f>IF(SUBTOTAL(109,A197)=A197,"","")</f>
        <v/>
      </c>
      <c r="BK197" s="21" t="str">
        <f>IF(SUBTOTAL(109,A197)=A197,"","")</f>
        <v/>
      </c>
      <c r="BL197" s="21" t="str">
        <f>IF(SUBTOTAL(109,A197)=A197,"","")</f>
        <v/>
      </c>
      <c r="BM197" s="21" t="str">
        <f>IF(SUBTOTAL(109,A197)=A197,"","")</f>
        <v/>
      </c>
      <c r="BN197" s="21" t="str">
        <f>IF(SUBTOTAL(109,A197)=A197,"","")</f>
        <v/>
      </c>
      <c r="BO197" s="21" t="str">
        <f>IF(SUBTOTAL(109,A197)=A197,"","")</f>
        <v/>
      </c>
      <c r="BP197" s="21" t="str">
        <f>IF(SUBTOTAL(109,A197)=A197,"","")</f>
        <v/>
      </c>
      <c r="BQ197" s="21" t="str">
        <f>IF(SUBTOTAL(109,A197)=A197,"","")</f>
        <v/>
      </c>
      <c r="BR197" s="21" t="str">
        <f>IF(SUBTOTAL(109,A197)=A197,"","")</f>
        <v/>
      </c>
      <c r="BS197" s="21" t="str">
        <f>IF(SUBTOTAL(109,A197)=A197,"","")</f>
        <v/>
      </c>
      <c r="BT197" s="21" t="str">
        <f>IF(SUBTOTAL(109,A197)=A197,"","")</f>
        <v/>
      </c>
      <c r="BU197" s="21" t="str">
        <f>IF(SUBTOTAL(109,A197)=A197,"","")</f>
        <v/>
      </c>
      <c r="BV197" s="21" t="str">
        <f>IF(SUBTOTAL(109,A197)=A197,"","")</f>
        <v/>
      </c>
      <c r="BW197" s="21" t="str">
        <f>IF(SUBTOTAL(109,A197)=A197,"","")</f>
        <v/>
      </c>
      <c r="BX197" s="21" t="str">
        <f>IF(SUBTOTAL(109,A197)=A197,"","")</f>
        <v/>
      </c>
      <c r="BY197" s="21" t="str">
        <f>IF(SUBTOTAL(109,A197)=A197,"","")</f>
        <v/>
      </c>
      <c r="BZ197" s="21" t="str">
        <f>IF(SUBTOTAL(109,A197)=A197,"","")</f>
        <v/>
      </c>
      <c r="CA197" s="21" t="str">
        <f>IF(SUBTOTAL(109,A197)=A197,"","")</f>
        <v/>
      </c>
      <c r="CB197" s="21" t="str">
        <f>IF(SUBTOTAL(109,A197)=A197,"","")</f>
        <v/>
      </c>
      <c r="CC197" s="21" t="str">
        <f>IF(SUBTOTAL(109,A197)=A197,"","")</f>
        <v/>
      </c>
      <c r="CD197" s="21" t="str">
        <f>IF(SUBTOTAL(109,A197)=A197,"","")</f>
        <v/>
      </c>
      <c r="CE197" s="21" t="str">
        <f>IF(SUBTOTAL(109,A197)=A197,"","")</f>
        <v/>
      </c>
      <c r="CG197" s="15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</row>
    <row r="198" spans="1:106" outlineLevel="2" x14ac:dyDescent="0.2">
      <c r="A198" s="14">
        <v>1</v>
      </c>
      <c r="C198" s="9" t="str">
        <f>"        Total Lease Liability - Due in year 1"</f>
        <v xml:space="preserve">        Total Lease Liability - Due in year 1</v>
      </c>
      <c r="D198" s="17">
        <f t="shared" si="40"/>
        <v>2670.75</v>
      </c>
      <c r="E198" s="17">
        <f t="shared" si="41"/>
        <v>2363.4107142857142</v>
      </c>
      <c r="F198" s="17">
        <f t="shared" si="42"/>
        <v>149</v>
      </c>
      <c r="G198" s="17">
        <f t="shared" si="43"/>
        <v>4746</v>
      </c>
      <c r="H198" s="17">
        <f t="shared" si="44"/>
        <v>731.5</v>
      </c>
      <c r="I198" s="17">
        <f t="shared" si="45"/>
        <v>3564.25</v>
      </c>
      <c r="J198" s="17">
        <f t="shared" si="46"/>
        <v>1623.101777720027</v>
      </c>
      <c r="K198" s="18">
        <f t="shared" si="47"/>
        <v>0.68676246913375427</v>
      </c>
      <c r="L198" s="21"/>
      <c r="M198" s="21">
        <v>4746</v>
      </c>
      <c r="N198" s="136">
        <v>2895.5</v>
      </c>
      <c r="O198" s="136">
        <v>2917.25</v>
      </c>
      <c r="P198" s="136">
        <v>3409</v>
      </c>
      <c r="Q198" s="136">
        <v>3938</v>
      </c>
      <c r="R198" s="21" t="s">
        <v>165</v>
      </c>
      <c r="S198" s="21" t="s">
        <v>165</v>
      </c>
      <c r="T198" s="21">
        <v>4455</v>
      </c>
      <c r="U198" s="21" t="s">
        <v>165</v>
      </c>
      <c r="V198" s="21" t="s">
        <v>165</v>
      </c>
      <c r="W198" s="21" t="s">
        <v>165</v>
      </c>
      <c r="X198" s="21">
        <v>3616</v>
      </c>
      <c r="Y198" s="21" t="s">
        <v>165</v>
      </c>
      <c r="Z198" s="21" t="s">
        <v>165</v>
      </c>
      <c r="AA198" s="21" t="s">
        <v>165</v>
      </c>
      <c r="AB198" s="21">
        <v>2446</v>
      </c>
      <c r="AC198" s="21" t="s">
        <v>165</v>
      </c>
      <c r="AD198" s="21" t="s">
        <v>165</v>
      </c>
      <c r="AE198" s="21" t="s">
        <v>165</v>
      </c>
      <c r="AF198" s="21">
        <v>1585</v>
      </c>
      <c r="AG198" s="21">
        <v>149</v>
      </c>
      <c r="AH198" s="21">
        <v>298</v>
      </c>
      <c r="AI198" s="21">
        <v>447</v>
      </c>
      <c r="AJ198" s="21">
        <v>2037</v>
      </c>
      <c r="AK198" s="21">
        <v>149</v>
      </c>
      <c r="AL198" s="21" t="s">
        <v>165</v>
      </c>
      <c r="AM198" s="21" t="s">
        <v>165</v>
      </c>
      <c r="AN198" s="21" t="s">
        <v>165</v>
      </c>
      <c r="AO198" s="21" t="s">
        <v>165</v>
      </c>
      <c r="AP198" s="21" t="s">
        <v>165</v>
      </c>
      <c r="AQ198" s="21" t="s">
        <v>165</v>
      </c>
      <c r="AR198" s="21" t="s">
        <v>165</v>
      </c>
      <c r="AS198" s="21" t="s">
        <v>165</v>
      </c>
      <c r="AT198" s="21" t="s">
        <v>165</v>
      </c>
      <c r="AU198" s="21" t="s">
        <v>165</v>
      </c>
      <c r="AV198" s="21" t="s">
        <v>165</v>
      </c>
      <c r="AW198" s="21" t="s">
        <v>165</v>
      </c>
      <c r="AX198" s="21" t="s">
        <v>165</v>
      </c>
      <c r="AY198" s="21" t="s">
        <v>165</v>
      </c>
      <c r="AZ198" s="21" t="s">
        <v>165</v>
      </c>
      <c r="BA198" s="21" t="s">
        <v>165</v>
      </c>
      <c r="BB198" s="21" t="s">
        <v>165</v>
      </c>
      <c r="BC198" s="21" t="s">
        <v>165</v>
      </c>
      <c r="BD198" s="21" t="s">
        <v>165</v>
      </c>
      <c r="BE198" s="21" t="s">
        <v>165</v>
      </c>
      <c r="BF198" s="21" t="s">
        <v>165</v>
      </c>
      <c r="BG198" s="21" t="s">
        <v>165</v>
      </c>
      <c r="BH198" s="21" t="s">
        <v>165</v>
      </c>
      <c r="BI198" s="21" t="s">
        <v>165</v>
      </c>
      <c r="BJ198" s="21" t="s">
        <v>165</v>
      </c>
      <c r="BK198" s="21" t="s">
        <v>165</v>
      </c>
      <c r="BL198" s="21" t="s">
        <v>165</v>
      </c>
      <c r="BM198" s="21" t="s">
        <v>165</v>
      </c>
      <c r="BN198" s="21" t="s">
        <v>165</v>
      </c>
      <c r="BO198" s="21" t="s">
        <v>165</v>
      </c>
      <c r="BP198" s="21" t="s">
        <v>165</v>
      </c>
      <c r="BQ198" s="21" t="s">
        <v>165</v>
      </c>
      <c r="BR198" s="21" t="s">
        <v>165</v>
      </c>
      <c r="BS198" s="21" t="s">
        <v>165</v>
      </c>
      <c r="BT198" s="21" t="s">
        <v>165</v>
      </c>
      <c r="BU198" s="21" t="s">
        <v>165</v>
      </c>
      <c r="BV198" s="21" t="s">
        <v>165</v>
      </c>
      <c r="BW198" s="21" t="s">
        <v>165</v>
      </c>
      <c r="BX198" s="21" t="s">
        <v>165</v>
      </c>
      <c r="BY198" s="21" t="s">
        <v>165</v>
      </c>
      <c r="BZ198" s="21" t="s">
        <v>165</v>
      </c>
      <c r="CA198" s="21" t="s">
        <v>165</v>
      </c>
      <c r="CB198" s="21" t="s">
        <v>165</v>
      </c>
      <c r="CC198" s="21" t="s">
        <v>165</v>
      </c>
      <c r="CD198" s="21" t="s">
        <v>165</v>
      </c>
      <c r="CE198" s="21" t="s">
        <v>165</v>
      </c>
      <c r="CG198" s="15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</row>
    <row r="199" spans="1:106" outlineLevel="2" x14ac:dyDescent="0.2">
      <c r="A199" s="14">
        <v>1</v>
      </c>
      <c r="C199" s="9" t="str">
        <f>"        Total Lease Liability - Due in year 2"</f>
        <v xml:space="preserve">        Total Lease Liability - Due in year 2</v>
      </c>
      <c r="D199" s="17">
        <f t="shared" si="40"/>
        <v>2022.5</v>
      </c>
      <c r="E199" s="17">
        <f t="shared" si="41"/>
        <v>2346.8928571428573</v>
      </c>
      <c r="F199" s="17">
        <f t="shared" si="42"/>
        <v>596</v>
      </c>
      <c r="G199" s="17">
        <f t="shared" si="43"/>
        <v>4888.5</v>
      </c>
      <c r="H199" s="17">
        <f t="shared" si="44"/>
        <v>637.75</v>
      </c>
      <c r="I199" s="17">
        <f t="shared" si="45"/>
        <v>4104.1875</v>
      </c>
      <c r="J199" s="17">
        <f t="shared" si="46"/>
        <v>1734.2692922444248</v>
      </c>
      <c r="K199" s="18">
        <f t="shared" si="47"/>
        <v>0.73896398251249973</v>
      </c>
      <c r="L199" s="21"/>
      <c r="M199" s="21">
        <v>4742</v>
      </c>
      <c r="N199" s="136">
        <v>4632.75</v>
      </c>
      <c r="O199" s="136">
        <v>4888.5</v>
      </c>
      <c r="P199" s="136">
        <v>4510.25</v>
      </c>
      <c r="Q199" s="136">
        <v>2864</v>
      </c>
      <c r="R199" s="21" t="s">
        <v>165</v>
      </c>
      <c r="S199" s="21" t="s">
        <v>165</v>
      </c>
      <c r="T199" s="21">
        <v>2886</v>
      </c>
      <c r="U199" s="21" t="s">
        <v>165</v>
      </c>
      <c r="V199" s="21" t="s">
        <v>165</v>
      </c>
      <c r="W199" s="21" t="s">
        <v>165</v>
      </c>
      <c r="X199" s="21">
        <v>2070</v>
      </c>
      <c r="Y199" s="21" t="s">
        <v>165</v>
      </c>
      <c r="Z199" s="21" t="s">
        <v>165</v>
      </c>
      <c r="AA199" s="21" t="s">
        <v>165</v>
      </c>
      <c r="AB199" s="21">
        <v>1975</v>
      </c>
      <c r="AC199" s="21" t="s">
        <v>165</v>
      </c>
      <c r="AD199" s="21" t="s">
        <v>165</v>
      </c>
      <c r="AE199" s="21" t="s">
        <v>165</v>
      </c>
      <c r="AF199" s="21">
        <v>763</v>
      </c>
      <c r="AG199" s="21">
        <v>596</v>
      </c>
      <c r="AH199" s="21">
        <v>596</v>
      </c>
      <c r="AI199" s="21">
        <v>596</v>
      </c>
      <c r="AJ199" s="21">
        <v>1141</v>
      </c>
      <c r="AK199" s="21">
        <v>596</v>
      </c>
      <c r="AL199" s="21" t="s">
        <v>165</v>
      </c>
      <c r="AM199" s="21" t="s">
        <v>165</v>
      </c>
      <c r="AN199" s="21" t="s">
        <v>165</v>
      </c>
      <c r="AO199" s="21" t="s">
        <v>165</v>
      </c>
      <c r="AP199" s="21" t="s">
        <v>165</v>
      </c>
      <c r="AQ199" s="21" t="s">
        <v>165</v>
      </c>
      <c r="AR199" s="21" t="s">
        <v>165</v>
      </c>
      <c r="AS199" s="21" t="s">
        <v>165</v>
      </c>
      <c r="AT199" s="21" t="s">
        <v>165</v>
      </c>
      <c r="AU199" s="21" t="s">
        <v>165</v>
      </c>
      <c r="AV199" s="21" t="s">
        <v>165</v>
      </c>
      <c r="AW199" s="21" t="s">
        <v>165</v>
      </c>
      <c r="AX199" s="21" t="s">
        <v>165</v>
      </c>
      <c r="AY199" s="21" t="s">
        <v>165</v>
      </c>
      <c r="AZ199" s="21" t="s">
        <v>165</v>
      </c>
      <c r="BA199" s="21" t="s">
        <v>165</v>
      </c>
      <c r="BB199" s="21" t="s">
        <v>165</v>
      </c>
      <c r="BC199" s="21" t="s">
        <v>165</v>
      </c>
      <c r="BD199" s="21" t="s">
        <v>165</v>
      </c>
      <c r="BE199" s="21" t="s">
        <v>165</v>
      </c>
      <c r="BF199" s="21" t="s">
        <v>165</v>
      </c>
      <c r="BG199" s="21" t="s">
        <v>165</v>
      </c>
      <c r="BH199" s="21" t="s">
        <v>165</v>
      </c>
      <c r="BI199" s="21" t="s">
        <v>165</v>
      </c>
      <c r="BJ199" s="21" t="s">
        <v>165</v>
      </c>
      <c r="BK199" s="21" t="s">
        <v>165</v>
      </c>
      <c r="BL199" s="21" t="s">
        <v>165</v>
      </c>
      <c r="BM199" s="21" t="s">
        <v>165</v>
      </c>
      <c r="BN199" s="21" t="s">
        <v>165</v>
      </c>
      <c r="BO199" s="21" t="s">
        <v>165</v>
      </c>
      <c r="BP199" s="21" t="s">
        <v>165</v>
      </c>
      <c r="BQ199" s="21" t="s">
        <v>165</v>
      </c>
      <c r="BR199" s="21" t="s">
        <v>165</v>
      </c>
      <c r="BS199" s="21" t="s">
        <v>165</v>
      </c>
      <c r="BT199" s="21" t="s">
        <v>165</v>
      </c>
      <c r="BU199" s="21" t="s">
        <v>165</v>
      </c>
      <c r="BV199" s="21" t="s">
        <v>165</v>
      </c>
      <c r="BW199" s="21" t="s">
        <v>165</v>
      </c>
      <c r="BX199" s="21" t="s">
        <v>165</v>
      </c>
      <c r="BY199" s="21" t="s">
        <v>165</v>
      </c>
      <c r="BZ199" s="21" t="s">
        <v>165</v>
      </c>
      <c r="CA199" s="21" t="s">
        <v>165</v>
      </c>
      <c r="CB199" s="21" t="s">
        <v>165</v>
      </c>
      <c r="CC199" s="21" t="s">
        <v>165</v>
      </c>
      <c r="CD199" s="21" t="s">
        <v>165</v>
      </c>
      <c r="CE199" s="21" t="s">
        <v>165</v>
      </c>
      <c r="CG199" s="15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</row>
    <row r="200" spans="1:106" outlineLevel="2" x14ac:dyDescent="0.2">
      <c r="A200" s="14">
        <v>1</v>
      </c>
      <c r="C200" s="9" t="str">
        <f>"        Total Lease Liability - Due in year 3"</f>
        <v xml:space="preserve">        Total Lease Liability - Due in year 3</v>
      </c>
      <c r="D200" s="17">
        <f t="shared" si="40"/>
        <v>1921</v>
      </c>
      <c r="E200" s="17">
        <f t="shared" si="41"/>
        <v>2209.9464285714284</v>
      </c>
      <c r="F200" s="17">
        <f t="shared" si="42"/>
        <v>596</v>
      </c>
      <c r="G200" s="17">
        <f t="shared" si="43"/>
        <v>4762</v>
      </c>
      <c r="H200" s="17">
        <f t="shared" si="44"/>
        <v>620.75</v>
      </c>
      <c r="I200" s="17">
        <f t="shared" si="45"/>
        <v>3311.5</v>
      </c>
      <c r="J200" s="17">
        <f t="shared" si="46"/>
        <v>1585.3201514161938</v>
      </c>
      <c r="K200" s="18">
        <f t="shared" si="47"/>
        <v>0.71735682409323798</v>
      </c>
      <c r="L200" s="21"/>
      <c r="M200" s="21">
        <v>3504</v>
      </c>
      <c r="N200" s="136">
        <v>4672.75</v>
      </c>
      <c r="O200" s="136">
        <v>4762</v>
      </c>
      <c r="P200" s="136">
        <v>4420.5</v>
      </c>
      <c r="Q200" s="136">
        <v>2734</v>
      </c>
      <c r="R200" s="21" t="s">
        <v>165</v>
      </c>
      <c r="S200" s="21" t="s">
        <v>165</v>
      </c>
      <c r="T200" s="21">
        <v>2319</v>
      </c>
      <c r="U200" s="21" t="s">
        <v>165</v>
      </c>
      <c r="V200" s="21" t="s">
        <v>165</v>
      </c>
      <c r="W200" s="21" t="s">
        <v>165</v>
      </c>
      <c r="X200" s="21">
        <v>1923</v>
      </c>
      <c r="Y200" s="21" t="s">
        <v>165</v>
      </c>
      <c r="Z200" s="21" t="s">
        <v>165</v>
      </c>
      <c r="AA200" s="21" t="s">
        <v>165</v>
      </c>
      <c r="AB200" s="21">
        <v>1919</v>
      </c>
      <c r="AC200" s="21" t="s">
        <v>165</v>
      </c>
      <c r="AD200" s="21" t="s">
        <v>165</v>
      </c>
      <c r="AE200" s="21" t="s">
        <v>165</v>
      </c>
      <c r="AF200" s="21">
        <v>1606</v>
      </c>
      <c r="AG200" s="21">
        <v>596</v>
      </c>
      <c r="AH200" s="21">
        <v>596</v>
      </c>
      <c r="AI200" s="21">
        <v>596</v>
      </c>
      <c r="AJ200" s="21">
        <v>695</v>
      </c>
      <c r="AK200" s="21">
        <v>596</v>
      </c>
      <c r="AL200" s="21" t="s">
        <v>165</v>
      </c>
      <c r="AM200" s="21" t="s">
        <v>165</v>
      </c>
      <c r="AN200" s="21" t="s">
        <v>165</v>
      </c>
      <c r="AO200" s="21" t="s">
        <v>165</v>
      </c>
      <c r="AP200" s="21" t="s">
        <v>165</v>
      </c>
      <c r="AQ200" s="21" t="s">
        <v>165</v>
      </c>
      <c r="AR200" s="21" t="s">
        <v>165</v>
      </c>
      <c r="AS200" s="21" t="s">
        <v>165</v>
      </c>
      <c r="AT200" s="21" t="s">
        <v>165</v>
      </c>
      <c r="AU200" s="21" t="s">
        <v>165</v>
      </c>
      <c r="AV200" s="21" t="s">
        <v>165</v>
      </c>
      <c r="AW200" s="21" t="s">
        <v>165</v>
      </c>
      <c r="AX200" s="21" t="s">
        <v>165</v>
      </c>
      <c r="AY200" s="21" t="s">
        <v>165</v>
      </c>
      <c r="AZ200" s="21" t="s">
        <v>165</v>
      </c>
      <c r="BA200" s="21" t="s">
        <v>165</v>
      </c>
      <c r="BB200" s="21" t="s">
        <v>165</v>
      </c>
      <c r="BC200" s="21" t="s">
        <v>165</v>
      </c>
      <c r="BD200" s="21" t="s">
        <v>165</v>
      </c>
      <c r="BE200" s="21" t="s">
        <v>165</v>
      </c>
      <c r="BF200" s="21" t="s">
        <v>165</v>
      </c>
      <c r="BG200" s="21" t="s">
        <v>165</v>
      </c>
      <c r="BH200" s="21" t="s">
        <v>165</v>
      </c>
      <c r="BI200" s="21" t="s">
        <v>165</v>
      </c>
      <c r="BJ200" s="21" t="s">
        <v>165</v>
      </c>
      <c r="BK200" s="21" t="s">
        <v>165</v>
      </c>
      <c r="BL200" s="21" t="s">
        <v>165</v>
      </c>
      <c r="BM200" s="21" t="s">
        <v>165</v>
      </c>
      <c r="BN200" s="21" t="s">
        <v>165</v>
      </c>
      <c r="BO200" s="21" t="s">
        <v>165</v>
      </c>
      <c r="BP200" s="21" t="s">
        <v>165</v>
      </c>
      <c r="BQ200" s="21" t="s">
        <v>165</v>
      </c>
      <c r="BR200" s="21" t="s">
        <v>165</v>
      </c>
      <c r="BS200" s="21" t="s">
        <v>165</v>
      </c>
      <c r="BT200" s="21" t="s">
        <v>165</v>
      </c>
      <c r="BU200" s="21" t="s">
        <v>165</v>
      </c>
      <c r="BV200" s="21" t="s">
        <v>165</v>
      </c>
      <c r="BW200" s="21" t="s">
        <v>165</v>
      </c>
      <c r="BX200" s="21" t="s">
        <v>165</v>
      </c>
      <c r="BY200" s="21" t="s">
        <v>165</v>
      </c>
      <c r="BZ200" s="21" t="s">
        <v>165</v>
      </c>
      <c r="CA200" s="21" t="s">
        <v>165</v>
      </c>
      <c r="CB200" s="21" t="s">
        <v>165</v>
      </c>
      <c r="CC200" s="21" t="s">
        <v>165</v>
      </c>
      <c r="CD200" s="21" t="s">
        <v>165</v>
      </c>
      <c r="CE200" s="21" t="s">
        <v>165</v>
      </c>
      <c r="CG200" s="15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</row>
    <row r="201" spans="1:106" outlineLevel="2" x14ac:dyDescent="0.2">
      <c r="A201" s="14">
        <v>1</v>
      </c>
      <c r="C201" s="9" t="str">
        <f>"        Total Lease Liability - Due in year 4"</f>
        <v xml:space="preserve">        Total Lease Liability - Due in year 4</v>
      </c>
      <c r="D201" s="17">
        <f t="shared" si="40"/>
        <v>1853</v>
      </c>
      <c r="E201" s="17">
        <f t="shared" si="41"/>
        <v>2204.25</v>
      </c>
      <c r="F201" s="17">
        <f t="shared" si="42"/>
        <v>64</v>
      </c>
      <c r="G201" s="17">
        <f t="shared" si="43"/>
        <v>4358.5</v>
      </c>
      <c r="H201" s="17">
        <f t="shared" si="44"/>
        <v>1493</v>
      </c>
      <c r="I201" s="17">
        <f t="shared" si="45"/>
        <v>3255</v>
      </c>
      <c r="J201" s="17">
        <f t="shared" si="46"/>
        <v>1314.435616675315</v>
      </c>
      <c r="K201" s="18">
        <f t="shared" si="47"/>
        <v>0.59631875543850066</v>
      </c>
      <c r="L201" s="21"/>
      <c r="M201" s="21">
        <v>3537</v>
      </c>
      <c r="N201" s="136">
        <v>3799.5</v>
      </c>
      <c r="O201" s="136">
        <v>4230.5</v>
      </c>
      <c r="P201" s="136">
        <v>4358.5</v>
      </c>
      <c r="Q201" s="136">
        <v>2409</v>
      </c>
      <c r="R201" s="21" t="s">
        <v>165</v>
      </c>
      <c r="S201" s="21" t="s">
        <v>165</v>
      </c>
      <c r="T201" s="21">
        <v>2108</v>
      </c>
      <c r="U201" s="21" t="s">
        <v>165</v>
      </c>
      <c r="V201" s="21" t="s">
        <v>165</v>
      </c>
      <c r="W201" s="21" t="s">
        <v>165</v>
      </c>
      <c r="X201" s="21">
        <v>1926</v>
      </c>
      <c r="Y201" s="21" t="s">
        <v>165</v>
      </c>
      <c r="Z201" s="21" t="s">
        <v>165</v>
      </c>
      <c r="AA201" s="21" t="s">
        <v>165</v>
      </c>
      <c r="AB201" s="21">
        <v>1780</v>
      </c>
      <c r="AC201" s="21" t="s">
        <v>165</v>
      </c>
      <c r="AD201" s="21" t="s">
        <v>165</v>
      </c>
      <c r="AE201" s="21" t="s">
        <v>165</v>
      </c>
      <c r="AF201" s="21">
        <v>64</v>
      </c>
      <c r="AG201" s="21">
        <v>1493</v>
      </c>
      <c r="AH201" s="21">
        <v>1493</v>
      </c>
      <c r="AI201" s="21">
        <v>1493</v>
      </c>
      <c r="AJ201" s="21">
        <v>1572</v>
      </c>
      <c r="AK201" s="21">
        <v>596</v>
      </c>
      <c r="AL201" s="21" t="s">
        <v>165</v>
      </c>
      <c r="AM201" s="21" t="s">
        <v>165</v>
      </c>
      <c r="AN201" s="21" t="s">
        <v>165</v>
      </c>
      <c r="AO201" s="21" t="s">
        <v>165</v>
      </c>
      <c r="AP201" s="21" t="s">
        <v>165</v>
      </c>
      <c r="AQ201" s="21" t="s">
        <v>165</v>
      </c>
      <c r="AR201" s="21" t="s">
        <v>165</v>
      </c>
      <c r="AS201" s="21" t="s">
        <v>165</v>
      </c>
      <c r="AT201" s="21" t="s">
        <v>165</v>
      </c>
      <c r="AU201" s="21" t="s">
        <v>165</v>
      </c>
      <c r="AV201" s="21" t="s">
        <v>165</v>
      </c>
      <c r="AW201" s="21" t="s">
        <v>165</v>
      </c>
      <c r="AX201" s="21" t="s">
        <v>165</v>
      </c>
      <c r="AY201" s="21" t="s">
        <v>165</v>
      </c>
      <c r="AZ201" s="21" t="s">
        <v>165</v>
      </c>
      <c r="BA201" s="21" t="s">
        <v>165</v>
      </c>
      <c r="BB201" s="21" t="s">
        <v>165</v>
      </c>
      <c r="BC201" s="21" t="s">
        <v>165</v>
      </c>
      <c r="BD201" s="21" t="s">
        <v>165</v>
      </c>
      <c r="BE201" s="21" t="s">
        <v>165</v>
      </c>
      <c r="BF201" s="21" t="s">
        <v>165</v>
      </c>
      <c r="BG201" s="21" t="s">
        <v>165</v>
      </c>
      <c r="BH201" s="21" t="s">
        <v>165</v>
      </c>
      <c r="BI201" s="21" t="s">
        <v>165</v>
      </c>
      <c r="BJ201" s="21" t="s">
        <v>165</v>
      </c>
      <c r="BK201" s="21" t="s">
        <v>165</v>
      </c>
      <c r="BL201" s="21" t="s">
        <v>165</v>
      </c>
      <c r="BM201" s="21" t="s">
        <v>165</v>
      </c>
      <c r="BN201" s="21" t="s">
        <v>165</v>
      </c>
      <c r="BO201" s="21" t="s">
        <v>165</v>
      </c>
      <c r="BP201" s="21" t="s">
        <v>165</v>
      </c>
      <c r="BQ201" s="21" t="s">
        <v>165</v>
      </c>
      <c r="BR201" s="21" t="s">
        <v>165</v>
      </c>
      <c r="BS201" s="21" t="s">
        <v>165</v>
      </c>
      <c r="BT201" s="21" t="s">
        <v>165</v>
      </c>
      <c r="BU201" s="21" t="s">
        <v>165</v>
      </c>
      <c r="BV201" s="21" t="s">
        <v>165</v>
      </c>
      <c r="BW201" s="21" t="s">
        <v>165</v>
      </c>
      <c r="BX201" s="21" t="s">
        <v>165</v>
      </c>
      <c r="BY201" s="21" t="s">
        <v>165</v>
      </c>
      <c r="BZ201" s="21" t="s">
        <v>165</v>
      </c>
      <c r="CA201" s="21" t="s">
        <v>165</v>
      </c>
      <c r="CB201" s="21" t="s">
        <v>165</v>
      </c>
      <c r="CC201" s="21" t="s">
        <v>165</v>
      </c>
      <c r="CD201" s="21" t="s">
        <v>165</v>
      </c>
      <c r="CE201" s="21" t="s">
        <v>165</v>
      </c>
      <c r="CG201" s="15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</row>
    <row r="202" spans="1:106" outlineLevel="2" x14ac:dyDescent="0.2">
      <c r="A202" s="14">
        <v>1</v>
      </c>
      <c r="C202" s="9" t="str">
        <f>"        Total Lease Liability - Due in year 5"</f>
        <v xml:space="preserve">        Total Lease Liability - Due in year 5</v>
      </c>
      <c r="D202" s="17">
        <f t="shared" si="40"/>
        <v>1990</v>
      </c>
      <c r="E202" s="17">
        <f t="shared" si="41"/>
        <v>2121.068181818182</v>
      </c>
      <c r="F202" s="17">
        <f t="shared" si="42"/>
        <v>9</v>
      </c>
      <c r="G202" s="17">
        <f t="shared" si="43"/>
        <v>3886.75</v>
      </c>
      <c r="H202" s="17">
        <f t="shared" si="44"/>
        <v>1628.5</v>
      </c>
      <c r="I202" s="17">
        <f t="shared" si="45"/>
        <v>3286.5</v>
      </c>
      <c r="J202" s="17">
        <f t="shared" si="46"/>
        <v>1322.8116839279744</v>
      </c>
      <c r="K202" s="18">
        <f t="shared" si="47"/>
        <v>0.62365354177066523</v>
      </c>
      <c r="L202" s="21"/>
      <c r="M202" s="21">
        <v>3564</v>
      </c>
      <c r="N202" s="136">
        <v>3533.5</v>
      </c>
      <c r="O202" s="136">
        <v>3039.5</v>
      </c>
      <c r="P202" s="136">
        <v>3886.75</v>
      </c>
      <c r="Q202" s="136">
        <v>2189</v>
      </c>
      <c r="R202" s="21" t="s">
        <v>165</v>
      </c>
      <c r="S202" s="21" t="s">
        <v>165</v>
      </c>
      <c r="T202" s="21">
        <v>1990</v>
      </c>
      <c r="U202" s="21" t="s">
        <v>165</v>
      </c>
      <c r="V202" s="21" t="s">
        <v>165</v>
      </c>
      <c r="W202" s="21" t="s">
        <v>165</v>
      </c>
      <c r="X202" s="21">
        <v>1833</v>
      </c>
      <c r="Y202" s="21" t="s">
        <v>165</v>
      </c>
      <c r="Z202" s="21" t="s">
        <v>165</v>
      </c>
      <c r="AA202" s="21" t="s">
        <v>165</v>
      </c>
      <c r="AB202" s="21">
        <v>1764</v>
      </c>
      <c r="AC202" s="21" t="s">
        <v>165</v>
      </c>
      <c r="AD202" s="21" t="s">
        <v>165</v>
      </c>
      <c r="AE202" s="21" t="s">
        <v>165</v>
      </c>
      <c r="AF202" s="21">
        <v>9</v>
      </c>
      <c r="AG202" s="21" t="s">
        <v>165</v>
      </c>
      <c r="AH202" s="21" t="s">
        <v>165</v>
      </c>
      <c r="AI202" s="21" t="s">
        <v>165</v>
      </c>
      <c r="AJ202" s="21">
        <v>30</v>
      </c>
      <c r="AK202" s="21">
        <v>1493</v>
      </c>
      <c r="AL202" s="21" t="s">
        <v>165</v>
      </c>
      <c r="AM202" s="21" t="s">
        <v>165</v>
      </c>
      <c r="AN202" s="21" t="s">
        <v>165</v>
      </c>
      <c r="AO202" s="21" t="s">
        <v>165</v>
      </c>
      <c r="AP202" s="21" t="s">
        <v>165</v>
      </c>
      <c r="AQ202" s="21" t="s">
        <v>165</v>
      </c>
      <c r="AR202" s="21" t="s">
        <v>165</v>
      </c>
      <c r="AS202" s="21" t="s">
        <v>165</v>
      </c>
      <c r="AT202" s="21" t="s">
        <v>165</v>
      </c>
      <c r="AU202" s="21" t="s">
        <v>165</v>
      </c>
      <c r="AV202" s="21" t="s">
        <v>165</v>
      </c>
      <c r="AW202" s="21" t="s">
        <v>165</v>
      </c>
      <c r="AX202" s="21" t="s">
        <v>165</v>
      </c>
      <c r="AY202" s="21" t="s">
        <v>165</v>
      </c>
      <c r="AZ202" s="21" t="s">
        <v>165</v>
      </c>
      <c r="BA202" s="21" t="s">
        <v>165</v>
      </c>
      <c r="BB202" s="21" t="s">
        <v>165</v>
      </c>
      <c r="BC202" s="21" t="s">
        <v>165</v>
      </c>
      <c r="BD202" s="21" t="s">
        <v>165</v>
      </c>
      <c r="BE202" s="21" t="s">
        <v>165</v>
      </c>
      <c r="BF202" s="21" t="s">
        <v>165</v>
      </c>
      <c r="BG202" s="21" t="s">
        <v>165</v>
      </c>
      <c r="BH202" s="21" t="s">
        <v>165</v>
      </c>
      <c r="BI202" s="21" t="s">
        <v>165</v>
      </c>
      <c r="BJ202" s="21" t="s">
        <v>165</v>
      </c>
      <c r="BK202" s="21" t="s">
        <v>165</v>
      </c>
      <c r="BL202" s="21" t="s">
        <v>165</v>
      </c>
      <c r="BM202" s="21" t="s">
        <v>165</v>
      </c>
      <c r="BN202" s="21" t="s">
        <v>165</v>
      </c>
      <c r="BO202" s="21" t="s">
        <v>165</v>
      </c>
      <c r="BP202" s="21" t="s">
        <v>165</v>
      </c>
      <c r="BQ202" s="21" t="s">
        <v>165</v>
      </c>
      <c r="BR202" s="21" t="s">
        <v>165</v>
      </c>
      <c r="BS202" s="21" t="s">
        <v>165</v>
      </c>
      <c r="BT202" s="21" t="s">
        <v>165</v>
      </c>
      <c r="BU202" s="21" t="s">
        <v>165</v>
      </c>
      <c r="BV202" s="21" t="s">
        <v>165</v>
      </c>
      <c r="BW202" s="21" t="s">
        <v>165</v>
      </c>
      <c r="BX202" s="21" t="s">
        <v>165</v>
      </c>
      <c r="BY202" s="21" t="s">
        <v>165</v>
      </c>
      <c r="BZ202" s="21" t="s">
        <v>165</v>
      </c>
      <c r="CA202" s="21" t="s">
        <v>165</v>
      </c>
      <c r="CB202" s="21" t="s">
        <v>165</v>
      </c>
      <c r="CC202" s="21" t="s">
        <v>165</v>
      </c>
      <c r="CD202" s="21" t="s">
        <v>165</v>
      </c>
      <c r="CE202" s="21" t="s">
        <v>165</v>
      </c>
      <c r="CG202" s="15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</row>
    <row r="203" spans="1:106" outlineLevel="2" x14ac:dyDescent="0.2">
      <c r="A203" s="14">
        <v>1</v>
      </c>
      <c r="C203" s="9" t="str">
        <f>"        Total Lease Liability - Beyond"</f>
        <v xml:space="preserve">        Total Lease Liability - Beyond</v>
      </c>
      <c r="D203" s="17">
        <f t="shared" si="40"/>
        <v>22036.625</v>
      </c>
      <c r="E203" s="17">
        <f t="shared" si="41"/>
        <v>25207.6875</v>
      </c>
      <c r="F203" s="17">
        <f t="shared" si="42"/>
        <v>2149</v>
      </c>
      <c r="G203" s="17">
        <f t="shared" si="43"/>
        <v>58868.25</v>
      </c>
      <c r="H203" s="17">
        <f t="shared" si="44"/>
        <v>4123</v>
      </c>
      <c r="I203" s="17">
        <f t="shared" si="45"/>
        <v>43494.75</v>
      </c>
      <c r="J203" s="17">
        <f t="shared" si="46"/>
        <v>23593.046129992716</v>
      </c>
      <c r="K203" s="18">
        <f t="shared" si="47"/>
        <v>0.93594646990100605</v>
      </c>
      <c r="L203" s="21"/>
      <c r="M203" s="21">
        <v>42381</v>
      </c>
      <c r="N203" s="136">
        <v>46836</v>
      </c>
      <c r="O203" s="136">
        <v>38163.25</v>
      </c>
      <c r="P203" s="136">
        <v>58868.25</v>
      </c>
      <c r="Q203" s="136">
        <v>2149</v>
      </c>
      <c r="R203" s="21" t="s">
        <v>165</v>
      </c>
      <c r="S203" s="21" t="s">
        <v>165</v>
      </c>
      <c r="T203" s="21">
        <v>2785</v>
      </c>
      <c r="U203" s="21" t="s">
        <v>165</v>
      </c>
      <c r="V203" s="21" t="s">
        <v>165</v>
      </c>
      <c r="W203" s="21" t="s">
        <v>165</v>
      </c>
      <c r="X203" s="21">
        <v>4569</v>
      </c>
      <c r="Y203" s="21" t="s">
        <v>165</v>
      </c>
      <c r="Z203" s="21" t="s">
        <v>165</v>
      </c>
      <c r="AA203" s="21" t="s">
        <v>165</v>
      </c>
      <c r="AB203" s="21">
        <v>5910</v>
      </c>
      <c r="AC203" s="21" t="s">
        <v>165</v>
      </c>
      <c r="AD203" s="21" t="s">
        <v>165</v>
      </c>
      <c r="AE203" s="21" t="s">
        <v>165</v>
      </c>
      <c r="AF203" s="21" t="s">
        <v>165</v>
      </c>
      <c r="AG203" s="21" t="s">
        <v>165</v>
      </c>
      <c r="AH203" s="21" t="s">
        <v>165</v>
      </c>
      <c r="AI203" s="21" t="s">
        <v>165</v>
      </c>
      <c r="AJ203" s="21" t="s">
        <v>165</v>
      </c>
      <c r="AK203" s="21" t="s">
        <v>165</v>
      </c>
      <c r="AL203" s="21" t="s">
        <v>165</v>
      </c>
      <c r="AM203" s="21" t="s">
        <v>165</v>
      </c>
      <c r="AN203" s="21" t="s">
        <v>165</v>
      </c>
      <c r="AO203" s="21" t="s">
        <v>165</v>
      </c>
      <c r="AP203" s="21" t="s">
        <v>165</v>
      </c>
      <c r="AQ203" s="21" t="s">
        <v>165</v>
      </c>
      <c r="AR203" s="21" t="s">
        <v>165</v>
      </c>
      <c r="AS203" s="21" t="s">
        <v>165</v>
      </c>
      <c r="AT203" s="21" t="s">
        <v>165</v>
      </c>
      <c r="AU203" s="21" t="s">
        <v>165</v>
      </c>
      <c r="AV203" s="21" t="s">
        <v>165</v>
      </c>
      <c r="AW203" s="21" t="s">
        <v>165</v>
      </c>
      <c r="AX203" s="21" t="s">
        <v>165</v>
      </c>
      <c r="AY203" s="21" t="s">
        <v>165</v>
      </c>
      <c r="AZ203" s="21" t="s">
        <v>165</v>
      </c>
      <c r="BA203" s="21" t="s">
        <v>165</v>
      </c>
      <c r="BB203" s="21" t="s">
        <v>165</v>
      </c>
      <c r="BC203" s="21" t="s">
        <v>165</v>
      </c>
      <c r="BD203" s="21" t="s">
        <v>165</v>
      </c>
      <c r="BE203" s="21" t="s">
        <v>165</v>
      </c>
      <c r="BF203" s="21" t="s">
        <v>165</v>
      </c>
      <c r="BG203" s="21" t="s">
        <v>165</v>
      </c>
      <c r="BH203" s="21" t="s">
        <v>165</v>
      </c>
      <c r="BI203" s="21" t="s">
        <v>165</v>
      </c>
      <c r="BJ203" s="21" t="s">
        <v>165</v>
      </c>
      <c r="BK203" s="21" t="s">
        <v>165</v>
      </c>
      <c r="BL203" s="21" t="s">
        <v>165</v>
      </c>
      <c r="BM203" s="21" t="s">
        <v>165</v>
      </c>
      <c r="BN203" s="21" t="s">
        <v>165</v>
      </c>
      <c r="BO203" s="21" t="s">
        <v>165</v>
      </c>
      <c r="BP203" s="21" t="s">
        <v>165</v>
      </c>
      <c r="BQ203" s="21" t="s">
        <v>165</v>
      </c>
      <c r="BR203" s="21" t="s">
        <v>165</v>
      </c>
      <c r="BS203" s="21" t="s">
        <v>165</v>
      </c>
      <c r="BT203" s="21" t="s">
        <v>165</v>
      </c>
      <c r="BU203" s="21" t="s">
        <v>165</v>
      </c>
      <c r="BV203" s="21" t="s">
        <v>165</v>
      </c>
      <c r="BW203" s="21" t="s">
        <v>165</v>
      </c>
      <c r="BX203" s="21" t="s">
        <v>165</v>
      </c>
      <c r="BY203" s="21" t="s">
        <v>165</v>
      </c>
      <c r="BZ203" s="21" t="s">
        <v>165</v>
      </c>
      <c r="CA203" s="21" t="s">
        <v>165</v>
      </c>
      <c r="CB203" s="21" t="s">
        <v>165</v>
      </c>
      <c r="CC203" s="21" t="s">
        <v>165</v>
      </c>
      <c r="CD203" s="21" t="s">
        <v>165</v>
      </c>
      <c r="CE203" s="21" t="s">
        <v>165</v>
      </c>
      <c r="CG203" s="15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</row>
    <row r="204" spans="1:106" outlineLevel="2" x14ac:dyDescent="0.2">
      <c r="A204" s="14">
        <v>1</v>
      </c>
      <c r="C204" s="9" t="str">
        <f>"        Total Lease Liability - Interest Charges and Other Adjustments"</f>
        <v xml:space="preserve">        Total Lease Liability - Interest Charges and Other Adjustments</v>
      </c>
      <c r="D204" s="17">
        <f t="shared" si="40"/>
        <v>-440</v>
      </c>
      <c r="E204" s="17">
        <f t="shared" si="41"/>
        <v>-9152.15</v>
      </c>
      <c r="F204" s="17">
        <f t="shared" si="42"/>
        <v>-29090.25</v>
      </c>
      <c r="G204" s="17">
        <f t="shared" si="43"/>
        <v>-265</v>
      </c>
      <c r="H204" s="17">
        <f t="shared" si="44"/>
        <v>-19555.5625</v>
      </c>
      <c r="I204" s="17">
        <f t="shared" si="45"/>
        <v>-348.75</v>
      </c>
      <c r="J204" s="17">
        <f t="shared" si="46"/>
        <v>11669.463766600418</v>
      </c>
      <c r="K204" s="18">
        <f t="shared" si="47"/>
        <v>-1.275051629027105</v>
      </c>
      <c r="L204" s="21"/>
      <c r="M204" s="21">
        <v>-19889</v>
      </c>
      <c r="N204" s="133">
        <v>-21824</v>
      </c>
      <c r="O204" s="133">
        <v>-18555.25</v>
      </c>
      <c r="P204" s="133">
        <v>-29090.25</v>
      </c>
      <c r="Q204" s="133"/>
      <c r="R204" s="21" t="s">
        <v>165</v>
      </c>
      <c r="S204" s="21" t="s">
        <v>165</v>
      </c>
      <c r="T204" s="21" t="s">
        <v>165</v>
      </c>
      <c r="U204" s="21" t="s">
        <v>165</v>
      </c>
      <c r="V204" s="21" t="s">
        <v>165</v>
      </c>
      <c r="W204" s="21" t="s">
        <v>165</v>
      </c>
      <c r="X204" s="21" t="s">
        <v>165</v>
      </c>
      <c r="Y204" s="21" t="s">
        <v>165</v>
      </c>
      <c r="Z204" s="21" t="s">
        <v>165</v>
      </c>
      <c r="AA204" s="21" t="s">
        <v>165</v>
      </c>
      <c r="AB204" s="21" t="s">
        <v>165</v>
      </c>
      <c r="AC204" s="21" t="s">
        <v>165</v>
      </c>
      <c r="AD204" s="21" t="s">
        <v>165</v>
      </c>
      <c r="AE204" s="21" t="s">
        <v>165</v>
      </c>
      <c r="AF204" s="21">
        <v>-265</v>
      </c>
      <c r="AG204" s="21">
        <v>-301</v>
      </c>
      <c r="AH204" s="21">
        <v>-339</v>
      </c>
      <c r="AI204" s="21">
        <v>-378</v>
      </c>
      <c r="AJ204" s="21">
        <v>-419</v>
      </c>
      <c r="AK204" s="21">
        <v>-461</v>
      </c>
      <c r="AL204" s="21" t="s">
        <v>165</v>
      </c>
      <c r="AM204" s="21" t="s">
        <v>165</v>
      </c>
      <c r="AN204" s="21" t="s">
        <v>165</v>
      </c>
      <c r="AO204" s="21" t="s">
        <v>165</v>
      </c>
      <c r="AP204" s="21" t="s">
        <v>165</v>
      </c>
      <c r="AQ204" s="21" t="s">
        <v>165</v>
      </c>
      <c r="AR204" s="21" t="s">
        <v>165</v>
      </c>
      <c r="AS204" s="21" t="s">
        <v>165</v>
      </c>
      <c r="AT204" s="21" t="s">
        <v>165</v>
      </c>
      <c r="AU204" s="21" t="s">
        <v>165</v>
      </c>
      <c r="AV204" s="21" t="s">
        <v>165</v>
      </c>
      <c r="AW204" s="21" t="s">
        <v>165</v>
      </c>
      <c r="AX204" s="21" t="s">
        <v>165</v>
      </c>
      <c r="AY204" s="21" t="s">
        <v>165</v>
      </c>
      <c r="AZ204" s="21" t="s">
        <v>165</v>
      </c>
      <c r="BA204" s="21" t="s">
        <v>165</v>
      </c>
      <c r="BB204" s="21" t="s">
        <v>165</v>
      </c>
      <c r="BC204" s="21" t="s">
        <v>165</v>
      </c>
      <c r="BD204" s="21" t="s">
        <v>165</v>
      </c>
      <c r="BE204" s="21" t="s">
        <v>165</v>
      </c>
      <c r="BF204" s="21" t="s">
        <v>165</v>
      </c>
      <c r="BG204" s="21" t="s">
        <v>165</v>
      </c>
      <c r="BH204" s="21" t="s">
        <v>165</v>
      </c>
      <c r="BI204" s="21" t="s">
        <v>165</v>
      </c>
      <c r="BJ204" s="21" t="s">
        <v>165</v>
      </c>
      <c r="BK204" s="21" t="s">
        <v>165</v>
      </c>
      <c r="BL204" s="21" t="s">
        <v>165</v>
      </c>
      <c r="BM204" s="21" t="s">
        <v>165</v>
      </c>
      <c r="BN204" s="21" t="s">
        <v>165</v>
      </c>
      <c r="BO204" s="21" t="s">
        <v>165</v>
      </c>
      <c r="BP204" s="21" t="s">
        <v>165</v>
      </c>
      <c r="BQ204" s="21" t="s">
        <v>165</v>
      </c>
      <c r="BR204" s="21" t="s">
        <v>165</v>
      </c>
      <c r="BS204" s="21" t="s">
        <v>165</v>
      </c>
      <c r="BT204" s="21" t="s">
        <v>165</v>
      </c>
      <c r="BU204" s="21" t="s">
        <v>165</v>
      </c>
      <c r="BV204" s="21" t="s">
        <v>165</v>
      </c>
      <c r="BW204" s="21" t="s">
        <v>165</v>
      </c>
      <c r="BX204" s="21" t="s">
        <v>165</v>
      </c>
      <c r="BY204" s="21" t="s">
        <v>165</v>
      </c>
      <c r="BZ204" s="21" t="s">
        <v>165</v>
      </c>
      <c r="CA204" s="21" t="s">
        <v>165</v>
      </c>
      <c r="CB204" s="21" t="s">
        <v>165</v>
      </c>
      <c r="CC204" s="21" t="s">
        <v>165</v>
      </c>
      <c r="CD204" s="21" t="s">
        <v>165</v>
      </c>
      <c r="CE204" s="21" t="s">
        <v>165</v>
      </c>
      <c r="CG204" s="15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</row>
    <row r="205" spans="1:106" outlineLevel="2" x14ac:dyDescent="0.2">
      <c r="A205" s="14">
        <v>1</v>
      </c>
      <c r="C205" s="10" t="str">
        <f>"        Total Lease Liability"</f>
        <v xml:space="preserve">        Total Lease Liability</v>
      </c>
      <c r="D205" s="29">
        <f t="shared" si="40"/>
        <v>15865.5</v>
      </c>
      <c r="E205" s="29">
        <f t="shared" si="41"/>
        <v>18658.196428571428</v>
      </c>
      <c r="F205" s="29">
        <f t="shared" si="42"/>
        <v>2533</v>
      </c>
      <c r="G205" s="29">
        <f t="shared" si="43"/>
        <v>50363</v>
      </c>
      <c r="H205" s="29">
        <f t="shared" si="44"/>
        <v>3167.25</v>
      </c>
      <c r="I205" s="29">
        <f t="shared" si="45"/>
        <v>33720.0625</v>
      </c>
      <c r="J205" s="29">
        <f t="shared" si="46"/>
        <v>17820.037582025296</v>
      </c>
      <c r="K205" s="30">
        <f t="shared" si="47"/>
        <v>0.95507824940342823</v>
      </c>
      <c r="L205" s="31"/>
      <c r="M205" s="31">
        <v>42585</v>
      </c>
      <c r="N205" s="137">
        <v>44546</v>
      </c>
      <c r="O205" s="137">
        <v>39445.75</v>
      </c>
      <c r="P205" s="137">
        <v>50363</v>
      </c>
      <c r="Q205" s="137">
        <v>16283</v>
      </c>
      <c r="R205" s="31" t="s">
        <v>165</v>
      </c>
      <c r="S205" s="31" t="s">
        <v>165</v>
      </c>
      <c r="T205" s="31">
        <v>16543</v>
      </c>
      <c r="U205" s="31" t="s">
        <v>165</v>
      </c>
      <c r="V205" s="31" t="s">
        <v>165</v>
      </c>
      <c r="W205" s="31" t="s">
        <v>165</v>
      </c>
      <c r="X205" s="31">
        <v>15937</v>
      </c>
      <c r="Y205" s="31" t="s">
        <v>165</v>
      </c>
      <c r="Z205" s="31" t="s">
        <v>165</v>
      </c>
      <c r="AA205" s="31" t="s">
        <v>165</v>
      </c>
      <c r="AB205" s="31">
        <v>15794</v>
      </c>
      <c r="AC205" s="31" t="s">
        <v>165</v>
      </c>
      <c r="AD205" s="31" t="s">
        <v>165</v>
      </c>
      <c r="AE205" s="31" t="s">
        <v>165</v>
      </c>
      <c r="AF205" s="31">
        <v>3762</v>
      </c>
      <c r="AG205" s="31">
        <v>2533</v>
      </c>
      <c r="AH205" s="31">
        <v>2644</v>
      </c>
      <c r="AI205" s="31">
        <v>2754</v>
      </c>
      <c r="AJ205" s="31">
        <v>5056</v>
      </c>
      <c r="AK205" s="31">
        <v>2969</v>
      </c>
      <c r="AL205" s="31" t="s">
        <v>165</v>
      </c>
      <c r="AM205" s="31" t="s">
        <v>165</v>
      </c>
      <c r="AN205" s="31" t="s">
        <v>165</v>
      </c>
      <c r="AO205" s="31" t="s">
        <v>165</v>
      </c>
      <c r="AP205" s="31" t="s">
        <v>165</v>
      </c>
      <c r="AQ205" s="31" t="s">
        <v>165</v>
      </c>
      <c r="AR205" s="31" t="s">
        <v>165</v>
      </c>
      <c r="AS205" s="31" t="s">
        <v>165</v>
      </c>
      <c r="AT205" s="31" t="s">
        <v>165</v>
      </c>
      <c r="AU205" s="31" t="s">
        <v>165</v>
      </c>
      <c r="AV205" s="31" t="s">
        <v>165</v>
      </c>
      <c r="AW205" s="31" t="s">
        <v>165</v>
      </c>
      <c r="AX205" s="31" t="s">
        <v>165</v>
      </c>
      <c r="AY205" s="31" t="s">
        <v>165</v>
      </c>
      <c r="AZ205" s="31" t="s">
        <v>165</v>
      </c>
      <c r="BA205" s="31" t="s">
        <v>165</v>
      </c>
      <c r="BB205" s="31" t="s">
        <v>165</v>
      </c>
      <c r="BC205" s="31" t="s">
        <v>165</v>
      </c>
      <c r="BD205" s="31" t="s">
        <v>165</v>
      </c>
      <c r="BE205" s="31" t="s">
        <v>165</v>
      </c>
      <c r="BF205" s="31" t="s">
        <v>165</v>
      </c>
      <c r="BG205" s="31" t="s">
        <v>165</v>
      </c>
      <c r="BH205" s="31" t="s">
        <v>165</v>
      </c>
      <c r="BI205" s="31" t="s">
        <v>165</v>
      </c>
      <c r="BJ205" s="31" t="s">
        <v>165</v>
      </c>
      <c r="BK205" s="31" t="s">
        <v>165</v>
      </c>
      <c r="BL205" s="31" t="s">
        <v>165</v>
      </c>
      <c r="BM205" s="31" t="s">
        <v>165</v>
      </c>
      <c r="BN205" s="31" t="s">
        <v>165</v>
      </c>
      <c r="BO205" s="31" t="s">
        <v>165</v>
      </c>
      <c r="BP205" s="31" t="s">
        <v>165</v>
      </c>
      <c r="BQ205" s="31" t="s">
        <v>165</v>
      </c>
      <c r="BR205" s="31" t="s">
        <v>165</v>
      </c>
      <c r="BS205" s="31" t="s">
        <v>165</v>
      </c>
      <c r="BT205" s="31" t="s">
        <v>165</v>
      </c>
      <c r="BU205" s="31" t="s">
        <v>165</v>
      </c>
      <c r="BV205" s="31" t="s">
        <v>165</v>
      </c>
      <c r="BW205" s="31" t="s">
        <v>165</v>
      </c>
      <c r="BX205" s="31" t="s">
        <v>165</v>
      </c>
      <c r="BY205" s="31" t="s">
        <v>165</v>
      </c>
      <c r="BZ205" s="31" t="s">
        <v>165</v>
      </c>
      <c r="CA205" s="31" t="s">
        <v>165</v>
      </c>
      <c r="CB205" s="31" t="s">
        <v>165</v>
      </c>
      <c r="CC205" s="31" t="s">
        <v>165</v>
      </c>
      <c r="CD205" s="31" t="s">
        <v>165</v>
      </c>
      <c r="CE205" s="31" t="s">
        <v>165</v>
      </c>
      <c r="CG205" s="15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</row>
    <row r="206" spans="1:106" outlineLevel="1" x14ac:dyDescent="0.2">
      <c r="A206" s="14">
        <v>1</v>
      </c>
      <c r="C206" s="9" t="str">
        <f>IF(SUBTOTAL(109,A206)=A206,"    Contractual Obligations","    Total Contractual Obligations")</f>
        <v xml:space="preserve">    Contractual Obligations</v>
      </c>
      <c r="D206" s="17" t="str">
        <f t="shared" si="40"/>
        <v/>
      </c>
      <c r="E206" s="17" t="str">
        <f t="shared" si="41"/>
        <v/>
      </c>
      <c r="F206" s="17" t="str">
        <f t="shared" si="42"/>
        <v/>
      </c>
      <c r="G206" s="17" t="str">
        <f t="shared" si="43"/>
        <v/>
      </c>
      <c r="H206" s="17" t="str">
        <f t="shared" si="44"/>
        <v/>
      </c>
      <c r="I206" s="17" t="str">
        <f t="shared" si="45"/>
        <v/>
      </c>
      <c r="J206" s="17" t="str">
        <f t="shared" si="46"/>
        <v/>
      </c>
      <c r="K206" s="18" t="str">
        <f t="shared" si="47"/>
        <v/>
      </c>
      <c r="L206" s="21"/>
      <c r="M206" s="21" t="str">
        <f>IF(SUBTOTAL(109,A206)=A206,"",42585)</f>
        <v/>
      </c>
      <c r="N206" s="21"/>
      <c r="O206" s="21"/>
      <c r="P206" s="21"/>
      <c r="Q206" s="21"/>
      <c r="R206" s="21" t="str">
        <f>IF(SUBTOTAL(109,A206)=A206,"","")</f>
        <v/>
      </c>
      <c r="S206" s="21" t="str">
        <f>IF(SUBTOTAL(109,A206)=A206,"","")</f>
        <v/>
      </c>
      <c r="T206" s="21" t="str">
        <f>IF(SUBTOTAL(109,A206)=A206,"",235594)</f>
        <v/>
      </c>
      <c r="U206" s="21" t="str">
        <f>IF(SUBTOTAL(109,A206)=A206,"","")</f>
        <v/>
      </c>
      <c r="V206" s="21" t="str">
        <f>IF(SUBTOTAL(109,A206)=A206,"","")</f>
        <v/>
      </c>
      <c r="W206" s="21" t="str">
        <f>IF(SUBTOTAL(109,A206)=A206,"","")</f>
        <v/>
      </c>
      <c r="X206" s="21" t="str">
        <f>IF(SUBTOTAL(109,A206)=A206,"",210642)</f>
        <v/>
      </c>
      <c r="Y206" s="21" t="str">
        <f>IF(SUBTOTAL(109,A206)=A206,"","")</f>
        <v/>
      </c>
      <c r="Z206" s="21" t="str">
        <f>IF(SUBTOTAL(109,A206)=A206,"","")</f>
        <v/>
      </c>
      <c r="AA206" s="21" t="str">
        <f>IF(SUBTOTAL(109,A206)=A206,"","")</f>
        <v/>
      </c>
      <c r="AB206" s="21" t="str">
        <f>IF(SUBTOTAL(109,A206)=A206,"",15794)</f>
        <v/>
      </c>
      <c r="AC206" s="21" t="str">
        <f>IF(SUBTOTAL(109,A206)=A206,"","")</f>
        <v/>
      </c>
      <c r="AD206" s="21" t="str">
        <f>IF(SUBTOTAL(109,A206)=A206,"","")</f>
        <v/>
      </c>
      <c r="AE206" s="21" t="str">
        <f>IF(SUBTOTAL(109,A206)=A206,"","")</f>
        <v/>
      </c>
      <c r="AF206" s="21" t="str">
        <f>IF(SUBTOTAL(109,A206)=A206,"",171210)</f>
        <v/>
      </c>
      <c r="AG206" s="21" t="str">
        <f>IF(SUBTOTAL(109,A206)=A206,"",2533)</f>
        <v/>
      </c>
      <c r="AH206" s="21" t="str">
        <f>IF(SUBTOTAL(109,A206)=A206,"",2644)</f>
        <v/>
      </c>
      <c r="AI206" s="21" t="str">
        <f>IF(SUBTOTAL(109,A206)=A206,"",2754)</f>
        <v/>
      </c>
      <c r="AJ206" s="21" t="str">
        <f>IF(SUBTOTAL(109,A206)=A206,"",113017)</f>
        <v/>
      </c>
      <c r="AK206" s="21" t="str">
        <f>IF(SUBTOTAL(109,A206)=A206,"",2969)</f>
        <v/>
      </c>
      <c r="AL206" s="21" t="str">
        <f>IF(SUBTOTAL(109,A206)=A206,"","")</f>
        <v/>
      </c>
      <c r="AM206" s="21" t="str">
        <f>IF(SUBTOTAL(109,A206)=A206,"","")</f>
        <v/>
      </c>
      <c r="AN206" s="21" t="str">
        <f>IF(SUBTOTAL(109,A206)=A206,"","")</f>
        <v/>
      </c>
      <c r="AO206" s="21" t="str">
        <f>IF(SUBTOTAL(109,A206)=A206,"","")</f>
        <v/>
      </c>
      <c r="AP206" s="21" t="str">
        <f>IF(SUBTOTAL(109,A206)=A206,"","")</f>
        <v/>
      </c>
      <c r="AQ206" s="21" t="str">
        <f>IF(SUBTOTAL(109,A206)=A206,"","")</f>
        <v/>
      </c>
      <c r="AR206" s="21" t="str">
        <f>IF(SUBTOTAL(109,A206)=A206,"","")</f>
        <v/>
      </c>
      <c r="AS206" s="21" t="str">
        <f>IF(SUBTOTAL(109,A206)=A206,"","")</f>
        <v/>
      </c>
      <c r="AT206" s="21" t="str">
        <f>IF(SUBTOTAL(109,A206)=A206,"","")</f>
        <v/>
      </c>
      <c r="AU206" s="21" t="str">
        <f>IF(SUBTOTAL(109,A206)=A206,"","")</f>
        <v/>
      </c>
      <c r="AV206" s="21" t="str">
        <f>IF(SUBTOTAL(109,A206)=A206,"","")</f>
        <v/>
      </c>
      <c r="AW206" s="21" t="str">
        <f>IF(SUBTOTAL(109,A206)=A206,"","")</f>
        <v/>
      </c>
      <c r="AX206" s="21" t="str">
        <f>IF(SUBTOTAL(109,A206)=A206,"","")</f>
        <v/>
      </c>
      <c r="AY206" s="21" t="str">
        <f>IF(SUBTOTAL(109,A206)=A206,"","")</f>
        <v/>
      </c>
      <c r="AZ206" s="21" t="str">
        <f>IF(SUBTOTAL(109,A206)=A206,"","")</f>
        <v/>
      </c>
      <c r="BA206" s="21" t="str">
        <f>IF(SUBTOTAL(109,A206)=A206,"","")</f>
        <v/>
      </c>
      <c r="BB206" s="21" t="str">
        <f>IF(SUBTOTAL(109,A206)=A206,"","")</f>
        <v/>
      </c>
      <c r="BC206" s="21" t="str">
        <f>IF(SUBTOTAL(109,A206)=A206,"","")</f>
        <v/>
      </c>
      <c r="BD206" s="21" t="str">
        <f>IF(SUBTOTAL(109,A206)=A206,"","")</f>
        <v/>
      </c>
      <c r="BE206" s="21" t="str">
        <f>IF(SUBTOTAL(109,A206)=A206,"","")</f>
        <v/>
      </c>
      <c r="BF206" s="21" t="str">
        <f>IF(SUBTOTAL(109,A206)=A206,"","")</f>
        <v/>
      </c>
      <c r="BG206" s="21" t="str">
        <f>IF(SUBTOTAL(109,A206)=A206,"","")</f>
        <v/>
      </c>
      <c r="BH206" s="21" t="str">
        <f>IF(SUBTOTAL(109,A206)=A206,"","")</f>
        <v/>
      </c>
      <c r="BI206" s="21" t="str">
        <f>IF(SUBTOTAL(109,A206)=A206,"","")</f>
        <v/>
      </c>
      <c r="BJ206" s="21" t="str">
        <f>IF(SUBTOTAL(109,A206)=A206,"","")</f>
        <v/>
      </c>
      <c r="BK206" s="21" t="str">
        <f>IF(SUBTOTAL(109,A206)=A206,"","")</f>
        <v/>
      </c>
      <c r="BL206" s="21" t="str">
        <f>IF(SUBTOTAL(109,A206)=A206,"","")</f>
        <v/>
      </c>
      <c r="BM206" s="21" t="str">
        <f>IF(SUBTOTAL(109,A206)=A206,"","")</f>
        <v/>
      </c>
      <c r="BN206" s="21" t="str">
        <f>IF(SUBTOTAL(109,A206)=A206,"","")</f>
        <v/>
      </c>
      <c r="BO206" s="21" t="str">
        <f>IF(SUBTOTAL(109,A206)=A206,"","")</f>
        <v/>
      </c>
      <c r="BP206" s="21" t="str">
        <f>IF(SUBTOTAL(109,A206)=A206,"","")</f>
        <v/>
      </c>
      <c r="BQ206" s="21" t="str">
        <f>IF(SUBTOTAL(109,A206)=A206,"","")</f>
        <v/>
      </c>
      <c r="BR206" s="21" t="str">
        <f>IF(SUBTOTAL(109,A206)=A206,"","")</f>
        <v/>
      </c>
      <c r="BS206" s="21" t="str">
        <f>IF(SUBTOTAL(109,A206)=A206,"","")</f>
        <v/>
      </c>
      <c r="BT206" s="21" t="str">
        <f>IF(SUBTOTAL(109,A206)=A206,"","")</f>
        <v/>
      </c>
      <c r="BU206" s="21" t="str">
        <f>IF(SUBTOTAL(109,A206)=A206,"","")</f>
        <v/>
      </c>
      <c r="BV206" s="21" t="str">
        <f>IF(SUBTOTAL(109,A206)=A206,"","")</f>
        <v/>
      </c>
      <c r="BW206" s="21" t="str">
        <f>IF(SUBTOTAL(109,A206)=A206,"","")</f>
        <v/>
      </c>
      <c r="BX206" s="21" t="str">
        <f>IF(SUBTOTAL(109,A206)=A206,"","")</f>
        <v/>
      </c>
      <c r="BY206" s="21" t="str">
        <f>IF(SUBTOTAL(109,A206)=A206,"","")</f>
        <v/>
      </c>
      <c r="BZ206" s="21" t="str">
        <f>IF(SUBTOTAL(109,A206)=A206,"","")</f>
        <v/>
      </c>
      <c r="CA206" s="21" t="str">
        <f>IF(SUBTOTAL(109,A206)=A206,"","")</f>
        <v/>
      </c>
      <c r="CB206" s="21" t="str">
        <f>IF(SUBTOTAL(109,A206)=A206,"","")</f>
        <v/>
      </c>
      <c r="CC206" s="21" t="str">
        <f>IF(SUBTOTAL(109,A206)=A206,"","")</f>
        <v/>
      </c>
      <c r="CD206" s="21" t="str">
        <f>IF(SUBTOTAL(109,A206)=A206,"","")</f>
        <v/>
      </c>
      <c r="CE206" s="21" t="str">
        <f>IF(SUBTOTAL(109,A206)=A206,"","")</f>
        <v/>
      </c>
      <c r="CG206" s="15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</row>
    <row r="207" spans="1:106" outlineLevel="2" x14ac:dyDescent="0.2">
      <c r="A207" s="14">
        <v>1</v>
      </c>
      <c r="C207" s="9" t="str">
        <f>"        Total Contractual Obligations due in year 1"</f>
        <v xml:space="preserve">        Total Contractual Obligations due in year 1</v>
      </c>
      <c r="D207" s="17">
        <f t="shared" si="40"/>
        <v>3831.625</v>
      </c>
      <c r="E207" s="17">
        <f t="shared" si="41"/>
        <v>15437.25</v>
      </c>
      <c r="F207" s="17">
        <f t="shared" si="42"/>
        <v>149</v>
      </c>
      <c r="G207" s="17">
        <f t="shared" si="43"/>
        <v>74824</v>
      </c>
      <c r="H207" s="17">
        <f t="shared" si="44"/>
        <v>946.75</v>
      </c>
      <c r="I207" s="17">
        <f t="shared" si="45"/>
        <v>17154.75</v>
      </c>
      <c r="J207" s="17">
        <f t="shared" si="46"/>
        <v>25100.70120304641</v>
      </c>
      <c r="K207" s="18">
        <f t="shared" si="47"/>
        <v>1.6259826849371755</v>
      </c>
      <c r="L207" s="21"/>
      <c r="M207" s="21">
        <v>4746</v>
      </c>
      <c r="N207" s="136">
        <v>2895.5</v>
      </c>
      <c r="O207" s="136">
        <v>2917.25</v>
      </c>
      <c r="P207" s="136">
        <v>5234.75</v>
      </c>
      <c r="Q207" s="136">
        <v>17529</v>
      </c>
      <c r="R207" s="21" t="s">
        <v>165</v>
      </c>
      <c r="S207" s="21" t="s">
        <v>165</v>
      </c>
      <c r="T207" s="21">
        <v>17316</v>
      </c>
      <c r="U207" s="21" t="s">
        <v>165</v>
      </c>
      <c r="V207" s="21" t="s">
        <v>165</v>
      </c>
      <c r="W207" s="21" t="s">
        <v>165</v>
      </c>
      <c r="X207" s="21">
        <v>16671</v>
      </c>
      <c r="Y207" s="21" t="s">
        <v>165</v>
      </c>
      <c r="Z207" s="21" t="s">
        <v>165</v>
      </c>
      <c r="AA207" s="21" t="s">
        <v>165</v>
      </c>
      <c r="AB207" s="21">
        <v>2446</v>
      </c>
      <c r="AC207" s="21" t="s">
        <v>165</v>
      </c>
      <c r="AD207" s="21" t="s">
        <v>165</v>
      </c>
      <c r="AE207" s="21" t="s">
        <v>165</v>
      </c>
      <c r="AF207" s="21">
        <v>74824</v>
      </c>
      <c r="AG207" s="21">
        <v>149</v>
      </c>
      <c r="AH207" s="21">
        <v>298</v>
      </c>
      <c r="AI207" s="21">
        <v>447</v>
      </c>
      <c r="AJ207" s="21">
        <v>70499</v>
      </c>
      <c r="AK207" s="21">
        <v>149</v>
      </c>
      <c r="AL207" s="21" t="s">
        <v>165</v>
      </c>
      <c r="AM207" s="21" t="s">
        <v>165</v>
      </c>
      <c r="AN207" s="21" t="s">
        <v>165</v>
      </c>
      <c r="AO207" s="21" t="s">
        <v>165</v>
      </c>
      <c r="AP207" s="21" t="s">
        <v>165</v>
      </c>
      <c r="AQ207" s="21" t="s">
        <v>165</v>
      </c>
      <c r="AR207" s="21" t="s">
        <v>165</v>
      </c>
      <c r="AS207" s="21" t="s">
        <v>165</v>
      </c>
      <c r="AT207" s="21" t="s">
        <v>165</v>
      </c>
      <c r="AU207" s="21" t="s">
        <v>165</v>
      </c>
      <c r="AV207" s="21" t="s">
        <v>165</v>
      </c>
      <c r="AW207" s="21" t="s">
        <v>165</v>
      </c>
      <c r="AX207" s="21" t="s">
        <v>165</v>
      </c>
      <c r="AY207" s="21" t="s">
        <v>165</v>
      </c>
      <c r="AZ207" s="21" t="s">
        <v>165</v>
      </c>
      <c r="BA207" s="21" t="s">
        <v>165</v>
      </c>
      <c r="BB207" s="21" t="s">
        <v>165</v>
      </c>
      <c r="BC207" s="21" t="s">
        <v>165</v>
      </c>
      <c r="BD207" s="21" t="s">
        <v>165</v>
      </c>
      <c r="BE207" s="21" t="s">
        <v>165</v>
      </c>
      <c r="BF207" s="21" t="s">
        <v>165</v>
      </c>
      <c r="BG207" s="21" t="s">
        <v>165</v>
      </c>
      <c r="BH207" s="21" t="s">
        <v>165</v>
      </c>
      <c r="BI207" s="21" t="s">
        <v>165</v>
      </c>
      <c r="BJ207" s="21" t="s">
        <v>165</v>
      </c>
      <c r="BK207" s="21" t="s">
        <v>165</v>
      </c>
      <c r="BL207" s="21" t="s">
        <v>165</v>
      </c>
      <c r="BM207" s="21" t="s">
        <v>165</v>
      </c>
      <c r="BN207" s="21" t="s">
        <v>165</v>
      </c>
      <c r="BO207" s="21" t="s">
        <v>165</v>
      </c>
      <c r="BP207" s="21" t="s">
        <v>165</v>
      </c>
      <c r="BQ207" s="21" t="s">
        <v>165</v>
      </c>
      <c r="BR207" s="21" t="s">
        <v>165</v>
      </c>
      <c r="BS207" s="21" t="s">
        <v>165</v>
      </c>
      <c r="BT207" s="21" t="s">
        <v>165</v>
      </c>
      <c r="BU207" s="21" t="s">
        <v>165</v>
      </c>
      <c r="BV207" s="21" t="s">
        <v>165</v>
      </c>
      <c r="BW207" s="21" t="s">
        <v>165</v>
      </c>
      <c r="BX207" s="21" t="s">
        <v>165</v>
      </c>
      <c r="BY207" s="21" t="s">
        <v>165</v>
      </c>
      <c r="BZ207" s="21" t="s">
        <v>165</v>
      </c>
      <c r="CA207" s="21" t="s">
        <v>165</v>
      </c>
      <c r="CB207" s="21" t="s">
        <v>165</v>
      </c>
      <c r="CC207" s="21" t="s">
        <v>165</v>
      </c>
      <c r="CD207" s="21" t="s">
        <v>165</v>
      </c>
      <c r="CE207" s="21" t="s">
        <v>165</v>
      </c>
      <c r="CG207" s="15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</row>
    <row r="208" spans="1:106" outlineLevel="2" x14ac:dyDescent="0.2">
      <c r="A208" s="14">
        <v>1</v>
      </c>
      <c r="C208" s="9" t="str">
        <f>"        Total Contractual Obligations due in year 2"</f>
        <v xml:space="preserve">        Total Contractual Obligations due in year 2</v>
      </c>
      <c r="D208" s="17">
        <f t="shared" si="40"/>
        <v>2022.5</v>
      </c>
      <c r="E208" s="17">
        <f t="shared" si="41"/>
        <v>2346.8928571428573</v>
      </c>
      <c r="F208" s="17">
        <f t="shared" si="42"/>
        <v>596</v>
      </c>
      <c r="G208" s="17">
        <f t="shared" si="43"/>
        <v>4888.5</v>
      </c>
      <c r="H208" s="17">
        <f t="shared" si="44"/>
        <v>637.75</v>
      </c>
      <c r="I208" s="17">
        <f t="shared" si="45"/>
        <v>4104.1875</v>
      </c>
      <c r="J208" s="17">
        <f t="shared" si="46"/>
        <v>1734.2692922444248</v>
      </c>
      <c r="K208" s="18">
        <f t="shared" si="47"/>
        <v>0.73896398251249973</v>
      </c>
      <c r="L208" s="21"/>
      <c r="M208" s="21">
        <v>4742</v>
      </c>
      <c r="N208" s="136">
        <v>4632.75</v>
      </c>
      <c r="O208" s="136">
        <v>4888.5</v>
      </c>
      <c r="P208" s="136">
        <v>4510.25</v>
      </c>
      <c r="Q208" s="136">
        <v>2864</v>
      </c>
      <c r="R208" s="21" t="s">
        <v>165</v>
      </c>
      <c r="S208" s="21" t="s">
        <v>165</v>
      </c>
      <c r="T208" s="21">
        <v>2886</v>
      </c>
      <c r="U208" s="21" t="s">
        <v>165</v>
      </c>
      <c r="V208" s="21" t="s">
        <v>165</v>
      </c>
      <c r="W208" s="21" t="s">
        <v>165</v>
      </c>
      <c r="X208" s="21">
        <v>2070</v>
      </c>
      <c r="Y208" s="21" t="s">
        <v>165</v>
      </c>
      <c r="Z208" s="21" t="s">
        <v>165</v>
      </c>
      <c r="AA208" s="21" t="s">
        <v>165</v>
      </c>
      <c r="AB208" s="21">
        <v>1975</v>
      </c>
      <c r="AC208" s="21" t="s">
        <v>165</v>
      </c>
      <c r="AD208" s="21" t="s">
        <v>165</v>
      </c>
      <c r="AE208" s="21" t="s">
        <v>165</v>
      </c>
      <c r="AF208" s="21">
        <v>763</v>
      </c>
      <c r="AG208" s="21">
        <v>596</v>
      </c>
      <c r="AH208" s="21">
        <v>596</v>
      </c>
      <c r="AI208" s="21">
        <v>596</v>
      </c>
      <c r="AJ208" s="21">
        <v>1141</v>
      </c>
      <c r="AK208" s="21">
        <v>596</v>
      </c>
      <c r="AL208" s="21" t="s">
        <v>165</v>
      </c>
      <c r="AM208" s="21" t="s">
        <v>165</v>
      </c>
      <c r="AN208" s="21" t="s">
        <v>165</v>
      </c>
      <c r="AO208" s="21" t="s">
        <v>165</v>
      </c>
      <c r="AP208" s="21" t="s">
        <v>165</v>
      </c>
      <c r="AQ208" s="21" t="s">
        <v>165</v>
      </c>
      <c r="AR208" s="21" t="s">
        <v>165</v>
      </c>
      <c r="AS208" s="21" t="s">
        <v>165</v>
      </c>
      <c r="AT208" s="21" t="s">
        <v>165</v>
      </c>
      <c r="AU208" s="21" t="s">
        <v>165</v>
      </c>
      <c r="AV208" s="21" t="s">
        <v>165</v>
      </c>
      <c r="AW208" s="21" t="s">
        <v>165</v>
      </c>
      <c r="AX208" s="21" t="s">
        <v>165</v>
      </c>
      <c r="AY208" s="21" t="s">
        <v>165</v>
      </c>
      <c r="AZ208" s="21" t="s">
        <v>165</v>
      </c>
      <c r="BA208" s="21" t="s">
        <v>165</v>
      </c>
      <c r="BB208" s="21" t="s">
        <v>165</v>
      </c>
      <c r="BC208" s="21" t="s">
        <v>165</v>
      </c>
      <c r="BD208" s="21" t="s">
        <v>165</v>
      </c>
      <c r="BE208" s="21" t="s">
        <v>165</v>
      </c>
      <c r="BF208" s="21" t="s">
        <v>165</v>
      </c>
      <c r="BG208" s="21" t="s">
        <v>165</v>
      </c>
      <c r="BH208" s="21" t="s">
        <v>165</v>
      </c>
      <c r="BI208" s="21" t="s">
        <v>165</v>
      </c>
      <c r="BJ208" s="21" t="s">
        <v>165</v>
      </c>
      <c r="BK208" s="21" t="s">
        <v>165</v>
      </c>
      <c r="BL208" s="21" t="s">
        <v>165</v>
      </c>
      <c r="BM208" s="21" t="s">
        <v>165</v>
      </c>
      <c r="BN208" s="21" t="s">
        <v>165</v>
      </c>
      <c r="BO208" s="21" t="s">
        <v>165</v>
      </c>
      <c r="BP208" s="21" t="s">
        <v>165</v>
      </c>
      <c r="BQ208" s="21" t="s">
        <v>165</v>
      </c>
      <c r="BR208" s="21" t="s">
        <v>165</v>
      </c>
      <c r="BS208" s="21" t="s">
        <v>165</v>
      </c>
      <c r="BT208" s="21" t="s">
        <v>165</v>
      </c>
      <c r="BU208" s="21" t="s">
        <v>165</v>
      </c>
      <c r="BV208" s="21" t="s">
        <v>165</v>
      </c>
      <c r="BW208" s="21" t="s">
        <v>165</v>
      </c>
      <c r="BX208" s="21" t="s">
        <v>165</v>
      </c>
      <c r="BY208" s="21" t="s">
        <v>165</v>
      </c>
      <c r="BZ208" s="21" t="s">
        <v>165</v>
      </c>
      <c r="CA208" s="21" t="s">
        <v>165</v>
      </c>
      <c r="CB208" s="21" t="s">
        <v>165</v>
      </c>
      <c r="CC208" s="21" t="s">
        <v>165</v>
      </c>
      <c r="CD208" s="21" t="s">
        <v>165</v>
      </c>
      <c r="CE208" s="21" t="s">
        <v>165</v>
      </c>
      <c r="CG208" s="15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</row>
    <row r="209" spans="1:106" outlineLevel="2" x14ac:dyDescent="0.2">
      <c r="A209" s="14">
        <v>1</v>
      </c>
      <c r="C209" s="9" t="str">
        <f>"        Total Contractual Obligations due in year 3"</f>
        <v xml:space="preserve">        Total Contractual Obligations due in year 3</v>
      </c>
      <c r="D209" s="17">
        <f t="shared" si="40"/>
        <v>23532.75</v>
      </c>
      <c r="E209" s="17">
        <f t="shared" si="41"/>
        <v>48019.303571428572</v>
      </c>
      <c r="F209" s="17">
        <f t="shared" si="42"/>
        <v>596</v>
      </c>
      <c r="G209" s="17">
        <f t="shared" si="43"/>
        <v>167907</v>
      </c>
      <c r="H209" s="17">
        <f t="shared" si="44"/>
        <v>926.75</v>
      </c>
      <c r="I209" s="17">
        <f t="shared" si="45"/>
        <v>87459.5</v>
      </c>
      <c r="J209" s="17">
        <f t="shared" si="46"/>
        <v>58993.439116238449</v>
      </c>
      <c r="K209" s="18">
        <f t="shared" si="47"/>
        <v>1.2285359163630076</v>
      </c>
      <c r="L209" s="21"/>
      <c r="M209" s="21">
        <v>3504</v>
      </c>
      <c r="N209" s="136">
        <v>4672.75</v>
      </c>
      <c r="O209" s="136">
        <v>44554.75</v>
      </c>
      <c r="P209" s="136">
        <v>42392.75</v>
      </c>
      <c r="Q209" s="136">
        <v>167907</v>
      </c>
      <c r="R209" s="21" t="s">
        <v>165</v>
      </c>
      <c r="S209" s="21" t="s">
        <v>165</v>
      </c>
      <c r="T209" s="21">
        <v>145740</v>
      </c>
      <c r="U209" s="21" t="s">
        <v>165</v>
      </c>
      <c r="V209" s="21" t="s">
        <v>165</v>
      </c>
      <c r="W209" s="21" t="s">
        <v>165</v>
      </c>
      <c r="X209" s="21">
        <v>99479</v>
      </c>
      <c r="Y209" s="21" t="s">
        <v>165</v>
      </c>
      <c r="Z209" s="21" t="s">
        <v>165</v>
      </c>
      <c r="AA209" s="21" t="s">
        <v>165</v>
      </c>
      <c r="AB209" s="21">
        <v>1919</v>
      </c>
      <c r="AC209" s="21" t="s">
        <v>165</v>
      </c>
      <c r="AD209" s="21" t="s">
        <v>165</v>
      </c>
      <c r="AE209" s="21" t="s">
        <v>165</v>
      </c>
      <c r="AF209" s="21">
        <v>108316</v>
      </c>
      <c r="AG209" s="21">
        <v>596</v>
      </c>
      <c r="AH209" s="21">
        <v>596</v>
      </c>
      <c r="AI209" s="21">
        <v>596</v>
      </c>
      <c r="AJ209" s="21">
        <v>51401</v>
      </c>
      <c r="AK209" s="21">
        <v>596</v>
      </c>
      <c r="AL209" s="21" t="s">
        <v>165</v>
      </c>
      <c r="AM209" s="21" t="s">
        <v>165</v>
      </c>
      <c r="AN209" s="21" t="s">
        <v>165</v>
      </c>
      <c r="AO209" s="21" t="s">
        <v>165</v>
      </c>
      <c r="AP209" s="21" t="s">
        <v>165</v>
      </c>
      <c r="AQ209" s="21" t="s">
        <v>165</v>
      </c>
      <c r="AR209" s="21" t="s">
        <v>165</v>
      </c>
      <c r="AS209" s="21" t="s">
        <v>165</v>
      </c>
      <c r="AT209" s="21" t="s">
        <v>165</v>
      </c>
      <c r="AU209" s="21" t="s">
        <v>165</v>
      </c>
      <c r="AV209" s="21" t="s">
        <v>165</v>
      </c>
      <c r="AW209" s="21" t="s">
        <v>165</v>
      </c>
      <c r="AX209" s="21" t="s">
        <v>165</v>
      </c>
      <c r="AY209" s="21" t="s">
        <v>165</v>
      </c>
      <c r="AZ209" s="21" t="s">
        <v>165</v>
      </c>
      <c r="BA209" s="21" t="s">
        <v>165</v>
      </c>
      <c r="BB209" s="21" t="s">
        <v>165</v>
      </c>
      <c r="BC209" s="21" t="s">
        <v>165</v>
      </c>
      <c r="BD209" s="21" t="s">
        <v>165</v>
      </c>
      <c r="BE209" s="21" t="s">
        <v>165</v>
      </c>
      <c r="BF209" s="21" t="s">
        <v>165</v>
      </c>
      <c r="BG209" s="21" t="s">
        <v>165</v>
      </c>
      <c r="BH209" s="21" t="s">
        <v>165</v>
      </c>
      <c r="BI209" s="21" t="s">
        <v>165</v>
      </c>
      <c r="BJ209" s="21" t="s">
        <v>165</v>
      </c>
      <c r="BK209" s="21" t="s">
        <v>165</v>
      </c>
      <c r="BL209" s="21" t="s">
        <v>165</v>
      </c>
      <c r="BM209" s="21" t="s">
        <v>165</v>
      </c>
      <c r="BN209" s="21" t="s">
        <v>165</v>
      </c>
      <c r="BO209" s="21" t="s">
        <v>165</v>
      </c>
      <c r="BP209" s="21" t="s">
        <v>165</v>
      </c>
      <c r="BQ209" s="21" t="s">
        <v>165</v>
      </c>
      <c r="BR209" s="21" t="s">
        <v>165</v>
      </c>
      <c r="BS209" s="21" t="s">
        <v>165</v>
      </c>
      <c r="BT209" s="21" t="s">
        <v>165</v>
      </c>
      <c r="BU209" s="21" t="s">
        <v>165</v>
      </c>
      <c r="BV209" s="21" t="s">
        <v>165</v>
      </c>
      <c r="BW209" s="21" t="s">
        <v>165</v>
      </c>
      <c r="BX209" s="21" t="s">
        <v>165</v>
      </c>
      <c r="BY209" s="21" t="s">
        <v>165</v>
      </c>
      <c r="BZ209" s="21" t="s">
        <v>165</v>
      </c>
      <c r="CA209" s="21" t="s">
        <v>165</v>
      </c>
      <c r="CB209" s="21" t="s">
        <v>165</v>
      </c>
      <c r="CC209" s="21" t="s">
        <v>165</v>
      </c>
      <c r="CD209" s="21" t="s">
        <v>165</v>
      </c>
      <c r="CE209" s="21" t="s">
        <v>165</v>
      </c>
      <c r="CG209" s="15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</row>
    <row r="210" spans="1:106" outlineLevel="2" x14ac:dyDescent="0.2">
      <c r="A210" s="14">
        <v>1</v>
      </c>
      <c r="C210" s="9" t="str">
        <f>"        Total Contractual Obligations due in year 4"</f>
        <v xml:space="preserve">        Total Contractual Obligations due in year 4</v>
      </c>
      <c r="D210" s="17">
        <f t="shared" si="40"/>
        <v>1853</v>
      </c>
      <c r="E210" s="17">
        <f t="shared" si="41"/>
        <v>2204.25</v>
      </c>
      <c r="F210" s="17">
        <f t="shared" si="42"/>
        <v>64</v>
      </c>
      <c r="G210" s="17">
        <f t="shared" si="43"/>
        <v>4358.5</v>
      </c>
      <c r="H210" s="17">
        <f t="shared" si="44"/>
        <v>1493</v>
      </c>
      <c r="I210" s="17">
        <f t="shared" si="45"/>
        <v>3255</v>
      </c>
      <c r="J210" s="17">
        <f t="shared" si="46"/>
        <v>1314.435616675315</v>
      </c>
      <c r="K210" s="18">
        <f t="shared" si="47"/>
        <v>0.59631875543850066</v>
      </c>
      <c r="L210" s="21"/>
      <c r="M210" s="21">
        <v>3537</v>
      </c>
      <c r="N210" s="136">
        <v>3799.5</v>
      </c>
      <c r="O210" s="136">
        <v>4230.5</v>
      </c>
      <c r="P210" s="136">
        <v>4358.5</v>
      </c>
      <c r="Q210" s="136">
        <v>2409</v>
      </c>
      <c r="R210" s="21" t="s">
        <v>165</v>
      </c>
      <c r="S210" s="21" t="s">
        <v>165</v>
      </c>
      <c r="T210" s="21">
        <v>2108</v>
      </c>
      <c r="U210" s="21" t="s">
        <v>165</v>
      </c>
      <c r="V210" s="21" t="s">
        <v>165</v>
      </c>
      <c r="W210" s="21" t="s">
        <v>165</v>
      </c>
      <c r="X210" s="21">
        <v>1926</v>
      </c>
      <c r="Y210" s="21" t="s">
        <v>165</v>
      </c>
      <c r="Z210" s="21" t="s">
        <v>165</v>
      </c>
      <c r="AA210" s="21" t="s">
        <v>165</v>
      </c>
      <c r="AB210" s="21">
        <v>1780</v>
      </c>
      <c r="AC210" s="21" t="s">
        <v>165</v>
      </c>
      <c r="AD210" s="21" t="s">
        <v>165</v>
      </c>
      <c r="AE210" s="21" t="s">
        <v>165</v>
      </c>
      <c r="AF210" s="21">
        <v>64</v>
      </c>
      <c r="AG210" s="21">
        <v>1493</v>
      </c>
      <c r="AH210" s="21">
        <v>1493</v>
      </c>
      <c r="AI210" s="21">
        <v>1493</v>
      </c>
      <c r="AJ210" s="21">
        <v>1572</v>
      </c>
      <c r="AK210" s="21">
        <v>596</v>
      </c>
      <c r="AL210" s="21" t="s">
        <v>165</v>
      </c>
      <c r="AM210" s="21" t="s">
        <v>165</v>
      </c>
      <c r="AN210" s="21" t="s">
        <v>165</v>
      </c>
      <c r="AO210" s="21" t="s">
        <v>165</v>
      </c>
      <c r="AP210" s="21" t="s">
        <v>165</v>
      </c>
      <c r="AQ210" s="21" t="s">
        <v>165</v>
      </c>
      <c r="AR210" s="21" t="s">
        <v>165</v>
      </c>
      <c r="AS210" s="21" t="s">
        <v>165</v>
      </c>
      <c r="AT210" s="21" t="s">
        <v>165</v>
      </c>
      <c r="AU210" s="21" t="s">
        <v>165</v>
      </c>
      <c r="AV210" s="21" t="s">
        <v>165</v>
      </c>
      <c r="AW210" s="21" t="s">
        <v>165</v>
      </c>
      <c r="AX210" s="21" t="s">
        <v>165</v>
      </c>
      <c r="AY210" s="21" t="s">
        <v>165</v>
      </c>
      <c r="AZ210" s="21" t="s">
        <v>165</v>
      </c>
      <c r="BA210" s="21" t="s">
        <v>165</v>
      </c>
      <c r="BB210" s="21" t="s">
        <v>165</v>
      </c>
      <c r="BC210" s="21" t="s">
        <v>165</v>
      </c>
      <c r="BD210" s="21" t="s">
        <v>165</v>
      </c>
      <c r="BE210" s="21" t="s">
        <v>165</v>
      </c>
      <c r="BF210" s="21" t="s">
        <v>165</v>
      </c>
      <c r="BG210" s="21" t="s">
        <v>165</v>
      </c>
      <c r="BH210" s="21" t="s">
        <v>165</v>
      </c>
      <c r="BI210" s="21" t="s">
        <v>165</v>
      </c>
      <c r="BJ210" s="21" t="s">
        <v>165</v>
      </c>
      <c r="BK210" s="21" t="s">
        <v>165</v>
      </c>
      <c r="BL210" s="21" t="s">
        <v>165</v>
      </c>
      <c r="BM210" s="21" t="s">
        <v>165</v>
      </c>
      <c r="BN210" s="21" t="s">
        <v>165</v>
      </c>
      <c r="BO210" s="21" t="s">
        <v>165</v>
      </c>
      <c r="BP210" s="21" t="s">
        <v>165</v>
      </c>
      <c r="BQ210" s="21" t="s">
        <v>165</v>
      </c>
      <c r="BR210" s="21" t="s">
        <v>165</v>
      </c>
      <c r="BS210" s="21" t="s">
        <v>165</v>
      </c>
      <c r="BT210" s="21" t="s">
        <v>165</v>
      </c>
      <c r="BU210" s="21" t="s">
        <v>165</v>
      </c>
      <c r="BV210" s="21" t="s">
        <v>165</v>
      </c>
      <c r="BW210" s="21" t="s">
        <v>165</v>
      </c>
      <c r="BX210" s="21" t="s">
        <v>165</v>
      </c>
      <c r="BY210" s="21" t="s">
        <v>165</v>
      </c>
      <c r="BZ210" s="21" t="s">
        <v>165</v>
      </c>
      <c r="CA210" s="21" t="s">
        <v>165</v>
      </c>
      <c r="CB210" s="21" t="s">
        <v>165</v>
      </c>
      <c r="CC210" s="21" t="s">
        <v>165</v>
      </c>
      <c r="CD210" s="21" t="s">
        <v>165</v>
      </c>
      <c r="CE210" s="21" t="s">
        <v>165</v>
      </c>
      <c r="CG210" s="15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</row>
    <row r="211" spans="1:106" outlineLevel="2" x14ac:dyDescent="0.2">
      <c r="A211" s="14">
        <v>1</v>
      </c>
      <c r="C211" s="9" t="str">
        <f>"        Total Contractual Obligations due in year 5"</f>
        <v xml:space="preserve">        Total Contractual Obligations due in year 5</v>
      </c>
      <c r="D211" s="17">
        <f t="shared" si="40"/>
        <v>3533.5</v>
      </c>
      <c r="E211" s="17">
        <f t="shared" si="41"/>
        <v>18890.43181818182</v>
      </c>
      <c r="F211" s="17">
        <f t="shared" si="42"/>
        <v>9</v>
      </c>
      <c r="G211" s="17">
        <f t="shared" si="43"/>
        <v>85927</v>
      </c>
      <c r="H211" s="17">
        <f t="shared" si="44"/>
        <v>1628.5</v>
      </c>
      <c r="I211" s="17">
        <f t="shared" si="45"/>
        <v>15537.875</v>
      </c>
      <c r="J211" s="17">
        <f t="shared" si="46"/>
        <v>31994.762390134052</v>
      </c>
      <c r="K211" s="18">
        <f t="shared" si="47"/>
        <v>1.6937020126421602</v>
      </c>
      <c r="L211" s="21"/>
      <c r="M211" s="21">
        <v>3564</v>
      </c>
      <c r="N211" s="136">
        <v>3533.5</v>
      </c>
      <c r="O211" s="136">
        <v>3039.5</v>
      </c>
      <c r="P211" s="136">
        <v>3886.75</v>
      </c>
      <c r="Q211" s="136">
        <v>27189</v>
      </c>
      <c r="R211" s="21" t="s">
        <v>165</v>
      </c>
      <c r="S211" s="21" t="s">
        <v>165</v>
      </c>
      <c r="T211" s="21">
        <v>77359</v>
      </c>
      <c r="U211" s="21" t="s">
        <v>165</v>
      </c>
      <c r="V211" s="21" t="s">
        <v>165</v>
      </c>
      <c r="W211" s="21" t="s">
        <v>165</v>
      </c>
      <c r="X211" s="21">
        <v>85927</v>
      </c>
      <c r="Y211" s="21" t="s">
        <v>165</v>
      </c>
      <c r="Z211" s="21" t="s">
        <v>165</v>
      </c>
      <c r="AA211" s="21" t="s">
        <v>165</v>
      </c>
      <c r="AB211" s="21">
        <v>1764</v>
      </c>
      <c r="AC211" s="21" t="s">
        <v>165</v>
      </c>
      <c r="AD211" s="21" t="s">
        <v>165</v>
      </c>
      <c r="AE211" s="21" t="s">
        <v>165</v>
      </c>
      <c r="AF211" s="21">
        <v>9</v>
      </c>
      <c r="AG211" s="21" t="s">
        <v>165</v>
      </c>
      <c r="AH211" s="21" t="s">
        <v>165</v>
      </c>
      <c r="AI211" s="21" t="s">
        <v>165</v>
      </c>
      <c r="AJ211" s="21">
        <v>30</v>
      </c>
      <c r="AK211" s="21">
        <v>1493</v>
      </c>
      <c r="AL211" s="21" t="s">
        <v>165</v>
      </c>
      <c r="AM211" s="21" t="s">
        <v>165</v>
      </c>
      <c r="AN211" s="21" t="s">
        <v>165</v>
      </c>
      <c r="AO211" s="21" t="s">
        <v>165</v>
      </c>
      <c r="AP211" s="21" t="s">
        <v>165</v>
      </c>
      <c r="AQ211" s="21" t="s">
        <v>165</v>
      </c>
      <c r="AR211" s="21" t="s">
        <v>165</v>
      </c>
      <c r="AS211" s="21" t="s">
        <v>165</v>
      </c>
      <c r="AT211" s="21" t="s">
        <v>165</v>
      </c>
      <c r="AU211" s="21" t="s">
        <v>165</v>
      </c>
      <c r="AV211" s="21" t="s">
        <v>165</v>
      </c>
      <c r="AW211" s="21" t="s">
        <v>165</v>
      </c>
      <c r="AX211" s="21" t="s">
        <v>165</v>
      </c>
      <c r="AY211" s="21" t="s">
        <v>165</v>
      </c>
      <c r="AZ211" s="21" t="s">
        <v>165</v>
      </c>
      <c r="BA211" s="21" t="s">
        <v>165</v>
      </c>
      <c r="BB211" s="21" t="s">
        <v>165</v>
      </c>
      <c r="BC211" s="21" t="s">
        <v>165</v>
      </c>
      <c r="BD211" s="21" t="s">
        <v>165</v>
      </c>
      <c r="BE211" s="21" t="s">
        <v>165</v>
      </c>
      <c r="BF211" s="21" t="s">
        <v>165</v>
      </c>
      <c r="BG211" s="21" t="s">
        <v>165</v>
      </c>
      <c r="BH211" s="21" t="s">
        <v>165</v>
      </c>
      <c r="BI211" s="21" t="s">
        <v>165</v>
      </c>
      <c r="BJ211" s="21" t="s">
        <v>165</v>
      </c>
      <c r="BK211" s="21" t="s">
        <v>165</v>
      </c>
      <c r="BL211" s="21" t="s">
        <v>165</v>
      </c>
      <c r="BM211" s="21" t="s">
        <v>165</v>
      </c>
      <c r="BN211" s="21" t="s">
        <v>165</v>
      </c>
      <c r="BO211" s="21" t="s">
        <v>165</v>
      </c>
      <c r="BP211" s="21" t="s">
        <v>165</v>
      </c>
      <c r="BQ211" s="21" t="s">
        <v>165</v>
      </c>
      <c r="BR211" s="21" t="s">
        <v>165</v>
      </c>
      <c r="BS211" s="21" t="s">
        <v>165</v>
      </c>
      <c r="BT211" s="21" t="s">
        <v>165</v>
      </c>
      <c r="BU211" s="21" t="s">
        <v>165</v>
      </c>
      <c r="BV211" s="21" t="s">
        <v>165</v>
      </c>
      <c r="BW211" s="21" t="s">
        <v>165</v>
      </c>
      <c r="BX211" s="21" t="s">
        <v>165</v>
      </c>
      <c r="BY211" s="21" t="s">
        <v>165</v>
      </c>
      <c r="BZ211" s="21" t="s">
        <v>165</v>
      </c>
      <c r="CA211" s="21" t="s">
        <v>165</v>
      </c>
      <c r="CB211" s="21" t="s">
        <v>165</v>
      </c>
      <c r="CC211" s="21" t="s">
        <v>165</v>
      </c>
      <c r="CD211" s="21" t="s">
        <v>165</v>
      </c>
      <c r="CE211" s="21" t="s">
        <v>165</v>
      </c>
      <c r="CG211" s="15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</row>
    <row r="212" spans="1:106" outlineLevel="2" x14ac:dyDescent="0.2">
      <c r="A212" s="14">
        <v>1</v>
      </c>
      <c r="C212" s="9" t="str">
        <f>"        Total Contractual Obligations due Beyond"</f>
        <v xml:space="preserve">        Total Contractual Obligations due Beyond</v>
      </c>
      <c r="D212" s="17">
        <f t="shared" si="40"/>
        <v>22036.625</v>
      </c>
      <c r="E212" s="17">
        <f t="shared" si="41"/>
        <v>25207.6875</v>
      </c>
      <c r="F212" s="17">
        <f t="shared" si="42"/>
        <v>2149</v>
      </c>
      <c r="G212" s="17">
        <f t="shared" si="43"/>
        <v>58868.25</v>
      </c>
      <c r="H212" s="17">
        <f t="shared" si="44"/>
        <v>4123</v>
      </c>
      <c r="I212" s="17">
        <f t="shared" si="45"/>
        <v>43494.75</v>
      </c>
      <c r="J212" s="17">
        <f t="shared" si="46"/>
        <v>23593.046129992716</v>
      </c>
      <c r="K212" s="18">
        <f t="shared" si="47"/>
        <v>0.93594646990100605</v>
      </c>
      <c r="L212" s="21"/>
      <c r="M212" s="21">
        <v>42381</v>
      </c>
      <c r="N212" s="136">
        <v>46836</v>
      </c>
      <c r="O212" s="136">
        <v>38163.25</v>
      </c>
      <c r="P212" s="136">
        <v>58868.25</v>
      </c>
      <c r="Q212" s="136">
        <v>2149</v>
      </c>
      <c r="R212" s="21" t="s">
        <v>165</v>
      </c>
      <c r="S212" s="21" t="s">
        <v>165</v>
      </c>
      <c r="T212" s="21">
        <v>2785</v>
      </c>
      <c r="U212" s="21" t="s">
        <v>165</v>
      </c>
      <c r="V212" s="21" t="s">
        <v>165</v>
      </c>
      <c r="W212" s="21" t="s">
        <v>165</v>
      </c>
      <c r="X212" s="21">
        <v>4569</v>
      </c>
      <c r="Y212" s="21" t="s">
        <v>165</v>
      </c>
      <c r="Z212" s="21" t="s">
        <v>165</v>
      </c>
      <c r="AA212" s="21" t="s">
        <v>165</v>
      </c>
      <c r="AB212" s="21">
        <v>5910</v>
      </c>
      <c r="AC212" s="21" t="s">
        <v>165</v>
      </c>
      <c r="AD212" s="21" t="s">
        <v>165</v>
      </c>
      <c r="AE212" s="21" t="s">
        <v>165</v>
      </c>
      <c r="AF212" s="21" t="s">
        <v>165</v>
      </c>
      <c r="AG212" s="21" t="s">
        <v>165</v>
      </c>
      <c r="AH212" s="21" t="s">
        <v>165</v>
      </c>
      <c r="AI212" s="21" t="s">
        <v>165</v>
      </c>
      <c r="AJ212" s="21" t="s">
        <v>165</v>
      </c>
      <c r="AK212" s="21" t="s">
        <v>165</v>
      </c>
      <c r="AL212" s="21" t="s">
        <v>165</v>
      </c>
      <c r="AM212" s="21" t="s">
        <v>165</v>
      </c>
      <c r="AN212" s="21" t="s">
        <v>165</v>
      </c>
      <c r="AO212" s="21" t="s">
        <v>165</v>
      </c>
      <c r="AP212" s="21" t="s">
        <v>165</v>
      </c>
      <c r="AQ212" s="21" t="s">
        <v>165</v>
      </c>
      <c r="AR212" s="21" t="s">
        <v>165</v>
      </c>
      <c r="AS212" s="21" t="s">
        <v>165</v>
      </c>
      <c r="AT212" s="21" t="s">
        <v>165</v>
      </c>
      <c r="AU212" s="21" t="s">
        <v>165</v>
      </c>
      <c r="AV212" s="21" t="s">
        <v>165</v>
      </c>
      <c r="AW212" s="21" t="s">
        <v>165</v>
      </c>
      <c r="AX212" s="21" t="s">
        <v>165</v>
      </c>
      <c r="AY212" s="21" t="s">
        <v>165</v>
      </c>
      <c r="AZ212" s="21" t="s">
        <v>165</v>
      </c>
      <c r="BA212" s="21" t="s">
        <v>165</v>
      </c>
      <c r="BB212" s="21" t="s">
        <v>165</v>
      </c>
      <c r="BC212" s="21" t="s">
        <v>165</v>
      </c>
      <c r="BD212" s="21" t="s">
        <v>165</v>
      </c>
      <c r="BE212" s="21" t="s">
        <v>165</v>
      </c>
      <c r="BF212" s="21" t="s">
        <v>165</v>
      </c>
      <c r="BG212" s="21" t="s">
        <v>165</v>
      </c>
      <c r="BH212" s="21" t="s">
        <v>165</v>
      </c>
      <c r="BI212" s="21" t="s">
        <v>165</v>
      </c>
      <c r="BJ212" s="21" t="s">
        <v>165</v>
      </c>
      <c r="BK212" s="21" t="s">
        <v>165</v>
      </c>
      <c r="BL212" s="21" t="s">
        <v>165</v>
      </c>
      <c r="BM212" s="21" t="s">
        <v>165</v>
      </c>
      <c r="BN212" s="21" t="s">
        <v>165</v>
      </c>
      <c r="BO212" s="21" t="s">
        <v>165</v>
      </c>
      <c r="BP212" s="21" t="s">
        <v>165</v>
      </c>
      <c r="BQ212" s="21" t="s">
        <v>165</v>
      </c>
      <c r="BR212" s="21" t="s">
        <v>165</v>
      </c>
      <c r="BS212" s="21" t="s">
        <v>165</v>
      </c>
      <c r="BT212" s="21" t="s">
        <v>165</v>
      </c>
      <c r="BU212" s="21" t="s">
        <v>165</v>
      </c>
      <c r="BV212" s="21" t="s">
        <v>165</v>
      </c>
      <c r="BW212" s="21" t="s">
        <v>165</v>
      </c>
      <c r="BX212" s="21" t="s">
        <v>165</v>
      </c>
      <c r="BY212" s="21" t="s">
        <v>165</v>
      </c>
      <c r="BZ212" s="21" t="s">
        <v>165</v>
      </c>
      <c r="CA212" s="21" t="s">
        <v>165</v>
      </c>
      <c r="CB212" s="21" t="s">
        <v>165</v>
      </c>
      <c r="CC212" s="21" t="s">
        <v>165</v>
      </c>
      <c r="CD212" s="21" t="s">
        <v>165</v>
      </c>
      <c r="CE212" s="21" t="s">
        <v>165</v>
      </c>
      <c r="CG212" s="15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</row>
    <row r="213" spans="1:106" outlineLevel="2" x14ac:dyDescent="0.2">
      <c r="A213" s="14">
        <v>1</v>
      </c>
      <c r="C213" s="9" t="str">
        <f>"        Total Contractual Obligations - Interests Charges and Other Adjustments"</f>
        <v xml:space="preserve">        Total Contractual Obligations - Interests Charges and Other Adjustments</v>
      </c>
      <c r="D213" s="17">
        <f t="shared" si="40"/>
        <v>-12683</v>
      </c>
      <c r="E213" s="17">
        <f t="shared" si="41"/>
        <v>-12066.166666666666</v>
      </c>
      <c r="F213" s="17">
        <f t="shared" si="42"/>
        <v>-29954.75</v>
      </c>
      <c r="G213" s="17">
        <f t="shared" si="43"/>
        <v>-301</v>
      </c>
      <c r="H213" s="17">
        <f t="shared" si="44"/>
        <v>-18888.6875</v>
      </c>
      <c r="I213" s="17">
        <f t="shared" si="45"/>
        <v>-440.25</v>
      </c>
      <c r="J213" s="17">
        <f t="shared" si="46"/>
        <v>9922.4294577838646</v>
      </c>
      <c r="K213" s="18">
        <f t="shared" si="47"/>
        <v>-0.82233485844307352</v>
      </c>
      <c r="L213" s="21"/>
      <c r="M213" s="21">
        <v>-19889</v>
      </c>
      <c r="N213" s="133">
        <v>-21824</v>
      </c>
      <c r="O213" s="133">
        <v>-18555.25</v>
      </c>
      <c r="P213" s="133">
        <v>-29954.75</v>
      </c>
      <c r="Q213" s="133">
        <v>-16100</v>
      </c>
      <c r="R213" s="21" t="s">
        <v>165</v>
      </c>
      <c r="S213" s="21" t="s">
        <v>165</v>
      </c>
      <c r="T213" s="21">
        <v>-12600</v>
      </c>
      <c r="U213" s="21" t="s">
        <v>165</v>
      </c>
      <c r="V213" s="21" t="s">
        <v>165</v>
      </c>
      <c r="W213" s="21" t="s">
        <v>165</v>
      </c>
      <c r="X213" s="21" t="s">
        <v>165</v>
      </c>
      <c r="Y213" s="21" t="s">
        <v>165</v>
      </c>
      <c r="Z213" s="21" t="s">
        <v>165</v>
      </c>
      <c r="AA213" s="21" t="s">
        <v>165</v>
      </c>
      <c r="AB213" s="21" t="s">
        <v>165</v>
      </c>
      <c r="AC213" s="21" t="s">
        <v>165</v>
      </c>
      <c r="AD213" s="21" t="s">
        <v>165</v>
      </c>
      <c r="AE213" s="21" t="s">
        <v>165</v>
      </c>
      <c r="AF213" s="21">
        <v>-12766</v>
      </c>
      <c r="AG213" s="21">
        <v>-301</v>
      </c>
      <c r="AH213" s="21">
        <v>-339</v>
      </c>
      <c r="AI213" s="21">
        <v>-378</v>
      </c>
      <c r="AJ213" s="21">
        <v>-11626</v>
      </c>
      <c r="AK213" s="21">
        <v>-461</v>
      </c>
      <c r="AL213" s="21" t="s">
        <v>165</v>
      </c>
      <c r="AM213" s="21" t="s">
        <v>165</v>
      </c>
      <c r="AN213" s="21" t="s">
        <v>165</v>
      </c>
      <c r="AO213" s="21" t="s">
        <v>165</v>
      </c>
      <c r="AP213" s="21" t="s">
        <v>165</v>
      </c>
      <c r="AQ213" s="21" t="s">
        <v>165</v>
      </c>
      <c r="AR213" s="21" t="s">
        <v>165</v>
      </c>
      <c r="AS213" s="21" t="s">
        <v>165</v>
      </c>
      <c r="AT213" s="21" t="s">
        <v>165</v>
      </c>
      <c r="AU213" s="21" t="s">
        <v>165</v>
      </c>
      <c r="AV213" s="21" t="s">
        <v>165</v>
      </c>
      <c r="AW213" s="21" t="s">
        <v>165</v>
      </c>
      <c r="AX213" s="21" t="s">
        <v>165</v>
      </c>
      <c r="AY213" s="21" t="s">
        <v>165</v>
      </c>
      <c r="AZ213" s="21" t="s">
        <v>165</v>
      </c>
      <c r="BA213" s="21" t="s">
        <v>165</v>
      </c>
      <c r="BB213" s="21" t="s">
        <v>165</v>
      </c>
      <c r="BC213" s="21" t="s">
        <v>165</v>
      </c>
      <c r="BD213" s="21" t="s">
        <v>165</v>
      </c>
      <c r="BE213" s="21" t="s">
        <v>165</v>
      </c>
      <c r="BF213" s="21" t="s">
        <v>165</v>
      </c>
      <c r="BG213" s="21" t="s">
        <v>165</v>
      </c>
      <c r="BH213" s="21" t="s">
        <v>165</v>
      </c>
      <c r="BI213" s="21" t="s">
        <v>165</v>
      </c>
      <c r="BJ213" s="21" t="s">
        <v>165</v>
      </c>
      <c r="BK213" s="21" t="s">
        <v>165</v>
      </c>
      <c r="BL213" s="21" t="s">
        <v>165</v>
      </c>
      <c r="BM213" s="21" t="s">
        <v>165</v>
      </c>
      <c r="BN213" s="21" t="s">
        <v>165</v>
      </c>
      <c r="BO213" s="21" t="s">
        <v>165</v>
      </c>
      <c r="BP213" s="21" t="s">
        <v>165</v>
      </c>
      <c r="BQ213" s="21" t="s">
        <v>165</v>
      </c>
      <c r="BR213" s="21" t="s">
        <v>165</v>
      </c>
      <c r="BS213" s="21" t="s">
        <v>165</v>
      </c>
      <c r="BT213" s="21" t="s">
        <v>165</v>
      </c>
      <c r="BU213" s="21" t="s">
        <v>165</v>
      </c>
      <c r="BV213" s="21" t="s">
        <v>165</v>
      </c>
      <c r="BW213" s="21" t="s">
        <v>165</v>
      </c>
      <c r="BX213" s="21" t="s">
        <v>165</v>
      </c>
      <c r="BY213" s="21" t="s">
        <v>165</v>
      </c>
      <c r="BZ213" s="21" t="s">
        <v>165</v>
      </c>
      <c r="CA213" s="21" t="s">
        <v>165</v>
      </c>
      <c r="CB213" s="21" t="s">
        <v>165</v>
      </c>
      <c r="CC213" s="21" t="s">
        <v>165</v>
      </c>
      <c r="CD213" s="21" t="s">
        <v>165</v>
      </c>
      <c r="CE213" s="21" t="s">
        <v>165</v>
      </c>
      <c r="CG213" s="15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</row>
    <row r="214" spans="1:106" outlineLevel="2" x14ac:dyDescent="0.2">
      <c r="A214" s="14">
        <v>1</v>
      </c>
      <c r="C214" s="10" t="str">
        <f>"        Total Contractual Obligations"</f>
        <v xml:space="preserve">        Total Contractual Obligations</v>
      </c>
      <c r="D214" s="29">
        <f t="shared" si="40"/>
        <v>61892.25</v>
      </c>
      <c r="E214" s="29">
        <f t="shared" si="41"/>
        <v>86912.142857142855</v>
      </c>
      <c r="F214" s="29">
        <f t="shared" si="42"/>
        <v>2533</v>
      </c>
      <c r="G214" s="29">
        <f t="shared" si="43"/>
        <v>235594</v>
      </c>
      <c r="H214" s="29">
        <f t="shared" si="44"/>
        <v>6175.25</v>
      </c>
      <c r="I214" s="29">
        <f t="shared" si="45"/>
        <v>156661.75</v>
      </c>
      <c r="J214" s="29">
        <f t="shared" si="46"/>
        <v>85992.965726279595</v>
      </c>
      <c r="K214" s="30">
        <f t="shared" si="47"/>
        <v>0.98942406549135364</v>
      </c>
      <c r="L214" s="31"/>
      <c r="M214" s="31">
        <v>42585</v>
      </c>
      <c r="N214" s="137">
        <v>44546</v>
      </c>
      <c r="O214" s="137">
        <v>79238.5</v>
      </c>
      <c r="P214" s="137">
        <v>89296.5</v>
      </c>
      <c r="Q214" s="137">
        <v>203947</v>
      </c>
      <c r="R214" s="31" t="s">
        <v>165</v>
      </c>
      <c r="S214" s="31" t="s">
        <v>165</v>
      </c>
      <c r="T214" s="31">
        <v>235594</v>
      </c>
      <c r="U214" s="31" t="s">
        <v>165</v>
      </c>
      <c r="V214" s="31" t="s">
        <v>165</v>
      </c>
      <c r="W214" s="31" t="s">
        <v>165</v>
      </c>
      <c r="X214" s="31">
        <v>210642</v>
      </c>
      <c r="Y214" s="31" t="s">
        <v>165</v>
      </c>
      <c r="Z214" s="31" t="s">
        <v>165</v>
      </c>
      <c r="AA214" s="31" t="s">
        <v>165</v>
      </c>
      <c r="AB214" s="31">
        <v>15794</v>
      </c>
      <c r="AC214" s="31" t="s">
        <v>165</v>
      </c>
      <c r="AD214" s="31" t="s">
        <v>165</v>
      </c>
      <c r="AE214" s="31" t="s">
        <v>165</v>
      </c>
      <c r="AF214" s="31">
        <v>171210</v>
      </c>
      <c r="AG214" s="31">
        <v>2533</v>
      </c>
      <c r="AH214" s="31">
        <v>2644</v>
      </c>
      <c r="AI214" s="31">
        <v>2754</v>
      </c>
      <c r="AJ214" s="31">
        <v>113017</v>
      </c>
      <c r="AK214" s="31">
        <v>2969</v>
      </c>
      <c r="AL214" s="31" t="s">
        <v>165</v>
      </c>
      <c r="AM214" s="31" t="s">
        <v>165</v>
      </c>
      <c r="AN214" s="31" t="s">
        <v>165</v>
      </c>
      <c r="AO214" s="31" t="s">
        <v>165</v>
      </c>
      <c r="AP214" s="31" t="s">
        <v>165</v>
      </c>
      <c r="AQ214" s="31" t="s">
        <v>165</v>
      </c>
      <c r="AR214" s="31" t="s">
        <v>165</v>
      </c>
      <c r="AS214" s="31" t="s">
        <v>165</v>
      </c>
      <c r="AT214" s="31" t="s">
        <v>165</v>
      </c>
      <c r="AU214" s="31" t="s">
        <v>165</v>
      </c>
      <c r="AV214" s="31" t="s">
        <v>165</v>
      </c>
      <c r="AW214" s="31" t="s">
        <v>165</v>
      </c>
      <c r="AX214" s="31" t="s">
        <v>165</v>
      </c>
      <c r="AY214" s="31" t="s">
        <v>165</v>
      </c>
      <c r="AZ214" s="31" t="s">
        <v>165</v>
      </c>
      <c r="BA214" s="31" t="s">
        <v>165</v>
      </c>
      <c r="BB214" s="31" t="s">
        <v>165</v>
      </c>
      <c r="BC214" s="31" t="s">
        <v>165</v>
      </c>
      <c r="BD214" s="31" t="s">
        <v>165</v>
      </c>
      <c r="BE214" s="31" t="s">
        <v>165</v>
      </c>
      <c r="BF214" s="31" t="s">
        <v>165</v>
      </c>
      <c r="BG214" s="31" t="s">
        <v>165</v>
      </c>
      <c r="BH214" s="31" t="s">
        <v>165</v>
      </c>
      <c r="BI214" s="31" t="s">
        <v>165</v>
      </c>
      <c r="BJ214" s="31" t="s">
        <v>165</v>
      </c>
      <c r="BK214" s="31" t="s">
        <v>165</v>
      </c>
      <c r="BL214" s="31" t="s">
        <v>165</v>
      </c>
      <c r="BM214" s="31" t="s">
        <v>165</v>
      </c>
      <c r="BN214" s="31" t="s">
        <v>165</v>
      </c>
      <c r="BO214" s="31" t="s">
        <v>165</v>
      </c>
      <c r="BP214" s="31" t="s">
        <v>165</v>
      </c>
      <c r="BQ214" s="31" t="s">
        <v>165</v>
      </c>
      <c r="BR214" s="31" t="s">
        <v>165</v>
      </c>
      <c r="BS214" s="31" t="s">
        <v>165</v>
      </c>
      <c r="BT214" s="31" t="s">
        <v>165</v>
      </c>
      <c r="BU214" s="31" t="s">
        <v>165</v>
      </c>
      <c r="BV214" s="31" t="s">
        <v>165</v>
      </c>
      <c r="BW214" s="31" t="s">
        <v>165</v>
      </c>
      <c r="BX214" s="31" t="s">
        <v>165</v>
      </c>
      <c r="BY214" s="31" t="s">
        <v>165</v>
      </c>
      <c r="BZ214" s="31" t="s">
        <v>165</v>
      </c>
      <c r="CA214" s="31" t="s">
        <v>165</v>
      </c>
      <c r="CB214" s="31" t="s">
        <v>165</v>
      </c>
      <c r="CC214" s="31" t="s">
        <v>165</v>
      </c>
      <c r="CD214" s="31" t="s">
        <v>165</v>
      </c>
      <c r="CE214" s="31" t="s">
        <v>165</v>
      </c>
      <c r="CG214" s="15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</row>
    <row r="215" spans="1:106" x14ac:dyDescent="0.2">
      <c r="A215" s="14">
        <v>1</v>
      </c>
      <c r="C215" s="91" t="str">
        <f>"Financial Health Metrics"</f>
        <v>Financial Health Metrics</v>
      </c>
      <c r="D215" s="28"/>
      <c r="E215" s="28"/>
      <c r="F215" s="28"/>
      <c r="G215" s="28"/>
      <c r="H215" s="28"/>
      <c r="I215" s="28"/>
      <c r="J215" s="28"/>
      <c r="K215" s="28"/>
      <c r="L215" s="28"/>
      <c r="M215" s="28" t="s">
        <v>165</v>
      </c>
      <c r="N215" s="28"/>
      <c r="O215" s="28"/>
      <c r="P215" s="28"/>
      <c r="Q215" s="28"/>
      <c r="R215" s="28" t="s">
        <v>165</v>
      </c>
      <c r="S215" s="28" t="s">
        <v>165</v>
      </c>
      <c r="T215" s="28" t="s">
        <v>165</v>
      </c>
      <c r="U215" s="28" t="s">
        <v>165</v>
      </c>
      <c r="V215" s="28" t="s">
        <v>165</v>
      </c>
      <c r="W215" s="28" t="s">
        <v>165</v>
      </c>
      <c r="X215" s="28" t="s">
        <v>165</v>
      </c>
      <c r="Y215" s="28" t="s">
        <v>165</v>
      </c>
      <c r="Z215" s="28" t="s">
        <v>165</v>
      </c>
      <c r="AA215" s="28" t="s">
        <v>165</v>
      </c>
      <c r="AB215" s="28" t="s">
        <v>165</v>
      </c>
      <c r="AC215" s="28" t="s">
        <v>165</v>
      </c>
      <c r="AD215" s="28" t="s">
        <v>165</v>
      </c>
      <c r="AE215" s="28" t="s">
        <v>165</v>
      </c>
      <c r="AF215" s="28" t="s">
        <v>165</v>
      </c>
      <c r="AG215" s="28" t="s">
        <v>165</v>
      </c>
      <c r="AH215" s="28" t="s">
        <v>165</v>
      </c>
      <c r="AI215" s="28" t="s">
        <v>165</v>
      </c>
      <c r="AJ215" s="28" t="s">
        <v>165</v>
      </c>
      <c r="AK215" s="28" t="s">
        <v>165</v>
      </c>
      <c r="AL215" s="28" t="s">
        <v>165</v>
      </c>
      <c r="AM215" s="28" t="s">
        <v>165</v>
      </c>
      <c r="AN215" s="28" t="s">
        <v>165</v>
      </c>
      <c r="AO215" s="28" t="s">
        <v>165</v>
      </c>
      <c r="AP215" s="28" t="s">
        <v>165</v>
      </c>
      <c r="AQ215" s="28" t="s">
        <v>165</v>
      </c>
      <c r="AR215" s="28" t="s">
        <v>165</v>
      </c>
      <c r="AS215" s="28" t="s">
        <v>165</v>
      </c>
      <c r="AT215" s="28" t="s">
        <v>165</v>
      </c>
      <c r="AU215" s="28" t="s">
        <v>165</v>
      </c>
      <c r="AV215" s="28" t="s">
        <v>165</v>
      </c>
      <c r="AW215" s="28" t="s">
        <v>165</v>
      </c>
      <c r="AX215" s="28" t="s">
        <v>165</v>
      </c>
      <c r="AY215" s="28" t="s">
        <v>165</v>
      </c>
      <c r="AZ215" s="28" t="s">
        <v>165</v>
      </c>
      <c r="BA215" s="28" t="s">
        <v>165</v>
      </c>
      <c r="BB215" s="28" t="s">
        <v>165</v>
      </c>
      <c r="BC215" s="28" t="s">
        <v>165</v>
      </c>
      <c r="BD215" s="28" t="s">
        <v>165</v>
      </c>
      <c r="BE215" s="28" t="s">
        <v>165</v>
      </c>
      <c r="BF215" s="28" t="s">
        <v>165</v>
      </c>
      <c r="BG215" s="28" t="s">
        <v>165</v>
      </c>
      <c r="BH215" s="28" t="s">
        <v>165</v>
      </c>
      <c r="BI215" s="28" t="s">
        <v>165</v>
      </c>
      <c r="BJ215" s="28" t="s">
        <v>165</v>
      </c>
      <c r="BK215" s="28" t="s">
        <v>165</v>
      </c>
      <c r="BL215" s="28" t="s">
        <v>165</v>
      </c>
      <c r="BM215" s="28" t="s">
        <v>165</v>
      </c>
      <c r="BN215" s="28" t="s">
        <v>165</v>
      </c>
      <c r="BO215" s="28" t="s">
        <v>165</v>
      </c>
      <c r="BP215" s="28" t="s">
        <v>165</v>
      </c>
      <c r="BQ215" s="28" t="s">
        <v>165</v>
      </c>
      <c r="BR215" s="28" t="s">
        <v>165</v>
      </c>
      <c r="BS215" s="28" t="s">
        <v>165</v>
      </c>
      <c r="BT215" s="28" t="s">
        <v>165</v>
      </c>
      <c r="BU215" s="28" t="s">
        <v>165</v>
      </c>
      <c r="BV215" s="28" t="s">
        <v>165</v>
      </c>
      <c r="BW215" s="28" t="s">
        <v>165</v>
      </c>
      <c r="BX215" s="28" t="s">
        <v>165</v>
      </c>
      <c r="BY215" s="28" t="s">
        <v>165</v>
      </c>
      <c r="BZ215" s="28" t="s">
        <v>165</v>
      </c>
      <c r="CA215" s="28" t="s">
        <v>165</v>
      </c>
      <c r="CB215" s="28" t="s">
        <v>165</v>
      </c>
      <c r="CC215" s="28" t="s">
        <v>165</v>
      </c>
      <c r="CD215" s="28" t="s">
        <v>165</v>
      </c>
      <c r="CE215" s="28" t="s">
        <v>165</v>
      </c>
      <c r="CG215" s="15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</row>
    <row r="216" spans="1:106" outlineLevel="1" x14ac:dyDescent="0.2">
      <c r="A216" s="14">
        <v>1</v>
      </c>
      <c r="C216" s="9" t="str">
        <f>"    Total Debt"</f>
        <v xml:space="preserve">    Total Debt</v>
      </c>
      <c r="D216" s="17">
        <f t="shared" ref="D216:D226" si="48">IF(COUNT(M216:CE216)&gt;0,MEDIAN(M216:CE216),"")</f>
        <v>80685</v>
      </c>
      <c r="E216" s="17">
        <f t="shared" ref="E216:E226" si="49">IF(COUNT(M216:CE216)&gt;0,AVERAGE(M216:CE216),"")</f>
        <v>94710.526253521151</v>
      </c>
      <c r="F216" s="17">
        <f t="shared" ref="F216:F226" si="50">IF(COUNT(M216:CE216)&gt;0,MIN(M216:CE216),"")</f>
        <v>340</v>
      </c>
      <c r="G216" s="17">
        <f t="shared" ref="G216:G226" si="51">IF(COUNT(M216:CE216)&gt;0,MAX(M216:CE216),"")</f>
        <v>289292</v>
      </c>
      <c r="H216" s="17">
        <f t="shared" ref="H216:H226" si="52">IF(COUNT(M216:CE216)&gt;0,QUARTILE(M216:CE216,1),"")</f>
        <v>42000</v>
      </c>
      <c r="I216" s="17">
        <f t="shared" ref="I216:I226" si="53">IF(COUNT(M216:CE216)&gt;0,QUARTILE(M216:CE216,3),"")</f>
        <v>136838.37400000001</v>
      </c>
      <c r="J216" s="17">
        <f t="shared" ref="J216:J226" si="54">IF(COUNT(M216:CE216)&gt;1,STDEV(M216:CE216),"")</f>
        <v>69593.517089399829</v>
      </c>
      <c r="K216" s="18">
        <f t="shared" ref="K216:K226" si="55">IF(COUNT(M216:CE216)&gt;1,STDEV(M216:CE216)/AVERAGE(M216:CE216),"")</f>
        <v>0.73480234819001944</v>
      </c>
      <c r="L216" s="21"/>
      <c r="M216" s="21">
        <v>40281</v>
      </c>
      <c r="N216" s="136">
        <v>41074.25</v>
      </c>
      <c r="O216" s="136">
        <v>138429</v>
      </c>
      <c r="P216" s="136">
        <v>224135</v>
      </c>
      <c r="Q216" s="136">
        <v>216026</v>
      </c>
      <c r="R216" s="21">
        <v>289292</v>
      </c>
      <c r="S216" s="21">
        <v>241228</v>
      </c>
      <c r="T216" s="21">
        <v>217979</v>
      </c>
      <c r="U216" s="21">
        <v>168290</v>
      </c>
      <c r="V216" s="21">
        <v>194623</v>
      </c>
      <c r="W216" s="21">
        <v>171505</v>
      </c>
      <c r="X216" s="21">
        <v>174319</v>
      </c>
      <c r="Y216" s="21">
        <v>174223</v>
      </c>
      <c r="Z216" s="21">
        <v>175582</v>
      </c>
      <c r="AA216" s="21">
        <v>177047</v>
      </c>
      <c r="AB216" s="21">
        <v>171429</v>
      </c>
      <c r="AC216" s="21">
        <v>275000</v>
      </c>
      <c r="AD216" s="21">
        <v>175000</v>
      </c>
      <c r="AE216" s="21">
        <v>175000</v>
      </c>
      <c r="AF216" s="21">
        <v>100000</v>
      </c>
      <c r="AG216" s="21">
        <v>100781</v>
      </c>
      <c r="AH216" s="21">
        <v>101243</v>
      </c>
      <c r="AI216" s="21">
        <v>101718</v>
      </c>
      <c r="AJ216" s="21">
        <v>44001</v>
      </c>
      <c r="AK216" s="21">
        <v>43995</v>
      </c>
      <c r="AL216" s="21">
        <v>44778</v>
      </c>
      <c r="AM216" s="21">
        <v>45251</v>
      </c>
      <c r="AN216" s="21">
        <v>50418</v>
      </c>
      <c r="AO216" s="21">
        <v>50000</v>
      </c>
      <c r="AP216" s="21">
        <v>80542</v>
      </c>
      <c r="AQ216" s="21">
        <v>81111</v>
      </c>
      <c r="AR216" s="21">
        <v>80000</v>
      </c>
      <c r="AS216" s="21">
        <v>80275</v>
      </c>
      <c r="AT216" s="21">
        <v>80685</v>
      </c>
      <c r="AU216" s="21">
        <v>81094</v>
      </c>
      <c r="AV216" s="21">
        <v>80000</v>
      </c>
      <c r="AW216" s="21">
        <v>80540</v>
      </c>
      <c r="AX216" s="21">
        <v>86161</v>
      </c>
      <c r="AY216" s="21">
        <v>87551</v>
      </c>
      <c r="AZ216" s="21">
        <v>85984</v>
      </c>
      <c r="BA216" s="21">
        <v>87578.167000000001</v>
      </c>
      <c r="BB216" s="21">
        <v>90402.433999999994</v>
      </c>
      <c r="BC216" s="21">
        <v>108410.576</v>
      </c>
      <c r="BD216" s="21">
        <v>127693.62699999999</v>
      </c>
      <c r="BE216" s="21">
        <v>141322.038</v>
      </c>
      <c r="BF216" s="21">
        <v>135247.74799999999</v>
      </c>
      <c r="BG216" s="21">
        <v>134862.21</v>
      </c>
      <c r="BH216" s="21">
        <v>123426.001</v>
      </c>
      <c r="BI216" s="21">
        <v>124653.693</v>
      </c>
      <c r="BJ216" s="21">
        <v>19697.837</v>
      </c>
      <c r="BK216" s="21">
        <v>18615.007000000001</v>
      </c>
      <c r="BL216" s="21">
        <v>16028.401</v>
      </c>
      <c r="BM216" s="21">
        <v>18938.186000000002</v>
      </c>
      <c r="BN216" s="21">
        <v>21335.701000000001</v>
      </c>
      <c r="BO216" s="21">
        <v>19726.837</v>
      </c>
      <c r="BP216" s="21">
        <v>17614.887999999999</v>
      </c>
      <c r="BQ216" s="21">
        <v>18000</v>
      </c>
      <c r="BR216" s="21">
        <v>39931.805999999997</v>
      </c>
      <c r="BS216" s="21">
        <v>40929.480000000003</v>
      </c>
      <c r="BT216" s="21">
        <v>41909.502</v>
      </c>
      <c r="BU216" s="21">
        <v>42000</v>
      </c>
      <c r="BV216" s="21">
        <v>42000</v>
      </c>
      <c r="BW216" s="21">
        <v>42000</v>
      </c>
      <c r="BX216" s="21">
        <v>43000</v>
      </c>
      <c r="BY216" s="21">
        <v>45000</v>
      </c>
      <c r="BZ216" s="21">
        <v>45000</v>
      </c>
      <c r="CA216" s="21">
        <v>45000</v>
      </c>
      <c r="CB216" s="21">
        <v>45357.425000000003</v>
      </c>
      <c r="CC216" s="21">
        <v>1097.425</v>
      </c>
      <c r="CD216" s="21">
        <v>738.125</v>
      </c>
      <c r="CE216" s="21">
        <v>340</v>
      </c>
      <c r="CG216" s="15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</row>
    <row r="217" spans="1:106" outlineLevel="1" x14ac:dyDescent="0.2">
      <c r="A217" s="14">
        <v>1</v>
      </c>
      <c r="C217" s="9" t="str">
        <f>"    Net Debt"</f>
        <v xml:space="preserve">    Net Debt</v>
      </c>
      <c r="D217" s="17">
        <f t="shared" si="48"/>
        <v>37086</v>
      </c>
      <c r="E217" s="17">
        <f t="shared" si="49"/>
        <v>54678.627915492958</v>
      </c>
      <c r="F217" s="17">
        <f t="shared" si="50"/>
        <v>-84800</v>
      </c>
      <c r="G217" s="17">
        <f t="shared" si="51"/>
        <v>221121</v>
      </c>
      <c r="H217" s="17">
        <f t="shared" si="52"/>
        <v>18238.815999999999</v>
      </c>
      <c r="I217" s="17">
        <f t="shared" si="53"/>
        <v>108836.167</v>
      </c>
      <c r="J217" s="17">
        <f t="shared" si="54"/>
        <v>65654.187433173531</v>
      </c>
      <c r="K217" s="18">
        <f t="shared" si="55"/>
        <v>1.2007285101345913</v>
      </c>
      <c r="L217" s="21"/>
      <c r="M217" s="21">
        <v>-80447</v>
      </c>
      <c r="N217" s="136">
        <v>-84800</v>
      </c>
      <c r="O217" s="136">
        <v>65446</v>
      </c>
      <c r="P217" s="136">
        <v>185869.25</v>
      </c>
      <c r="Q217" s="136">
        <v>178851.75</v>
      </c>
      <c r="R217" s="21">
        <v>221121</v>
      </c>
      <c r="S217" s="21">
        <v>197856</v>
      </c>
      <c r="T217" s="21">
        <v>156430</v>
      </c>
      <c r="U217" s="21">
        <v>114037</v>
      </c>
      <c r="V217" s="21">
        <v>120727</v>
      </c>
      <c r="W217" s="21">
        <v>-43507</v>
      </c>
      <c r="X217" s="21">
        <v>-16960</v>
      </c>
      <c r="Y217" s="21">
        <v>69003</v>
      </c>
      <c r="Z217" s="21">
        <v>121518</v>
      </c>
      <c r="AA217" s="21">
        <v>121630</v>
      </c>
      <c r="AB217" s="21">
        <v>129207</v>
      </c>
      <c r="AC217" s="21">
        <v>215990</v>
      </c>
      <c r="AD217" s="21">
        <v>110627</v>
      </c>
      <c r="AE217" s="21">
        <v>91542</v>
      </c>
      <c r="AF217" s="21">
        <v>31140</v>
      </c>
      <c r="AG217" s="21">
        <v>55493</v>
      </c>
      <c r="AH217" s="21">
        <v>48321</v>
      </c>
      <c r="AI217" s="21">
        <v>-41389</v>
      </c>
      <c r="AJ217" s="21">
        <v>-53141</v>
      </c>
      <c r="AK217" s="21">
        <v>-14662</v>
      </c>
      <c r="AL217" s="21">
        <v>-13177</v>
      </c>
      <c r="AM217" s="21">
        <v>-11956</v>
      </c>
      <c r="AN217" s="21">
        <v>-2965</v>
      </c>
      <c r="AO217" s="21">
        <v>24255</v>
      </c>
      <c r="AP217" s="21">
        <v>31352</v>
      </c>
      <c r="AQ217" s="21">
        <v>43429</v>
      </c>
      <c r="AR217" s="21">
        <v>27529</v>
      </c>
      <c r="AS217" s="21">
        <v>47681</v>
      </c>
      <c r="AT217" s="21">
        <v>37086</v>
      </c>
      <c r="AU217" s="21">
        <v>54414</v>
      </c>
      <c r="AV217" s="21">
        <v>40145</v>
      </c>
      <c r="AW217" s="21">
        <v>43495</v>
      </c>
      <c r="AX217" s="21">
        <v>39765</v>
      </c>
      <c r="AY217" s="21">
        <v>52378</v>
      </c>
      <c r="AZ217" s="21">
        <v>46162</v>
      </c>
      <c r="BA217" s="21">
        <v>66238.45</v>
      </c>
      <c r="BB217" s="21">
        <v>87552.433000000005</v>
      </c>
      <c r="BC217" s="21">
        <v>107045.334</v>
      </c>
      <c r="BD217" s="21">
        <v>123334.77099999999</v>
      </c>
      <c r="BE217" s="21">
        <v>137666.11600000001</v>
      </c>
      <c r="BF217" s="21">
        <v>134657.07800000001</v>
      </c>
      <c r="BG217" s="21">
        <v>133853.83100000001</v>
      </c>
      <c r="BH217" s="21">
        <v>119360.673</v>
      </c>
      <c r="BI217" s="21">
        <v>122802.056</v>
      </c>
      <c r="BJ217" s="21">
        <v>19043.402999999998</v>
      </c>
      <c r="BK217" s="21">
        <v>17355.530999999999</v>
      </c>
      <c r="BL217" s="21">
        <v>15297.094999999999</v>
      </c>
      <c r="BM217" s="21">
        <v>17982.780999999999</v>
      </c>
      <c r="BN217" s="21">
        <v>20838.007000000001</v>
      </c>
      <c r="BO217" s="21">
        <v>18494.850999999999</v>
      </c>
      <c r="BP217" s="21">
        <v>13533.413</v>
      </c>
      <c r="BQ217" s="21">
        <v>17067.731</v>
      </c>
      <c r="BR217" s="21">
        <v>35540.387999999999</v>
      </c>
      <c r="BS217" s="21">
        <v>37407.298999999999</v>
      </c>
      <c r="BT217" s="21">
        <v>34860.101000000002</v>
      </c>
      <c r="BU217" s="21">
        <v>35586.978000000003</v>
      </c>
      <c r="BV217" s="21">
        <v>29943.721000000001</v>
      </c>
      <c r="BW217" s="21">
        <v>31291.831999999999</v>
      </c>
      <c r="BX217" s="21">
        <v>29237.55</v>
      </c>
      <c r="BY217" s="21">
        <v>30889.135999999999</v>
      </c>
      <c r="BZ217" s="21">
        <v>30410.937000000002</v>
      </c>
      <c r="CA217" s="21">
        <v>29143.312000000002</v>
      </c>
      <c r="CB217" s="21">
        <v>24341.775000000001</v>
      </c>
      <c r="CC217" s="21">
        <v>915.995</v>
      </c>
      <c r="CD217" s="21">
        <v>655.00400000000002</v>
      </c>
      <c r="CE217" s="21">
        <v>339</v>
      </c>
      <c r="CG217" s="15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</row>
    <row r="218" spans="1:106" outlineLevel="1" x14ac:dyDescent="0.2">
      <c r="A218" s="14">
        <v>1</v>
      </c>
      <c r="C218" s="9" t="str">
        <f>"    Total Capital Lease Obligations"</f>
        <v xml:space="preserve">    Total Capital Lease Obligations</v>
      </c>
      <c r="D218" s="17">
        <f t="shared" si="48"/>
        <v>479</v>
      </c>
      <c r="E218" s="17">
        <f t="shared" si="49"/>
        <v>11516.342592592591</v>
      </c>
      <c r="F218" s="17">
        <f t="shared" si="50"/>
        <v>0</v>
      </c>
      <c r="G218" s="17">
        <f t="shared" si="51"/>
        <v>44134.25</v>
      </c>
      <c r="H218" s="17">
        <f t="shared" si="52"/>
        <v>437.5</v>
      </c>
      <c r="I218" s="17">
        <f t="shared" si="53"/>
        <v>24297.5</v>
      </c>
      <c r="J218" s="17">
        <f t="shared" si="54"/>
        <v>18352.316886575965</v>
      </c>
      <c r="K218" s="18">
        <f t="shared" si="55"/>
        <v>1.5935890009368365</v>
      </c>
      <c r="L218" s="21"/>
      <c r="M218" s="21">
        <v>40281</v>
      </c>
      <c r="N218" s="136">
        <v>41074.25</v>
      </c>
      <c r="O218" s="136">
        <v>42800</v>
      </c>
      <c r="P218" s="136">
        <v>44134.25</v>
      </c>
      <c r="Q218" s="136">
        <v>31911.666666666668</v>
      </c>
      <c r="R218" s="21" t="s">
        <v>165</v>
      </c>
      <c r="S218" s="21">
        <v>604</v>
      </c>
      <c r="T218" s="21">
        <v>1022</v>
      </c>
      <c r="U218" s="21" t="s">
        <v>165</v>
      </c>
      <c r="V218" s="21" t="s">
        <v>165</v>
      </c>
      <c r="W218" s="21" t="s">
        <v>165</v>
      </c>
      <c r="X218" s="21">
        <v>1455</v>
      </c>
      <c r="Y218" s="21" t="s">
        <v>165</v>
      </c>
      <c r="Z218" s="21" t="s">
        <v>165</v>
      </c>
      <c r="AA218" s="21" t="s">
        <v>165</v>
      </c>
      <c r="AB218" s="21">
        <v>496</v>
      </c>
      <c r="AC218" s="21" t="s">
        <v>165</v>
      </c>
      <c r="AD218" s="21" t="s">
        <v>165</v>
      </c>
      <c r="AE218" s="21" t="s">
        <v>165</v>
      </c>
      <c r="AF218" s="21" t="s">
        <v>165</v>
      </c>
      <c r="AG218" s="21">
        <v>462</v>
      </c>
      <c r="AH218" s="21">
        <v>455</v>
      </c>
      <c r="AI218" s="21">
        <v>449</v>
      </c>
      <c r="AJ218" s="21">
        <v>442</v>
      </c>
      <c r="AK218" s="21">
        <v>436</v>
      </c>
      <c r="AL218" s="21">
        <v>430</v>
      </c>
      <c r="AM218" s="21">
        <v>424</v>
      </c>
      <c r="AN218" s="21">
        <v>418</v>
      </c>
      <c r="AO218" s="21" t="s">
        <v>165</v>
      </c>
      <c r="AP218" s="21" t="s">
        <v>165</v>
      </c>
      <c r="AQ218" s="21" t="s">
        <v>165</v>
      </c>
      <c r="AR218" s="21">
        <v>0</v>
      </c>
      <c r="AS218" s="21" t="s">
        <v>165</v>
      </c>
      <c r="AT218" s="21" t="s">
        <v>165</v>
      </c>
      <c r="AU218" s="21" t="s">
        <v>165</v>
      </c>
      <c r="AV218" s="21" t="s">
        <v>165</v>
      </c>
      <c r="AW218" s="21" t="s">
        <v>165</v>
      </c>
      <c r="AX218" s="21" t="s">
        <v>165</v>
      </c>
      <c r="AY218" s="21" t="s">
        <v>165</v>
      </c>
      <c r="AZ218" s="21" t="s">
        <v>165</v>
      </c>
      <c r="BA218" s="21" t="s">
        <v>165</v>
      </c>
      <c r="BB218" s="21" t="s">
        <v>165</v>
      </c>
      <c r="BC218" s="21" t="s">
        <v>165</v>
      </c>
      <c r="BD218" s="21" t="s">
        <v>165</v>
      </c>
      <c r="BE218" s="21" t="s">
        <v>165</v>
      </c>
      <c r="BF218" s="21" t="s">
        <v>165</v>
      </c>
      <c r="BG218" s="21" t="s">
        <v>165</v>
      </c>
      <c r="BH218" s="21" t="s">
        <v>165</v>
      </c>
      <c r="BI218" s="21" t="s">
        <v>165</v>
      </c>
      <c r="BJ218" s="21" t="s">
        <v>165</v>
      </c>
      <c r="BK218" s="21" t="s">
        <v>165</v>
      </c>
      <c r="BL218" s="21" t="s">
        <v>165</v>
      </c>
      <c r="BM218" s="21" t="s">
        <v>165</v>
      </c>
      <c r="BN218" s="21" t="s">
        <v>165</v>
      </c>
      <c r="BO218" s="21" t="s">
        <v>165</v>
      </c>
      <c r="BP218" s="21" t="s">
        <v>165</v>
      </c>
      <c r="BQ218" s="21" t="s">
        <v>165</v>
      </c>
      <c r="BR218" s="21" t="s">
        <v>165</v>
      </c>
      <c r="BS218" s="21" t="s">
        <v>165</v>
      </c>
      <c r="BT218" s="21" t="s">
        <v>165</v>
      </c>
      <c r="BU218" s="21" t="s">
        <v>165</v>
      </c>
      <c r="BV218" s="21" t="s">
        <v>165</v>
      </c>
      <c r="BW218" s="21" t="s">
        <v>165</v>
      </c>
      <c r="BX218" s="21" t="s">
        <v>165</v>
      </c>
      <c r="BY218" s="21" t="s">
        <v>165</v>
      </c>
      <c r="BZ218" s="21" t="s">
        <v>165</v>
      </c>
      <c r="CA218" s="21" t="s">
        <v>165</v>
      </c>
      <c r="CB218" s="21" t="s">
        <v>165</v>
      </c>
      <c r="CC218" s="21" t="s">
        <v>165</v>
      </c>
      <c r="CD218" s="21" t="s">
        <v>165</v>
      </c>
      <c r="CE218" s="21" t="s">
        <v>165</v>
      </c>
      <c r="CG218" s="15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</row>
    <row r="219" spans="1:106" outlineLevel="1" x14ac:dyDescent="0.2">
      <c r="A219" s="14">
        <v>1</v>
      </c>
      <c r="C219" s="9" t="str">
        <f>"    Common Equity Book Value"</f>
        <v xml:space="preserve">    Common Equity Book Value</v>
      </c>
      <c r="D219" s="17">
        <f t="shared" si="48"/>
        <v>100969</v>
      </c>
      <c r="E219" s="17">
        <f t="shared" si="49"/>
        <v>136449.86407042254</v>
      </c>
      <c r="F219" s="17">
        <f t="shared" si="50"/>
        <v>-1154.7739999999999</v>
      </c>
      <c r="G219" s="17">
        <f t="shared" si="51"/>
        <v>441509.75</v>
      </c>
      <c r="H219" s="17">
        <f t="shared" si="52"/>
        <v>31393.769500000002</v>
      </c>
      <c r="I219" s="17">
        <f t="shared" si="53"/>
        <v>175438</v>
      </c>
      <c r="J219" s="17">
        <f t="shared" si="54"/>
        <v>127216.55649791061</v>
      </c>
      <c r="K219" s="18">
        <f t="shared" si="55"/>
        <v>0.93233186683317937</v>
      </c>
      <c r="L219" s="21"/>
      <c r="M219" s="21">
        <v>360514</v>
      </c>
      <c r="N219" s="136">
        <v>288115</v>
      </c>
      <c r="O219" s="136">
        <v>375390</v>
      </c>
      <c r="P219" s="136">
        <v>441509.75</v>
      </c>
      <c r="Q219" s="136">
        <v>424009.5</v>
      </c>
      <c r="R219" s="21">
        <v>397431</v>
      </c>
      <c r="S219" s="21">
        <v>390645</v>
      </c>
      <c r="T219" s="21">
        <v>393162</v>
      </c>
      <c r="U219" s="21">
        <v>412295</v>
      </c>
      <c r="V219" s="21">
        <v>376497</v>
      </c>
      <c r="W219" s="21">
        <v>340361</v>
      </c>
      <c r="X219" s="21">
        <v>307816</v>
      </c>
      <c r="Y219" s="21">
        <v>264511</v>
      </c>
      <c r="Z219" s="21">
        <v>225331</v>
      </c>
      <c r="AA219" s="21">
        <v>209998</v>
      </c>
      <c r="AB219" s="21">
        <v>194370</v>
      </c>
      <c r="AC219" s="21">
        <v>169577</v>
      </c>
      <c r="AD219" s="21">
        <v>159712</v>
      </c>
      <c r="AE219" s="21">
        <v>152959</v>
      </c>
      <c r="AF219" s="21">
        <v>166823</v>
      </c>
      <c r="AG219" s="21">
        <v>138923</v>
      </c>
      <c r="AH219" s="21">
        <v>130981</v>
      </c>
      <c r="AI219" s="21">
        <v>194589</v>
      </c>
      <c r="AJ219" s="21">
        <v>181299</v>
      </c>
      <c r="AK219" s="21">
        <v>154614</v>
      </c>
      <c r="AL219" s="21">
        <v>158834</v>
      </c>
      <c r="AM219" s="21">
        <v>132144</v>
      </c>
      <c r="AN219" s="21">
        <v>112844</v>
      </c>
      <c r="AO219" s="21">
        <v>100969</v>
      </c>
      <c r="AP219" s="21">
        <v>95869</v>
      </c>
      <c r="AQ219" s="21">
        <v>96392</v>
      </c>
      <c r="AR219" s="21">
        <v>92732</v>
      </c>
      <c r="AS219" s="21">
        <v>93206</v>
      </c>
      <c r="AT219" s="21">
        <v>146034</v>
      </c>
      <c r="AU219" s="21">
        <v>167091</v>
      </c>
      <c r="AV219" s="21">
        <v>160577</v>
      </c>
      <c r="AW219" s="21">
        <v>155059</v>
      </c>
      <c r="AX219" s="21">
        <v>151419</v>
      </c>
      <c r="AY219" s="21">
        <v>136417</v>
      </c>
      <c r="AZ219" s="21">
        <v>50626</v>
      </c>
      <c r="BA219" s="21">
        <v>41023.434999999998</v>
      </c>
      <c r="BB219" s="21">
        <v>37939.142999999996</v>
      </c>
      <c r="BC219" s="21">
        <v>113148.874</v>
      </c>
      <c r="BD219" s="21">
        <v>77850.528999999995</v>
      </c>
      <c r="BE219" s="21">
        <v>72297.521999999997</v>
      </c>
      <c r="BF219" s="21">
        <v>72998.48</v>
      </c>
      <c r="BG219" s="21">
        <v>65962.626999999993</v>
      </c>
      <c r="BH219" s="21">
        <v>59105.199000000001</v>
      </c>
      <c r="BI219" s="21">
        <v>52364.762999999999</v>
      </c>
      <c r="BJ219" s="21">
        <v>49793.072999999997</v>
      </c>
      <c r="BK219" s="21">
        <v>46131.319000000003</v>
      </c>
      <c r="BL219" s="21">
        <v>41332.748</v>
      </c>
      <c r="BM219" s="21">
        <v>11021.504999999999</v>
      </c>
      <c r="BN219" s="21">
        <v>32355.137999999999</v>
      </c>
      <c r="BO219" s="21">
        <v>30432.401000000002</v>
      </c>
      <c r="BP219" s="21">
        <v>27091.177</v>
      </c>
      <c r="BQ219" s="21">
        <v>21201.583999999999</v>
      </c>
      <c r="BR219" s="21">
        <v>21233.544000000002</v>
      </c>
      <c r="BS219" s="21">
        <v>18428.885999999999</v>
      </c>
      <c r="BT219" s="21">
        <v>20255.334999999999</v>
      </c>
      <c r="BU219" s="21">
        <v>14780.508</v>
      </c>
      <c r="BV219" s="21">
        <v>16460.614000000001</v>
      </c>
      <c r="BW219" s="21">
        <v>15621.618</v>
      </c>
      <c r="BX219" s="21">
        <v>15029.843000000001</v>
      </c>
      <c r="BY219" s="21">
        <v>5256.665</v>
      </c>
      <c r="BZ219" s="21">
        <v>4959.9530000000004</v>
      </c>
      <c r="CA219" s="21">
        <v>4632.5029999999997</v>
      </c>
      <c r="CB219" s="21">
        <v>-1154.7739999999999</v>
      </c>
      <c r="CC219" s="21">
        <v>-590.64</v>
      </c>
      <c r="CD219" s="21">
        <v>-316.64400000000001</v>
      </c>
      <c r="CE219" s="21">
        <v>-351.82900000000001</v>
      </c>
      <c r="CG219" s="15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</row>
    <row r="220" spans="1:106" outlineLevel="1" x14ac:dyDescent="0.2">
      <c r="A220" s="14">
        <v>1</v>
      </c>
      <c r="C220" s="9" t="str">
        <f>"    Total Liabilities &amp; Equity"</f>
        <v xml:space="preserve">    Total Liabilities &amp; Equity</v>
      </c>
      <c r="D220" s="17">
        <f t="shared" si="48"/>
        <v>281541</v>
      </c>
      <c r="E220" s="17">
        <f t="shared" si="49"/>
        <v>313922.31636619725</v>
      </c>
      <c r="F220" s="17">
        <f t="shared" si="50"/>
        <v>22.212</v>
      </c>
      <c r="G220" s="17">
        <f t="shared" si="51"/>
        <v>816263</v>
      </c>
      <c r="H220" s="17">
        <f t="shared" si="52"/>
        <v>101073.8365</v>
      </c>
      <c r="I220" s="17">
        <f t="shared" si="53"/>
        <v>425872</v>
      </c>
      <c r="J220" s="17">
        <f t="shared" si="54"/>
        <v>220813.19656564019</v>
      </c>
      <c r="K220" s="18">
        <f t="shared" si="55"/>
        <v>0.70340076207916602</v>
      </c>
      <c r="L220" s="21"/>
      <c r="M220" s="21">
        <v>497476</v>
      </c>
      <c r="N220" s="136">
        <v>462521.25</v>
      </c>
      <c r="O220" s="136">
        <v>649229</v>
      </c>
      <c r="P220" s="136">
        <v>780219.5</v>
      </c>
      <c r="Q220" s="136">
        <v>751739</v>
      </c>
      <c r="R220" s="21">
        <v>816263</v>
      </c>
      <c r="S220" s="21">
        <v>778122</v>
      </c>
      <c r="T220" s="21">
        <v>788036</v>
      </c>
      <c r="U220" s="21">
        <v>739720</v>
      </c>
      <c r="V220" s="21">
        <v>728256</v>
      </c>
      <c r="W220" s="21">
        <v>654683</v>
      </c>
      <c r="X220" s="21">
        <v>619503</v>
      </c>
      <c r="Y220" s="21">
        <v>577030</v>
      </c>
      <c r="Z220" s="21">
        <v>523816</v>
      </c>
      <c r="AA220" s="21">
        <v>514095</v>
      </c>
      <c r="AB220" s="21">
        <v>490925</v>
      </c>
      <c r="AC220" s="21">
        <v>547217</v>
      </c>
      <c r="AD220" s="21">
        <v>415989</v>
      </c>
      <c r="AE220" s="21">
        <v>435755</v>
      </c>
      <c r="AF220" s="21">
        <v>381503</v>
      </c>
      <c r="AG220" s="21">
        <v>346102</v>
      </c>
      <c r="AH220" s="21">
        <v>342480</v>
      </c>
      <c r="AI220" s="21">
        <v>398871</v>
      </c>
      <c r="AJ220" s="21">
        <v>326989</v>
      </c>
      <c r="AK220" s="21">
        <v>281541</v>
      </c>
      <c r="AL220" s="21">
        <v>288609</v>
      </c>
      <c r="AM220" s="21">
        <v>272935</v>
      </c>
      <c r="AN220" s="21">
        <v>261674</v>
      </c>
      <c r="AO220" s="21">
        <v>237793</v>
      </c>
      <c r="AP220" s="21">
        <v>271663</v>
      </c>
      <c r="AQ220" s="21">
        <v>272972</v>
      </c>
      <c r="AR220" s="21">
        <v>281497</v>
      </c>
      <c r="AS220" s="21">
        <v>249345</v>
      </c>
      <c r="AT220" s="21">
        <v>314698</v>
      </c>
      <c r="AU220" s="21">
        <v>343101</v>
      </c>
      <c r="AV220" s="21">
        <v>349051</v>
      </c>
      <c r="AW220" s="21">
        <v>323353</v>
      </c>
      <c r="AX220" s="21">
        <v>333634</v>
      </c>
      <c r="AY220" s="21">
        <v>324935</v>
      </c>
      <c r="AZ220" s="21">
        <v>210231</v>
      </c>
      <c r="BA220" s="21">
        <v>189118.37599999999</v>
      </c>
      <c r="BB220" s="21">
        <v>190396.46900000001</v>
      </c>
      <c r="BC220" s="21">
        <v>298225.99699999997</v>
      </c>
      <c r="BD220" s="21">
        <v>289750.57199999999</v>
      </c>
      <c r="BE220" s="21">
        <v>292369.31400000001</v>
      </c>
      <c r="BF220" s="21">
        <v>288454.01400000002</v>
      </c>
      <c r="BG220" s="21">
        <v>278980.31</v>
      </c>
      <c r="BH220" s="21">
        <v>268257.42800000001</v>
      </c>
      <c r="BI220" s="21">
        <v>251484.997</v>
      </c>
      <c r="BJ220" s="21">
        <v>104813.806</v>
      </c>
      <c r="BK220" s="21">
        <v>100713.181</v>
      </c>
      <c r="BL220" s="21">
        <v>94697.634999999995</v>
      </c>
      <c r="BM220" s="21">
        <v>84091.918000000005</v>
      </c>
      <c r="BN220" s="21">
        <v>86117.498000000007</v>
      </c>
      <c r="BO220" s="21">
        <v>81893.975999999995</v>
      </c>
      <c r="BP220" s="21">
        <v>81992.346000000005</v>
      </c>
      <c r="BQ220" s="21">
        <v>76583.547000000006</v>
      </c>
      <c r="BR220" s="21">
        <v>96760.744999999995</v>
      </c>
      <c r="BS220" s="21">
        <v>95401.612999999998</v>
      </c>
      <c r="BT220" s="21">
        <v>105289.97100000001</v>
      </c>
      <c r="BU220" s="21">
        <v>98499.865000000005</v>
      </c>
      <c r="BV220" s="21">
        <v>101434.492</v>
      </c>
      <c r="BW220" s="21">
        <v>99971.599000000002</v>
      </c>
      <c r="BX220" s="21">
        <v>106532.689</v>
      </c>
      <c r="BY220" s="21">
        <v>80099.014999999999</v>
      </c>
      <c r="BZ220" s="21">
        <v>82854.907000000007</v>
      </c>
      <c r="CA220" s="21">
        <v>82478.554999999993</v>
      </c>
      <c r="CB220" s="21">
        <v>96444.853000000003</v>
      </c>
      <c r="CC220" s="21">
        <v>638.21699999999998</v>
      </c>
      <c r="CD220" s="21">
        <v>542.59500000000003</v>
      </c>
      <c r="CE220" s="21">
        <v>22.212</v>
      </c>
      <c r="CG220" s="15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</row>
    <row r="221" spans="1:106" outlineLevel="1" x14ac:dyDescent="0.2">
      <c r="A221" s="14">
        <v>1</v>
      </c>
      <c r="C221" s="9" t="str">
        <f>"    Net Tangible Assets"</f>
        <v xml:space="preserve">    Net Tangible Assets</v>
      </c>
      <c r="D221" s="17">
        <f t="shared" si="48"/>
        <v>235817</v>
      </c>
      <c r="E221" s="17">
        <f t="shared" si="49"/>
        <v>247049.48978873249</v>
      </c>
      <c r="F221" s="17">
        <f t="shared" si="50"/>
        <v>22.212</v>
      </c>
      <c r="G221" s="17">
        <f t="shared" si="51"/>
        <v>533993.75</v>
      </c>
      <c r="H221" s="17">
        <f t="shared" si="52"/>
        <v>100710.245</v>
      </c>
      <c r="I221" s="17">
        <f t="shared" si="53"/>
        <v>379017</v>
      </c>
      <c r="J221" s="17">
        <f t="shared" si="54"/>
        <v>149109.37079330083</v>
      </c>
      <c r="K221" s="18">
        <f t="shared" si="55"/>
        <v>0.60356073157978829</v>
      </c>
      <c r="L221" s="21"/>
      <c r="M221" s="21">
        <v>474844</v>
      </c>
      <c r="N221" s="136">
        <v>439113.5</v>
      </c>
      <c r="O221" s="136">
        <v>533993.75</v>
      </c>
      <c r="P221" s="136">
        <v>508312.75</v>
      </c>
      <c r="Q221" s="136">
        <v>450279</v>
      </c>
      <c r="R221" s="21">
        <v>501746</v>
      </c>
      <c r="S221" s="21">
        <v>473344</v>
      </c>
      <c r="T221" s="21">
        <v>477702</v>
      </c>
      <c r="U221" s="21">
        <v>423846</v>
      </c>
      <c r="V221" s="21">
        <v>431854</v>
      </c>
      <c r="W221" s="21">
        <v>517980</v>
      </c>
      <c r="X221" s="21">
        <v>480222</v>
      </c>
      <c r="Y221" s="21">
        <v>435852</v>
      </c>
      <c r="Z221" s="21">
        <v>379956</v>
      </c>
      <c r="AA221" s="21">
        <v>367502</v>
      </c>
      <c r="AB221" s="21">
        <v>341731</v>
      </c>
      <c r="AC221" s="21">
        <v>395100</v>
      </c>
      <c r="AD221" s="21">
        <v>397988</v>
      </c>
      <c r="AE221" s="21">
        <v>417483</v>
      </c>
      <c r="AF221" s="21">
        <v>378078</v>
      </c>
      <c r="AG221" s="21">
        <v>342591</v>
      </c>
      <c r="AH221" s="21">
        <v>338849</v>
      </c>
      <c r="AI221" s="21">
        <v>395112</v>
      </c>
      <c r="AJ221" s="21">
        <v>323024</v>
      </c>
      <c r="AK221" s="21">
        <v>277466</v>
      </c>
      <c r="AL221" s="21">
        <v>284384</v>
      </c>
      <c r="AM221" s="21">
        <v>268561</v>
      </c>
      <c r="AN221" s="21">
        <v>257142</v>
      </c>
      <c r="AO221" s="21">
        <v>229748</v>
      </c>
      <c r="AP221" s="21">
        <v>263424</v>
      </c>
      <c r="AQ221" s="21">
        <v>264535</v>
      </c>
      <c r="AR221" s="21">
        <v>272805</v>
      </c>
      <c r="AS221" s="21">
        <v>240486</v>
      </c>
      <c r="AT221" s="21">
        <v>254619</v>
      </c>
      <c r="AU221" s="21">
        <v>243220</v>
      </c>
      <c r="AV221" s="21">
        <v>248967</v>
      </c>
      <c r="AW221" s="21">
        <v>226639</v>
      </c>
      <c r="AX221" s="21">
        <v>235817</v>
      </c>
      <c r="AY221" s="21">
        <v>226201</v>
      </c>
      <c r="AZ221" s="21">
        <v>204291</v>
      </c>
      <c r="BA221" s="21">
        <v>183035.255</v>
      </c>
      <c r="BB221" s="21">
        <v>184102.859</v>
      </c>
      <c r="BC221" s="21">
        <v>192617.78700000001</v>
      </c>
      <c r="BD221" s="21">
        <v>183076.41399999999</v>
      </c>
      <c r="BE221" s="21">
        <v>184874.63</v>
      </c>
      <c r="BF221" s="21">
        <v>180293.15400000001</v>
      </c>
      <c r="BG221" s="21">
        <v>169852.08</v>
      </c>
      <c r="BH221" s="21">
        <v>156754.22899999999</v>
      </c>
      <c r="BI221" s="21">
        <v>140321.709</v>
      </c>
      <c r="BJ221" s="21">
        <v>104389.30100000001</v>
      </c>
      <c r="BK221" s="21">
        <v>100299.88099999999</v>
      </c>
      <c r="BL221" s="21">
        <v>94290.646999999997</v>
      </c>
      <c r="BM221" s="21">
        <v>83743.388000000006</v>
      </c>
      <c r="BN221" s="21">
        <v>85762.895000000004</v>
      </c>
      <c r="BO221" s="21">
        <v>81535.422999999995</v>
      </c>
      <c r="BP221" s="21">
        <v>81627.437999999995</v>
      </c>
      <c r="BQ221" s="21">
        <v>76258.168999999994</v>
      </c>
      <c r="BR221" s="21">
        <v>96437.626999999993</v>
      </c>
      <c r="BS221" s="21">
        <v>95038.468999999997</v>
      </c>
      <c r="BT221" s="21">
        <v>104938.06299999999</v>
      </c>
      <c r="BU221" s="21">
        <v>98190.712</v>
      </c>
      <c r="BV221" s="21">
        <v>101120.609</v>
      </c>
      <c r="BW221" s="21">
        <v>99655.373000000007</v>
      </c>
      <c r="BX221" s="21">
        <v>106222.356</v>
      </c>
      <c r="BY221" s="21">
        <v>76794.053</v>
      </c>
      <c r="BZ221" s="21">
        <v>79504.231</v>
      </c>
      <c r="CA221" s="21">
        <v>79105.987999999998</v>
      </c>
      <c r="CB221" s="21">
        <v>95458.445000000007</v>
      </c>
      <c r="CC221" s="21">
        <v>244.46899999999999</v>
      </c>
      <c r="CD221" s="21">
        <v>137.90899999999999</v>
      </c>
      <c r="CE221" s="21">
        <v>22.212</v>
      </c>
      <c r="CG221" s="15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</row>
    <row r="222" spans="1:106" outlineLevel="1" x14ac:dyDescent="0.2">
      <c r="A222" s="14">
        <v>1</v>
      </c>
      <c r="C222" s="9" t="str">
        <f>"    Tangible Book Value"</f>
        <v xml:space="preserve">    Tangible Book Value</v>
      </c>
      <c r="D222" s="17">
        <f t="shared" si="48"/>
        <v>53602</v>
      </c>
      <c r="E222" s="17">
        <f t="shared" si="49"/>
        <v>69577.037492957737</v>
      </c>
      <c r="F222" s="17">
        <f t="shared" si="50"/>
        <v>-58798.525000000001</v>
      </c>
      <c r="G222" s="17">
        <f t="shared" si="51"/>
        <v>337882</v>
      </c>
      <c r="H222" s="17">
        <f t="shared" si="52"/>
        <v>15726.0615</v>
      </c>
      <c r="I222" s="17">
        <f t="shared" si="53"/>
        <v>115430.75</v>
      </c>
      <c r="J222" s="17">
        <f t="shared" si="54"/>
        <v>77228.286248381381</v>
      </c>
      <c r="K222" s="18">
        <f t="shared" si="55"/>
        <v>1.1099680157580447</v>
      </c>
      <c r="L222" s="21"/>
      <c r="M222" s="21">
        <v>337882</v>
      </c>
      <c r="N222" s="136">
        <v>264707.25</v>
      </c>
      <c r="O222" s="136">
        <v>260154.75</v>
      </c>
      <c r="P222" s="136">
        <v>169603</v>
      </c>
      <c r="Q222" s="136">
        <v>122549.5</v>
      </c>
      <c r="R222" s="21">
        <v>82914</v>
      </c>
      <c r="S222" s="21">
        <v>85867</v>
      </c>
      <c r="T222" s="21">
        <v>82828</v>
      </c>
      <c r="U222" s="21">
        <v>96421</v>
      </c>
      <c r="V222" s="21">
        <v>80095</v>
      </c>
      <c r="W222" s="21">
        <v>203658</v>
      </c>
      <c r="X222" s="21">
        <v>168535</v>
      </c>
      <c r="Y222" s="21">
        <v>123333</v>
      </c>
      <c r="Z222" s="21">
        <v>81471</v>
      </c>
      <c r="AA222" s="21">
        <v>63405</v>
      </c>
      <c r="AB222" s="21">
        <v>45176</v>
      </c>
      <c r="AC222" s="21">
        <v>17460</v>
      </c>
      <c r="AD222" s="21">
        <v>141711</v>
      </c>
      <c r="AE222" s="21">
        <v>134687</v>
      </c>
      <c r="AF222" s="21">
        <v>163398</v>
      </c>
      <c r="AG222" s="21">
        <v>135412</v>
      </c>
      <c r="AH222" s="21">
        <v>127350</v>
      </c>
      <c r="AI222" s="21">
        <v>190830</v>
      </c>
      <c r="AJ222" s="21">
        <v>177334</v>
      </c>
      <c r="AK222" s="21">
        <v>150539</v>
      </c>
      <c r="AL222" s="21">
        <v>154609</v>
      </c>
      <c r="AM222" s="21">
        <v>127770</v>
      </c>
      <c r="AN222" s="21">
        <v>108312</v>
      </c>
      <c r="AO222" s="21">
        <v>92924</v>
      </c>
      <c r="AP222" s="21">
        <v>87630</v>
      </c>
      <c r="AQ222" s="21">
        <v>87955</v>
      </c>
      <c r="AR222" s="21">
        <v>84040</v>
      </c>
      <c r="AS222" s="21">
        <v>84347</v>
      </c>
      <c r="AT222" s="21">
        <v>85955</v>
      </c>
      <c r="AU222" s="21">
        <v>67210</v>
      </c>
      <c r="AV222" s="21">
        <v>60493</v>
      </c>
      <c r="AW222" s="21">
        <v>58345</v>
      </c>
      <c r="AX222" s="21">
        <v>53602</v>
      </c>
      <c r="AY222" s="21">
        <v>37683</v>
      </c>
      <c r="AZ222" s="21">
        <v>44686</v>
      </c>
      <c r="BA222" s="21">
        <v>34940.313999999998</v>
      </c>
      <c r="BB222" s="21">
        <v>31645.532999999999</v>
      </c>
      <c r="BC222" s="21">
        <v>7540.6639999999998</v>
      </c>
      <c r="BD222" s="21">
        <v>-28823.629000000001</v>
      </c>
      <c r="BE222" s="21">
        <v>-35197.161999999997</v>
      </c>
      <c r="BF222" s="21">
        <v>-35162.379999999997</v>
      </c>
      <c r="BG222" s="21">
        <v>-43165.603000000003</v>
      </c>
      <c r="BH222" s="21">
        <v>-52398</v>
      </c>
      <c r="BI222" s="21">
        <v>-58798.525000000001</v>
      </c>
      <c r="BJ222" s="21">
        <v>49368.567999999999</v>
      </c>
      <c r="BK222" s="21">
        <v>45718.019</v>
      </c>
      <c r="BL222" s="21">
        <v>40925.760000000002</v>
      </c>
      <c r="BM222" s="21">
        <v>10672.975</v>
      </c>
      <c r="BN222" s="21">
        <v>32000.535</v>
      </c>
      <c r="BO222" s="21">
        <v>30073.848000000002</v>
      </c>
      <c r="BP222" s="21">
        <v>26726.269</v>
      </c>
      <c r="BQ222" s="21">
        <v>20876.205999999998</v>
      </c>
      <c r="BR222" s="21">
        <v>20910.425999999999</v>
      </c>
      <c r="BS222" s="21">
        <v>18065.741999999998</v>
      </c>
      <c r="BT222" s="21">
        <v>19903.427</v>
      </c>
      <c r="BU222" s="21">
        <v>14471.355</v>
      </c>
      <c r="BV222" s="21">
        <v>16146.731</v>
      </c>
      <c r="BW222" s="21">
        <v>15305.392</v>
      </c>
      <c r="BX222" s="21">
        <v>14719.51</v>
      </c>
      <c r="BY222" s="21">
        <v>1951.703</v>
      </c>
      <c r="BZ222" s="21">
        <v>1609.277</v>
      </c>
      <c r="CA222" s="21">
        <v>1259.9359999999999</v>
      </c>
      <c r="CB222" s="21">
        <v>-2141.1819999999998</v>
      </c>
      <c r="CC222" s="21">
        <v>-984.38800000000003</v>
      </c>
      <c r="CD222" s="21">
        <v>-721.33</v>
      </c>
      <c r="CE222" s="21">
        <v>-351.82900000000001</v>
      </c>
      <c r="CG222" s="15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</row>
    <row r="223" spans="1:106" outlineLevel="1" x14ac:dyDescent="0.2">
      <c r="A223" s="14">
        <v>1</v>
      </c>
      <c r="C223" s="9" t="str">
        <f>"    Working Capital"</f>
        <v xml:space="preserve">    Working Capital</v>
      </c>
      <c r="D223" s="17">
        <f t="shared" si="48"/>
        <v>84766</v>
      </c>
      <c r="E223" s="17">
        <f t="shared" si="49"/>
        <v>92879.275633802812</v>
      </c>
      <c r="F223" s="17">
        <f t="shared" si="50"/>
        <v>-423.56599999999997</v>
      </c>
      <c r="G223" s="17">
        <f t="shared" si="51"/>
        <v>239323</v>
      </c>
      <c r="H223" s="17">
        <f t="shared" si="52"/>
        <v>27494.695</v>
      </c>
      <c r="I223" s="17">
        <f t="shared" si="53"/>
        <v>142943</v>
      </c>
      <c r="J223" s="17">
        <f t="shared" si="54"/>
        <v>65330.536689208893</v>
      </c>
      <c r="K223" s="18">
        <f t="shared" si="55"/>
        <v>0.70339197031196776</v>
      </c>
      <c r="L223" s="21"/>
      <c r="M223" s="21">
        <v>238648</v>
      </c>
      <c r="N223" s="136">
        <v>164847.5</v>
      </c>
      <c r="O223" s="136">
        <v>201185.5</v>
      </c>
      <c r="P223" s="136">
        <v>177452.75</v>
      </c>
      <c r="Q223" s="136">
        <v>175938.75</v>
      </c>
      <c r="R223" s="21">
        <v>166030</v>
      </c>
      <c r="S223" s="21">
        <v>122676</v>
      </c>
      <c r="T223" s="21">
        <v>167196</v>
      </c>
      <c r="U223" s="21">
        <v>128040</v>
      </c>
      <c r="V223" s="21">
        <v>152947</v>
      </c>
      <c r="W223" s="21">
        <v>239323</v>
      </c>
      <c r="X223" s="21">
        <v>210639</v>
      </c>
      <c r="Y223" s="21">
        <v>192109</v>
      </c>
      <c r="Z223" s="21">
        <v>148612</v>
      </c>
      <c r="AA223" s="21">
        <v>134147</v>
      </c>
      <c r="AB223" s="21">
        <v>116065</v>
      </c>
      <c r="AC223" s="21">
        <v>183741</v>
      </c>
      <c r="AD223" s="21">
        <v>185899</v>
      </c>
      <c r="AE223" s="21">
        <v>177700</v>
      </c>
      <c r="AF223" s="21">
        <v>146628</v>
      </c>
      <c r="AG223" s="21">
        <v>123978</v>
      </c>
      <c r="AH223" s="21">
        <v>132992</v>
      </c>
      <c r="AI223" s="21">
        <v>203287</v>
      </c>
      <c r="AJ223" s="21">
        <v>146973</v>
      </c>
      <c r="AK223" s="21">
        <v>126277</v>
      </c>
      <c r="AL223" s="21">
        <v>139258</v>
      </c>
      <c r="AM223" s="21">
        <v>118398</v>
      </c>
      <c r="AN223" s="21">
        <v>107369</v>
      </c>
      <c r="AO223" s="21">
        <v>92371</v>
      </c>
      <c r="AP223" s="21">
        <v>84315</v>
      </c>
      <c r="AQ223" s="21">
        <v>82191</v>
      </c>
      <c r="AR223" s="21">
        <v>81317</v>
      </c>
      <c r="AS223" s="21">
        <v>84766</v>
      </c>
      <c r="AT223" s="21">
        <v>117093</v>
      </c>
      <c r="AU223" s="21">
        <v>94805</v>
      </c>
      <c r="AV223" s="21">
        <v>87601</v>
      </c>
      <c r="AW223" s="21">
        <v>104748</v>
      </c>
      <c r="AX223" s="21">
        <v>106085</v>
      </c>
      <c r="AY223" s="21">
        <v>88092</v>
      </c>
      <c r="AZ223" s="21">
        <v>78015</v>
      </c>
      <c r="BA223" s="21">
        <v>71379.213000000003</v>
      </c>
      <c r="BB223" s="21">
        <v>67022.426000000007</v>
      </c>
      <c r="BC223" s="21">
        <v>63590.815999999999</v>
      </c>
      <c r="BD223" s="21">
        <v>58722.43</v>
      </c>
      <c r="BE223" s="21">
        <v>55526.726999999999</v>
      </c>
      <c r="BF223" s="21">
        <v>57167.576999999997</v>
      </c>
      <c r="BG223" s="21">
        <v>49512.15</v>
      </c>
      <c r="BH223" s="21">
        <v>46314.610999999997</v>
      </c>
      <c r="BI223" s="21">
        <v>40503.862999999998</v>
      </c>
      <c r="BJ223" s="21">
        <v>26814.895</v>
      </c>
      <c r="BK223" s="21">
        <v>23684.945</v>
      </c>
      <c r="BL223" s="21">
        <v>21468.585999999999</v>
      </c>
      <c r="BM223" s="21">
        <v>20735.378000000001</v>
      </c>
      <c r="BN223" s="21">
        <v>21741.287</v>
      </c>
      <c r="BO223" s="21">
        <v>23029.55</v>
      </c>
      <c r="BP223" s="21">
        <v>23049.030999999999</v>
      </c>
      <c r="BQ223" s="21">
        <v>18941.45</v>
      </c>
      <c r="BR223" s="21">
        <v>19205.721000000001</v>
      </c>
      <c r="BS223" s="21">
        <v>20378.800999999999</v>
      </c>
      <c r="BT223" s="21">
        <v>19459.641</v>
      </c>
      <c r="BU223" s="21">
        <v>20812.792000000001</v>
      </c>
      <c r="BV223" s="21">
        <v>26013.957999999999</v>
      </c>
      <c r="BW223" s="21">
        <v>27768.74</v>
      </c>
      <c r="BX223" s="21">
        <v>29799.542000000001</v>
      </c>
      <c r="BY223" s="21">
        <v>26406.241000000002</v>
      </c>
      <c r="BZ223" s="21">
        <v>27220.65</v>
      </c>
      <c r="CA223" s="21">
        <v>27902.504000000001</v>
      </c>
      <c r="CB223" s="21">
        <v>30978.960999999999</v>
      </c>
      <c r="CC223" s="21">
        <v>-423.56599999999997</v>
      </c>
      <c r="CD223" s="21">
        <v>-22.809000000000001</v>
      </c>
      <c r="CE223" s="21">
        <v>-33.040999999999997</v>
      </c>
      <c r="CG223" s="15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</row>
    <row r="224" spans="1:106" outlineLevel="1" x14ac:dyDescent="0.2">
      <c r="A224" s="14">
        <v>1</v>
      </c>
      <c r="C224" s="9" t="str">
        <f>"    Invested Capital"</f>
        <v xml:space="preserve">    Invested Capital</v>
      </c>
      <c r="D224" s="17">
        <f t="shared" si="48"/>
        <v>200824.837</v>
      </c>
      <c r="E224" s="17">
        <f t="shared" si="49"/>
        <v>231160.39032394363</v>
      </c>
      <c r="F224" s="17">
        <f t="shared" si="50"/>
        <v>-11.829000000000001</v>
      </c>
      <c r="G224" s="17">
        <f t="shared" si="51"/>
        <v>686723</v>
      </c>
      <c r="H224" s="17">
        <f t="shared" si="52"/>
        <v>60261.858</v>
      </c>
      <c r="I224" s="17">
        <f t="shared" si="53"/>
        <v>328574.125</v>
      </c>
      <c r="J224" s="17">
        <f t="shared" si="54"/>
        <v>184372.19555232237</v>
      </c>
      <c r="K224" s="18">
        <f t="shared" si="55"/>
        <v>0.79759423876186919</v>
      </c>
      <c r="L224" s="21"/>
      <c r="M224" s="21">
        <v>400795</v>
      </c>
      <c r="N224" s="136">
        <v>329189.25</v>
      </c>
      <c r="O224" s="136">
        <v>513819</v>
      </c>
      <c r="P224" s="136">
        <v>665644.75</v>
      </c>
      <c r="Q224" s="136">
        <v>640035.5</v>
      </c>
      <c r="R224" s="21">
        <v>686723</v>
      </c>
      <c r="S224" s="21">
        <v>631873</v>
      </c>
      <c r="T224" s="21">
        <v>611141</v>
      </c>
      <c r="U224" s="21">
        <v>580585</v>
      </c>
      <c r="V224" s="21">
        <v>571120</v>
      </c>
      <c r="W224" s="21">
        <v>511866</v>
      </c>
      <c r="X224" s="21">
        <v>482135</v>
      </c>
      <c r="Y224" s="21">
        <v>438734</v>
      </c>
      <c r="Z224" s="21">
        <v>400913</v>
      </c>
      <c r="AA224" s="21">
        <v>387045</v>
      </c>
      <c r="AB224" s="21">
        <v>365799</v>
      </c>
      <c r="AC224" s="21">
        <v>444577</v>
      </c>
      <c r="AD224" s="21">
        <v>334712</v>
      </c>
      <c r="AE224" s="21">
        <v>327959</v>
      </c>
      <c r="AF224" s="21">
        <v>266823</v>
      </c>
      <c r="AG224" s="21">
        <v>239704</v>
      </c>
      <c r="AH224" s="21">
        <v>232224</v>
      </c>
      <c r="AI224" s="21">
        <v>296307</v>
      </c>
      <c r="AJ224" s="21">
        <v>225300</v>
      </c>
      <c r="AK224" s="21">
        <v>198609</v>
      </c>
      <c r="AL224" s="21">
        <v>203612</v>
      </c>
      <c r="AM224" s="21">
        <v>177395</v>
      </c>
      <c r="AN224" s="21">
        <v>163262</v>
      </c>
      <c r="AO224" s="21">
        <v>150969</v>
      </c>
      <c r="AP224" s="21">
        <v>176411</v>
      </c>
      <c r="AQ224" s="21">
        <v>177503</v>
      </c>
      <c r="AR224" s="21">
        <v>172732</v>
      </c>
      <c r="AS224" s="21">
        <v>173481</v>
      </c>
      <c r="AT224" s="21">
        <v>226719</v>
      </c>
      <c r="AU224" s="21">
        <v>248185</v>
      </c>
      <c r="AV224" s="21">
        <v>240577</v>
      </c>
      <c r="AW224" s="21">
        <v>235599</v>
      </c>
      <c r="AX224" s="21">
        <v>237580</v>
      </c>
      <c r="AY224" s="21">
        <v>223968</v>
      </c>
      <c r="AZ224" s="21">
        <v>136610</v>
      </c>
      <c r="BA224" s="21">
        <v>128601.602</v>
      </c>
      <c r="BB224" s="21">
        <v>128341.577</v>
      </c>
      <c r="BC224" s="21">
        <v>221559.45</v>
      </c>
      <c r="BD224" s="21">
        <v>205544.15599999999</v>
      </c>
      <c r="BE224" s="21">
        <v>213619.56</v>
      </c>
      <c r="BF224" s="21">
        <v>208246.228</v>
      </c>
      <c r="BG224" s="21">
        <v>200824.837</v>
      </c>
      <c r="BH224" s="21">
        <v>182531.20000000001</v>
      </c>
      <c r="BI224" s="21">
        <v>177018.45600000001</v>
      </c>
      <c r="BJ224" s="21">
        <v>69490.91</v>
      </c>
      <c r="BK224" s="21">
        <v>64746.326000000001</v>
      </c>
      <c r="BL224" s="21">
        <v>57361.148999999998</v>
      </c>
      <c r="BM224" s="21">
        <v>29959.690999999999</v>
      </c>
      <c r="BN224" s="21">
        <v>53690.839</v>
      </c>
      <c r="BO224" s="21">
        <v>50159.237999999998</v>
      </c>
      <c r="BP224" s="21">
        <v>44706.065000000002</v>
      </c>
      <c r="BQ224" s="21">
        <v>39201.584000000003</v>
      </c>
      <c r="BR224" s="21">
        <v>61165.35</v>
      </c>
      <c r="BS224" s="21">
        <v>59358.366000000002</v>
      </c>
      <c r="BT224" s="21">
        <v>62164.837</v>
      </c>
      <c r="BU224" s="21">
        <v>56780.508000000002</v>
      </c>
      <c r="BV224" s="21">
        <v>58460.614000000001</v>
      </c>
      <c r="BW224" s="21">
        <v>57621.618000000002</v>
      </c>
      <c r="BX224" s="21">
        <v>58029.843000000001</v>
      </c>
      <c r="BY224" s="21">
        <v>50256.665000000001</v>
      </c>
      <c r="BZ224" s="21">
        <v>49959.953000000001</v>
      </c>
      <c r="CA224" s="21">
        <v>49632.502999999997</v>
      </c>
      <c r="CB224" s="21">
        <v>44202.650999999998</v>
      </c>
      <c r="CC224" s="21">
        <v>506.78500000000003</v>
      </c>
      <c r="CD224" s="21">
        <v>421.48099999999999</v>
      </c>
      <c r="CE224" s="21">
        <v>-11.829000000000001</v>
      </c>
      <c r="CG224" s="15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</row>
    <row r="225" spans="1:106" outlineLevel="1" x14ac:dyDescent="0.2">
      <c r="A225" s="14">
        <v>1</v>
      </c>
      <c r="C225" s="9" t="str">
        <f>"    Total Shares Outstanding (TSO)"</f>
        <v xml:space="preserve">    Total Shares Outstanding (TSO)</v>
      </c>
      <c r="D225" s="17">
        <f t="shared" si="48"/>
        <v>53703321</v>
      </c>
      <c r="E225" s="17">
        <f t="shared" si="49"/>
        <v>47726764.85357143</v>
      </c>
      <c r="F225" s="17">
        <f t="shared" si="50"/>
        <v>11676546</v>
      </c>
      <c r="G225" s="17">
        <f t="shared" si="51"/>
        <v>66247748</v>
      </c>
      <c r="H225" s="17">
        <f t="shared" si="52"/>
        <v>39206647</v>
      </c>
      <c r="I225" s="17">
        <f t="shared" si="53"/>
        <v>56989058.75</v>
      </c>
      <c r="J225" s="17">
        <f t="shared" si="54"/>
        <v>13112048.927216988</v>
      </c>
      <c r="K225" s="18">
        <f t="shared" si="55"/>
        <v>0.27473156765277384</v>
      </c>
      <c r="L225" s="21"/>
      <c r="M225" s="21">
        <v>45510515</v>
      </c>
      <c r="N225" s="136">
        <v>50493000</v>
      </c>
      <c r="O225" s="136">
        <v>55507370</v>
      </c>
      <c r="P225" s="136">
        <v>54781189.25</v>
      </c>
      <c r="Q225" s="136">
        <v>54329672.5</v>
      </c>
      <c r="R225" s="21">
        <v>54114090</v>
      </c>
      <c r="S225" s="21">
        <v>54000036</v>
      </c>
      <c r="T225" s="21">
        <v>57200000</v>
      </c>
      <c r="U225" s="21">
        <v>56356235</v>
      </c>
      <c r="V225" s="21">
        <v>56276463</v>
      </c>
      <c r="W225" s="21">
        <v>56152013</v>
      </c>
      <c r="X225" s="21">
        <v>55109084</v>
      </c>
      <c r="Y225" s="21">
        <v>54558379</v>
      </c>
      <c r="Z225" s="21">
        <v>54370425</v>
      </c>
      <c r="AA225" s="21">
        <v>54368411</v>
      </c>
      <c r="AB225" s="21">
        <v>54062459</v>
      </c>
      <c r="AC225" s="21">
        <v>53704558</v>
      </c>
      <c r="AD225" s="21">
        <v>53702084</v>
      </c>
      <c r="AE225" s="21">
        <v>53427323</v>
      </c>
      <c r="AF225" s="21">
        <v>55352679</v>
      </c>
      <c r="AG225" s="21">
        <v>54918526</v>
      </c>
      <c r="AH225" s="21">
        <v>55930917</v>
      </c>
      <c r="AI225" s="21">
        <v>63000512</v>
      </c>
      <c r="AJ225" s="21">
        <v>64297113</v>
      </c>
      <c r="AK225" s="21">
        <v>64159865</v>
      </c>
      <c r="AL225" s="21">
        <v>66247748</v>
      </c>
      <c r="AM225" s="21">
        <v>65408175</v>
      </c>
      <c r="AN225" s="21">
        <v>65312097</v>
      </c>
      <c r="AO225" s="21">
        <v>64880283</v>
      </c>
      <c r="AP225" s="21">
        <v>64869449</v>
      </c>
      <c r="AQ225" s="21">
        <v>64510531</v>
      </c>
      <c r="AR225" s="21">
        <v>60255321</v>
      </c>
      <c r="AS225" s="21">
        <v>60255321</v>
      </c>
      <c r="AT225" s="21">
        <v>59980060</v>
      </c>
      <c r="AU225" s="21">
        <v>59945480</v>
      </c>
      <c r="AV225" s="21">
        <v>59922031</v>
      </c>
      <c r="AW225" s="21">
        <v>59731637</v>
      </c>
      <c r="AX225" s="21">
        <v>59472048</v>
      </c>
      <c r="AY225" s="21">
        <v>59446382</v>
      </c>
      <c r="AZ225" s="21">
        <v>47210026</v>
      </c>
      <c r="BA225" s="21">
        <v>47202859</v>
      </c>
      <c r="BB225" s="21">
        <v>47060345</v>
      </c>
      <c r="BC225" s="21">
        <v>47058678</v>
      </c>
      <c r="BD225" s="21">
        <v>40632039</v>
      </c>
      <c r="BE225" s="21">
        <v>40406842</v>
      </c>
      <c r="BF225" s="21">
        <v>40382673</v>
      </c>
      <c r="BG225" s="21">
        <v>40234302</v>
      </c>
      <c r="BH225" s="21">
        <v>39908890</v>
      </c>
      <c r="BI225" s="21">
        <v>39637089</v>
      </c>
      <c r="BJ225" s="21">
        <v>39635422</v>
      </c>
      <c r="BK225" s="21">
        <v>39527543</v>
      </c>
      <c r="BL225" s="21">
        <v>39206647</v>
      </c>
      <c r="BM225" s="21">
        <v>39206647</v>
      </c>
      <c r="BN225" s="21">
        <v>39206647</v>
      </c>
      <c r="BO225" s="21">
        <v>31974017</v>
      </c>
      <c r="BP225" s="21">
        <v>31507193</v>
      </c>
      <c r="BQ225" s="21">
        <v>31499193</v>
      </c>
      <c r="BR225" s="21">
        <v>31084048</v>
      </c>
      <c r="BS225" s="21">
        <v>31064048</v>
      </c>
      <c r="BT225" s="21">
        <v>30935799</v>
      </c>
      <c r="BU225" s="21">
        <v>30761380</v>
      </c>
      <c r="BV225" s="21">
        <v>30756380</v>
      </c>
      <c r="BW225" s="21">
        <v>30629628</v>
      </c>
      <c r="BX225" s="21">
        <v>30619628</v>
      </c>
      <c r="BY225" s="21">
        <v>29805430</v>
      </c>
      <c r="BZ225" s="21">
        <v>29750730</v>
      </c>
      <c r="CA225" s="21">
        <v>29683613</v>
      </c>
      <c r="CB225" s="21">
        <v>29683613</v>
      </c>
      <c r="CC225" s="21">
        <v>17006163</v>
      </c>
      <c r="CD225" s="21">
        <v>11676546</v>
      </c>
      <c r="CE225" s="21" t="s">
        <v>165</v>
      </c>
      <c r="CG225" s="15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</row>
    <row r="226" spans="1:106" outlineLevel="1" x14ac:dyDescent="0.2">
      <c r="A226" s="14">
        <v>1</v>
      </c>
      <c r="C226" s="9" t="str">
        <f>"    Number of Employees"</f>
        <v xml:space="preserve">    Number of Employees</v>
      </c>
      <c r="D226" s="17">
        <f t="shared" si="48"/>
        <v>1457</v>
      </c>
      <c r="E226" s="17">
        <f t="shared" si="49"/>
        <v>1348.3188405797102</v>
      </c>
      <c r="F226" s="17">
        <f t="shared" si="50"/>
        <v>5</v>
      </c>
      <c r="G226" s="17">
        <f t="shared" si="51"/>
        <v>2240</v>
      </c>
      <c r="H226" s="17">
        <f t="shared" si="52"/>
        <v>734</v>
      </c>
      <c r="I226" s="17">
        <f t="shared" si="53"/>
        <v>1749</v>
      </c>
      <c r="J226" s="17">
        <f t="shared" si="54"/>
        <v>502.40350237496955</v>
      </c>
      <c r="K226" s="18">
        <f t="shared" si="55"/>
        <v>0.37261476088175177</v>
      </c>
      <c r="L226" s="21"/>
      <c r="M226" s="21">
        <v>2240</v>
      </c>
      <c r="N226" s="138">
        <v>2172.5</v>
      </c>
      <c r="O226" s="138">
        <v>1974.5</v>
      </c>
      <c r="P226" s="138">
        <v>1992.5</v>
      </c>
      <c r="Q226" s="138">
        <v>2055.5</v>
      </c>
      <c r="R226" s="21">
        <v>2204</v>
      </c>
      <c r="S226" s="21">
        <v>2204</v>
      </c>
      <c r="T226" s="21">
        <v>1853</v>
      </c>
      <c r="U226" s="21">
        <v>1853</v>
      </c>
      <c r="V226" s="21">
        <v>1853</v>
      </c>
      <c r="W226" s="21">
        <v>1853</v>
      </c>
      <c r="X226" s="21">
        <v>1749</v>
      </c>
      <c r="Y226" s="21">
        <v>1749</v>
      </c>
      <c r="Z226" s="21">
        <v>1749</v>
      </c>
      <c r="AA226" s="21">
        <v>1749</v>
      </c>
      <c r="AB226" s="21">
        <v>1749</v>
      </c>
      <c r="AC226" s="21">
        <v>1758</v>
      </c>
      <c r="AD226" s="21">
        <v>1758</v>
      </c>
      <c r="AE226" s="21">
        <v>1758</v>
      </c>
      <c r="AF226" s="21">
        <v>1758</v>
      </c>
      <c r="AG226" s="21">
        <v>1475</v>
      </c>
      <c r="AH226" s="21">
        <v>1475</v>
      </c>
      <c r="AI226" s="21">
        <v>1475</v>
      </c>
      <c r="AJ226" s="21">
        <v>1475</v>
      </c>
      <c r="AK226" s="21">
        <v>1346</v>
      </c>
      <c r="AL226" s="21">
        <v>1346</v>
      </c>
      <c r="AM226" s="21">
        <v>1346</v>
      </c>
      <c r="AN226" s="21">
        <v>1346</v>
      </c>
      <c r="AO226" s="21">
        <v>1520</v>
      </c>
      <c r="AP226" s="21">
        <v>1520</v>
      </c>
      <c r="AQ226" s="21">
        <v>1520</v>
      </c>
      <c r="AR226" s="21">
        <v>1563</v>
      </c>
      <c r="AS226" s="21">
        <v>1563</v>
      </c>
      <c r="AT226" s="21">
        <v>1563</v>
      </c>
      <c r="AU226" s="21">
        <v>1563</v>
      </c>
      <c r="AV226" s="21">
        <v>1563</v>
      </c>
      <c r="AW226" s="21">
        <v>1362</v>
      </c>
      <c r="AX226" s="21">
        <v>1362</v>
      </c>
      <c r="AY226" s="21">
        <v>1362</v>
      </c>
      <c r="AZ226" s="21">
        <v>1362</v>
      </c>
      <c r="BA226" s="21">
        <v>1453</v>
      </c>
      <c r="BB226" s="21">
        <v>1453</v>
      </c>
      <c r="BC226" s="21">
        <v>1453</v>
      </c>
      <c r="BD226" s="21">
        <v>1453</v>
      </c>
      <c r="BE226" s="21">
        <v>1457</v>
      </c>
      <c r="BF226" s="21">
        <v>1457</v>
      </c>
      <c r="BG226" s="21">
        <v>1457</v>
      </c>
      <c r="BH226" s="21">
        <v>1457</v>
      </c>
      <c r="BI226" s="21">
        <v>832</v>
      </c>
      <c r="BJ226" s="21">
        <v>832</v>
      </c>
      <c r="BK226" s="21">
        <v>832</v>
      </c>
      <c r="BL226" s="21">
        <v>734</v>
      </c>
      <c r="BM226" s="21">
        <v>734</v>
      </c>
      <c r="BN226" s="21">
        <v>734</v>
      </c>
      <c r="BO226" s="21">
        <v>734</v>
      </c>
      <c r="BP226" s="21">
        <v>682</v>
      </c>
      <c r="BQ226" s="21">
        <v>682</v>
      </c>
      <c r="BR226" s="21">
        <v>682</v>
      </c>
      <c r="BS226" s="21">
        <v>682</v>
      </c>
      <c r="BT226" s="21">
        <v>682</v>
      </c>
      <c r="BU226" s="21">
        <v>670</v>
      </c>
      <c r="BV226" s="21">
        <v>670</v>
      </c>
      <c r="BW226" s="21">
        <v>670</v>
      </c>
      <c r="BX226" s="21">
        <v>670</v>
      </c>
      <c r="BY226" s="21">
        <v>682</v>
      </c>
      <c r="BZ226" s="21">
        <v>682</v>
      </c>
      <c r="CA226" s="21">
        <v>682</v>
      </c>
      <c r="CB226" s="21">
        <v>682</v>
      </c>
      <c r="CC226" s="21">
        <v>5</v>
      </c>
      <c r="CD226" s="21" t="s">
        <v>165</v>
      </c>
      <c r="CE226" s="21" t="s">
        <v>165</v>
      </c>
      <c r="CG226" s="15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</row>
    <row r="227" spans="1:106" x14ac:dyDescent="0.2">
      <c r="A227" s="14">
        <v>1</v>
      </c>
      <c r="C227" s="91" t="str">
        <f>"Per Share Calculations"</f>
        <v>Per Share Calculations</v>
      </c>
      <c r="D227" s="28"/>
      <c r="E227" s="28"/>
      <c r="F227" s="28"/>
      <c r="G227" s="28"/>
      <c r="H227" s="28"/>
      <c r="I227" s="28"/>
      <c r="J227" s="28"/>
      <c r="K227" s="28"/>
      <c r="L227" s="28"/>
      <c r="M227" s="28" t="s">
        <v>165</v>
      </c>
      <c r="N227" s="28"/>
      <c r="O227" s="28"/>
      <c r="P227" s="28"/>
      <c r="Q227" s="28"/>
      <c r="R227" s="28" t="s">
        <v>165</v>
      </c>
      <c r="S227" s="28" t="s">
        <v>165</v>
      </c>
      <c r="T227" s="28" t="s">
        <v>165</v>
      </c>
      <c r="U227" s="28" t="s">
        <v>165</v>
      </c>
      <c r="V227" s="28" t="s">
        <v>165</v>
      </c>
      <c r="W227" s="28" t="s">
        <v>165</v>
      </c>
      <c r="X227" s="28" t="s">
        <v>165</v>
      </c>
      <c r="Y227" s="28" t="s">
        <v>165</v>
      </c>
      <c r="Z227" s="28" t="s">
        <v>165</v>
      </c>
      <c r="AA227" s="28" t="s">
        <v>165</v>
      </c>
      <c r="AB227" s="28" t="s">
        <v>165</v>
      </c>
      <c r="AC227" s="28" t="s">
        <v>165</v>
      </c>
      <c r="AD227" s="28" t="s">
        <v>165</v>
      </c>
      <c r="AE227" s="28" t="s">
        <v>165</v>
      </c>
      <c r="AF227" s="28" t="s">
        <v>165</v>
      </c>
      <c r="AG227" s="28" t="s">
        <v>165</v>
      </c>
      <c r="AH227" s="28" t="s">
        <v>165</v>
      </c>
      <c r="AI227" s="28" t="s">
        <v>165</v>
      </c>
      <c r="AJ227" s="28" t="s">
        <v>165</v>
      </c>
      <c r="AK227" s="28" t="s">
        <v>165</v>
      </c>
      <c r="AL227" s="28" t="s">
        <v>165</v>
      </c>
      <c r="AM227" s="28" t="s">
        <v>165</v>
      </c>
      <c r="AN227" s="28" t="s">
        <v>165</v>
      </c>
      <c r="AO227" s="28" t="s">
        <v>165</v>
      </c>
      <c r="AP227" s="28" t="s">
        <v>165</v>
      </c>
      <c r="AQ227" s="28" t="s">
        <v>165</v>
      </c>
      <c r="AR227" s="28" t="s">
        <v>165</v>
      </c>
      <c r="AS227" s="28" t="s">
        <v>165</v>
      </c>
      <c r="AT227" s="28" t="s">
        <v>165</v>
      </c>
      <c r="AU227" s="28" t="s">
        <v>165</v>
      </c>
      <c r="AV227" s="28" t="s">
        <v>165</v>
      </c>
      <c r="AW227" s="28" t="s">
        <v>165</v>
      </c>
      <c r="AX227" s="28" t="s">
        <v>165</v>
      </c>
      <c r="AY227" s="28" t="s">
        <v>165</v>
      </c>
      <c r="AZ227" s="28" t="s">
        <v>165</v>
      </c>
      <c r="BA227" s="28" t="s">
        <v>165</v>
      </c>
      <c r="BB227" s="28" t="s">
        <v>165</v>
      </c>
      <c r="BC227" s="28" t="s">
        <v>165</v>
      </c>
      <c r="BD227" s="28" t="s">
        <v>165</v>
      </c>
      <c r="BE227" s="28" t="s">
        <v>165</v>
      </c>
      <c r="BF227" s="28" t="s">
        <v>165</v>
      </c>
      <c r="BG227" s="28" t="s">
        <v>165</v>
      </c>
      <c r="BH227" s="28" t="s">
        <v>165</v>
      </c>
      <c r="BI227" s="28" t="s">
        <v>165</v>
      </c>
      <c r="BJ227" s="28" t="s">
        <v>165</v>
      </c>
      <c r="BK227" s="28" t="s">
        <v>165</v>
      </c>
      <c r="BL227" s="28" t="s">
        <v>165</v>
      </c>
      <c r="BM227" s="28" t="s">
        <v>165</v>
      </c>
      <c r="BN227" s="28" t="s">
        <v>165</v>
      </c>
      <c r="BO227" s="28" t="s">
        <v>165</v>
      </c>
      <c r="BP227" s="28" t="s">
        <v>165</v>
      </c>
      <c r="BQ227" s="28" t="s">
        <v>165</v>
      </c>
      <c r="BR227" s="28" t="s">
        <v>165</v>
      </c>
      <c r="BS227" s="28" t="s">
        <v>165</v>
      </c>
      <c r="BT227" s="28" t="s">
        <v>165</v>
      </c>
      <c r="BU227" s="28" t="s">
        <v>165</v>
      </c>
      <c r="BV227" s="28" t="s">
        <v>165</v>
      </c>
      <c r="BW227" s="28" t="s">
        <v>165</v>
      </c>
      <c r="BX227" s="28" t="s">
        <v>165</v>
      </c>
      <c r="BY227" s="28" t="s">
        <v>165</v>
      </c>
      <c r="BZ227" s="28" t="s">
        <v>165</v>
      </c>
      <c r="CA227" s="28" t="s">
        <v>165</v>
      </c>
      <c r="CB227" s="28" t="s">
        <v>165</v>
      </c>
      <c r="CC227" s="28" t="s">
        <v>165</v>
      </c>
      <c r="CD227" s="28" t="s">
        <v>165</v>
      </c>
      <c r="CE227" s="28" t="s">
        <v>165</v>
      </c>
      <c r="CG227" s="15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</row>
    <row r="228" spans="1:106" outlineLevel="1" x14ac:dyDescent="0.2">
      <c r="A228" s="14">
        <v>1</v>
      </c>
      <c r="C228" s="9" t="str">
        <f>"    Book Value per Share"</f>
        <v xml:space="preserve">    Book Value per Share</v>
      </c>
      <c r="D228" s="18">
        <f>IF(COUNT(M228:CE228)&gt;0,MEDIAN(M228:CE228),"")</f>
        <v>1.8618285440532012</v>
      </c>
      <c r="E228" s="18">
        <f>IF(COUNT(M228:CE228)&gt;0,AVERAGE(M228:CE228),"")</f>
        <v>2.583544128025812</v>
      </c>
      <c r="F228" s="18">
        <f>IF(COUNT(M228:CE228)&gt;0,MIN(M228:CE228),"")</f>
        <v>-3.8902744083073718E-2</v>
      </c>
      <c r="G228" s="18">
        <f>IF(COUNT(M228:CE228)&gt;0,MAX(M228:CE228),"")</f>
        <v>8.0593216786116031</v>
      </c>
      <c r="H228" s="18">
        <f>IF(COUNT(M228:CE228)&gt;0,QUARTILE(M228:CE228,1),"")</f>
        <v>0.85273742141827713</v>
      </c>
      <c r="I228" s="18">
        <f>IF(COUNT(M228:CE228)&gt;0,QUARTILE(M228:CE228,3),"")</f>
        <v>3.069971838200908</v>
      </c>
      <c r="J228" s="18">
        <f>IF(COUNT(M228:CE228)&gt;1,STDEV(M228:CE228),"")</f>
        <v>2.2919288235548576</v>
      </c>
      <c r="K228" s="18">
        <f>IF(COUNT(M228:CE228)&gt;1,STDEV(M228:CE228)/AVERAGE(M228:CE228),"")</f>
        <v>0.8871258666312043</v>
      </c>
      <c r="L228" s="22"/>
      <c r="M228" s="22">
        <v>7.905823435849717</v>
      </c>
      <c r="N228" s="139">
        <v>5.8139680627012886</v>
      </c>
      <c r="O228" s="139">
        <v>6.7687907472019102</v>
      </c>
      <c r="P228" s="139">
        <v>8.0593216786116031</v>
      </c>
      <c r="Q228" s="139">
        <v>7.8039815329822648</v>
      </c>
      <c r="R228" s="22">
        <v>7.3443164247980519</v>
      </c>
      <c r="S228" s="22">
        <v>7.234161843892104</v>
      </c>
      <c r="T228" s="22">
        <v>7.3010007386013998</v>
      </c>
      <c r="U228" s="22">
        <v>7.3158719705104502</v>
      </c>
      <c r="V228" s="22">
        <v>6.6901326048156227</v>
      </c>
      <c r="W228" s="22">
        <v>6.0614211640106292</v>
      </c>
      <c r="X228" s="22">
        <v>5.4971058563439454</v>
      </c>
      <c r="Y228" s="22">
        <v>4.799807536629265</v>
      </c>
      <c r="Z228" s="22">
        <v>4.1302797321402762</v>
      </c>
      <c r="AA228" s="22">
        <v>3.8625002301428304</v>
      </c>
      <c r="AB228" s="22">
        <v>3.595285963592592</v>
      </c>
      <c r="AC228" s="22">
        <v>3.1542290537573248</v>
      </c>
      <c r="AD228" s="22">
        <v>2.9740372831713571</v>
      </c>
      <c r="AE228" s="22">
        <v>2.8629358802049656</v>
      </c>
      <c r="AF228" s="22">
        <v>3.013819800844689</v>
      </c>
      <c r="AG228" s="22">
        <v>2.5296199683145173</v>
      </c>
      <c r="AH228" s="22">
        <v>2.3418353752362044</v>
      </c>
      <c r="AI228" s="22">
        <v>3.0886891839863142</v>
      </c>
      <c r="AJ228" s="22">
        <v>2.819706695073541</v>
      </c>
      <c r="AK228" s="22">
        <v>2.4098242725417207</v>
      </c>
      <c r="AL228" s="22">
        <v>2.3975758391062589</v>
      </c>
      <c r="AM228" s="22">
        <v>2.0202979214754118</v>
      </c>
      <c r="AN228" s="22">
        <v>1.7277656848163978</v>
      </c>
      <c r="AO228" s="22">
        <v>1.5562355053229346</v>
      </c>
      <c r="AP228" s="22">
        <v>1.4778759720928105</v>
      </c>
      <c r="AQ228" s="22">
        <v>1.4918699264377437</v>
      </c>
      <c r="AR228" s="22">
        <v>1.4374707286163866</v>
      </c>
      <c r="AS228" s="22">
        <v>1.5468509411807796</v>
      </c>
      <c r="AT228" s="22">
        <v>2.424089668709239</v>
      </c>
      <c r="AU228" s="22">
        <v>2.7857758061595805</v>
      </c>
      <c r="AV228" s="22">
        <v>2.679765644125113</v>
      </c>
      <c r="AW228" s="22">
        <v>2.5951817410498039</v>
      </c>
      <c r="AX228" s="22">
        <v>2.5395678845217882</v>
      </c>
      <c r="AY228" s="22">
        <v>2.2947906232544142</v>
      </c>
      <c r="AZ228" s="22">
        <v>1.0723569607862533</v>
      </c>
      <c r="BA228" s="22">
        <v>0.8690879296103653</v>
      </c>
      <c r="BB228" s="22">
        <v>0.80618072391946982</v>
      </c>
      <c r="BC228" s="22">
        <v>2.4044210081719677</v>
      </c>
      <c r="BD228" s="22">
        <v>1.9159887348995703</v>
      </c>
      <c r="BE228" s="22">
        <v>1.7892396045204424</v>
      </c>
      <c r="BF228" s="22">
        <v>1.8076683532068321</v>
      </c>
      <c r="BG228" s="22">
        <v>1.6394624417741857</v>
      </c>
      <c r="BH228" s="22">
        <v>1.481003330335672</v>
      </c>
      <c r="BI228" s="22">
        <v>1.3211051649125898</v>
      </c>
      <c r="BJ228" s="22">
        <v>1.2562770998123849</v>
      </c>
      <c r="BK228" s="22">
        <v>1.1670677076994136</v>
      </c>
      <c r="BL228" s="22">
        <v>1.0514417976877093</v>
      </c>
      <c r="BM228" s="22">
        <v>0.28111317450839396</v>
      </c>
      <c r="BN228" s="22">
        <v>0.82524623949607323</v>
      </c>
      <c r="BO228" s="22">
        <v>0.94719660174041975</v>
      </c>
      <c r="BP228" s="22">
        <v>0.84728725202091437</v>
      </c>
      <c r="BQ228" s="22">
        <v>0.6730834024858986</v>
      </c>
      <c r="BR228" s="22">
        <v>0.67409803165433479</v>
      </c>
      <c r="BS228" s="22">
        <v>0.59325449149447618</v>
      </c>
      <c r="BT228" s="22">
        <v>0.6547538985497029</v>
      </c>
      <c r="BU228" s="22">
        <v>0.4827135065128812</v>
      </c>
      <c r="BV228" s="22">
        <v>0.53519347855631905</v>
      </c>
      <c r="BW228" s="22">
        <v>0.51001657610729068</v>
      </c>
      <c r="BX228" s="22">
        <v>0.49085648591158587</v>
      </c>
      <c r="BY228" s="22">
        <v>0.1763660178698982</v>
      </c>
      <c r="BZ228" s="22">
        <v>0.16671701837232228</v>
      </c>
      <c r="CA228" s="22">
        <v>0.15606263967934092</v>
      </c>
      <c r="CB228" s="22">
        <v>-3.8902744083073718E-2</v>
      </c>
      <c r="CC228" s="22">
        <v>-3.473093842508742E-2</v>
      </c>
      <c r="CD228" s="22">
        <v>-2.7117950804972635E-2</v>
      </c>
      <c r="CE228" s="22" t="s">
        <v>165</v>
      </c>
      <c r="CG228" s="15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</row>
    <row r="229" spans="1:106" outlineLevel="1" x14ac:dyDescent="0.2">
      <c r="A229" s="14">
        <v>1</v>
      </c>
      <c r="C229" s="9" t="str">
        <f>"    Cash And Cash Equivalents per Share"</f>
        <v xml:space="preserve">    Cash And Cash Equivalents per Share</v>
      </c>
      <c r="D229" s="18">
        <f>IF(COUNT(M229:CE229)&gt;0,MEDIAN(M229:CE229),"")</f>
        <v>0.64256336816650417</v>
      </c>
      <c r="E229" s="18">
        <f>IF(COUNT(M229:CE229)&gt;0,AVERAGE(M229:CE229),"")</f>
        <v>0.73991112648953161</v>
      </c>
      <c r="F229" s="18">
        <f>IF(COUNT(M229:CE229)&gt;0,MIN(M229:CE229),"")</f>
        <v>0.01</v>
      </c>
      <c r="G229" s="18">
        <f>IF(COUNT(M229:CE229)&gt;0,MAX(M229:CE229),"")</f>
        <v>3.8291058238642308</v>
      </c>
      <c r="H229" s="18">
        <f>IF(COUNT(M229:CE229)&gt;0,QUARTILE(M229:CE229,1),"")</f>
        <v>0.11695079704770481</v>
      </c>
      <c r="I229" s="18">
        <f>IF(COUNT(M229:CE229)&gt;0,QUARTILE(M229:CE229,3),"")</f>
        <v>0.95856047319549342</v>
      </c>
      <c r="J229" s="18">
        <f>IF(COUNT(M229:CE229)&gt;1,STDEV(M229:CE229),"")</f>
        <v>0.78182773270098094</v>
      </c>
      <c r="K229" s="18">
        <f>IF(COUNT(M229:CE229)&gt;1,STDEV(M229:CE229)/AVERAGE(M229:CE229),"")</f>
        <v>1.0566508661794565</v>
      </c>
      <c r="L229" s="22"/>
      <c r="M229" s="22">
        <v>2.6474817947798548</v>
      </c>
      <c r="N229" s="139">
        <v>2.5629884190895185</v>
      </c>
      <c r="O229" s="139">
        <v>1.314979519377544</v>
      </c>
      <c r="P229" s="139">
        <v>0.69842794253147289</v>
      </c>
      <c r="Q229" s="139">
        <v>0.68438757239897818</v>
      </c>
      <c r="R229" s="22">
        <v>1.2597643238572431</v>
      </c>
      <c r="S229" s="22">
        <v>0.80318464972875203</v>
      </c>
      <c r="T229" s="22">
        <v>1.1429621745239305</v>
      </c>
      <c r="U229" s="22">
        <v>0.96267963961751524</v>
      </c>
      <c r="V229" s="22">
        <v>1.3130889196074742</v>
      </c>
      <c r="W229" s="22">
        <v>3.8291058238642308</v>
      </c>
      <c r="X229" s="22">
        <v>3.4159397532799254</v>
      </c>
      <c r="Y229" s="22">
        <v>1.90931851228921</v>
      </c>
      <c r="Z229" s="22">
        <v>0.99098412308307293</v>
      </c>
      <c r="AA229" s="22">
        <v>1.0192867325109061</v>
      </c>
      <c r="AB229" s="22">
        <v>0.78098556338327119</v>
      </c>
      <c r="AC229" s="22">
        <v>1.0976197035106161</v>
      </c>
      <c r="AD229" s="22">
        <v>1.1987058081395874</v>
      </c>
      <c r="AE229" s="22">
        <v>1.5620846284961722</v>
      </c>
      <c r="AF229" s="22">
        <v>1.2440228954410679</v>
      </c>
      <c r="AG229" s="22">
        <v>0.82463975817559265</v>
      </c>
      <c r="AH229" s="22">
        <v>0.94620297392942798</v>
      </c>
      <c r="AI229" s="22">
        <v>2.2715212219227681</v>
      </c>
      <c r="AJ229" s="22">
        <v>1.5108298874943265</v>
      </c>
      <c r="AK229" s="22">
        <v>0.91423197352425856</v>
      </c>
      <c r="AL229" s="22">
        <v>0.87482219018222329</v>
      </c>
      <c r="AM229" s="22">
        <v>0.87461544371173783</v>
      </c>
      <c r="AN229" s="22">
        <v>0.8173524117591876</v>
      </c>
      <c r="AO229" s="22">
        <v>0.39680776361595094</v>
      </c>
      <c r="AP229" s="22">
        <v>0.75829224324072797</v>
      </c>
      <c r="AQ229" s="22">
        <v>0.58320859166763905</v>
      </c>
      <c r="AR229" s="22">
        <v>0.81337107580156176</v>
      </c>
      <c r="AS229" s="22">
        <v>0.54093148055754281</v>
      </c>
      <c r="AT229" s="22">
        <v>0.7237210886920451</v>
      </c>
      <c r="AU229" s="22">
        <v>0.44481449334995665</v>
      </c>
      <c r="AV229" s="22">
        <v>0.66511430495404933</v>
      </c>
      <c r="AW229" s="22">
        <v>0.62001243137895889</v>
      </c>
      <c r="AX229" s="22">
        <v>0.77814403456813808</v>
      </c>
      <c r="AY229" s="22">
        <v>0.59167604178165123</v>
      </c>
      <c r="AZ229" s="22">
        <v>0.8435072668674235</v>
      </c>
      <c r="BA229" s="22">
        <v>0.45208526458111359</v>
      </c>
      <c r="BB229" s="22">
        <v>6.0560563251289383E-2</v>
      </c>
      <c r="BC229" s="22">
        <v>2.9011482218008759E-2</v>
      </c>
      <c r="BD229" s="22">
        <v>0.10727632940104237</v>
      </c>
      <c r="BE229" s="22">
        <v>9.0477795814877096E-2</v>
      </c>
      <c r="BF229" s="22">
        <v>1.4626817793859262E-2</v>
      </c>
      <c r="BG229" s="22">
        <v>2.5062669162248669E-2</v>
      </c>
      <c r="BH229" s="22">
        <v>0.10186522351285641</v>
      </c>
      <c r="BI229" s="22">
        <v>4.671475748383036E-2</v>
      </c>
      <c r="BJ229" s="22">
        <v>1.6511341799262287E-2</v>
      </c>
      <c r="BK229" s="22">
        <v>3.1863250392264453E-2</v>
      </c>
      <c r="BL229" s="22">
        <v>1.8603304462113383E-2</v>
      </c>
      <c r="BM229" s="22">
        <v>2.436844446300139E-2</v>
      </c>
      <c r="BN229" s="22">
        <v>1.2694123014396003E-2</v>
      </c>
      <c r="BO229" s="22">
        <v>3.8345083340344151E-2</v>
      </c>
      <c r="BP229" s="22">
        <v>0.12764974135092252</v>
      </c>
      <c r="BQ229" s="22">
        <v>2.9596599506533389E-2</v>
      </c>
      <c r="BR229" s="22">
        <v>0.13941366688346588</v>
      </c>
      <c r="BS229" s="22">
        <v>0.11338448227996557</v>
      </c>
      <c r="BT229" s="22">
        <v>0.17813223443816661</v>
      </c>
      <c r="BU229" s="22">
        <v>0.15636101130947769</v>
      </c>
      <c r="BV229" s="22">
        <v>0.33998146075708519</v>
      </c>
      <c r="BW229" s="22">
        <v>0.29857590826764202</v>
      </c>
      <c r="BX229" s="22">
        <v>0.39784970607742198</v>
      </c>
      <c r="BY229" s="22">
        <v>0.30815717136105736</v>
      </c>
      <c r="BZ229" s="22">
        <v>0.33140870829051927</v>
      </c>
      <c r="CA229" s="22">
        <v>0.37652481859266929</v>
      </c>
      <c r="CB229" s="22">
        <v>0.67419323247476648</v>
      </c>
      <c r="CC229" s="22">
        <v>1.0668485301475706E-2</v>
      </c>
      <c r="CD229" s="22">
        <v>0.01</v>
      </c>
      <c r="CE229" s="22" t="s">
        <v>165</v>
      </c>
      <c r="CG229" s="15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</row>
    <row r="230" spans="1:106" outlineLevel="1" x14ac:dyDescent="0.2">
      <c r="A230" s="14">
        <v>1</v>
      </c>
      <c r="C230" s="9" t="str">
        <f>"    Cash, Cash Equivalents And Short Term Investments per Share"</f>
        <v xml:space="preserve">    Cash, Cash Equivalents And Short Term Investments per Share</v>
      </c>
      <c r="D230" s="18">
        <f>IF(COUNT(M230:CE230)&gt;0,MEDIAN(M230:CE230),"")</f>
        <v>0.64256336816650417</v>
      </c>
      <c r="E230" s="18">
        <f>IF(COUNT(M230:CE230)&gt;0,AVERAGE(M230:CE230),"")</f>
        <v>0.75095650017068372</v>
      </c>
      <c r="F230" s="18">
        <f>IF(COUNT(M230:CE230)&gt;0,MIN(M230:CE230),"")</f>
        <v>0.01</v>
      </c>
      <c r="G230" s="18">
        <f>IF(COUNT(M230:CE230)&gt;0,MAX(M230:CE230),"")</f>
        <v>3.8291058238642308</v>
      </c>
      <c r="H230" s="18">
        <f>IF(COUNT(M230:CE230)&gt;0,QUARTILE(M230:CE230,1),"")</f>
        <v>0.11695079704770481</v>
      </c>
      <c r="I230" s="18">
        <f>IF(COUNT(M230:CE230)&gt;0,QUARTILE(M230:CE230,3),"")</f>
        <v>0.95856047319549342</v>
      </c>
      <c r="J230" s="18">
        <f>IF(COUNT(M230:CE230)&gt;1,STDEV(M230:CE230),"")</f>
        <v>0.77673106281810445</v>
      </c>
      <c r="K230" s="18">
        <f>IF(COUNT(M230:CE230)&gt;1,STDEV(M230:CE230)/AVERAGE(M230:CE230),"")</f>
        <v>1.0343223111346163</v>
      </c>
      <c r="L230" s="22"/>
      <c r="M230" s="22">
        <v>2.6474817947798548</v>
      </c>
      <c r="N230" s="139">
        <v>2.5629884190895185</v>
      </c>
      <c r="O230" s="139">
        <v>1.314979519377544</v>
      </c>
      <c r="P230" s="139">
        <v>0.69842794253147289</v>
      </c>
      <c r="Q230" s="139">
        <v>0.68438757239897818</v>
      </c>
      <c r="R230" s="22">
        <v>1.2597643238572431</v>
      </c>
      <c r="S230" s="22">
        <v>0.80318464972875203</v>
      </c>
      <c r="T230" s="22">
        <v>1.1429621745239305</v>
      </c>
      <c r="U230" s="22">
        <v>0.96267963961751524</v>
      </c>
      <c r="V230" s="22">
        <v>1.3130889196074742</v>
      </c>
      <c r="W230" s="22">
        <v>3.8291058238642308</v>
      </c>
      <c r="X230" s="22">
        <v>3.4159397532799254</v>
      </c>
      <c r="Y230" s="22">
        <v>1.90931851228921</v>
      </c>
      <c r="Z230" s="22">
        <v>0.99098412308307293</v>
      </c>
      <c r="AA230" s="22">
        <v>1.0192867325109061</v>
      </c>
      <c r="AB230" s="22">
        <v>0.78098556338327119</v>
      </c>
      <c r="AC230" s="22">
        <v>1.0976197035106161</v>
      </c>
      <c r="AD230" s="22">
        <v>1.1987058081395874</v>
      </c>
      <c r="AE230" s="22">
        <v>1.5620846284961722</v>
      </c>
      <c r="AF230" s="22">
        <v>1.2440228954410679</v>
      </c>
      <c r="AG230" s="22">
        <v>0.82463975817559265</v>
      </c>
      <c r="AH230" s="22">
        <v>0.94620297392942798</v>
      </c>
      <c r="AI230" s="22">
        <v>2.2715212219227681</v>
      </c>
      <c r="AJ230" s="22">
        <v>1.5108298874943265</v>
      </c>
      <c r="AK230" s="22">
        <v>0.91423197352425856</v>
      </c>
      <c r="AL230" s="22">
        <v>0.87482219018222329</v>
      </c>
      <c r="AM230" s="22">
        <v>0.87461544371173783</v>
      </c>
      <c r="AN230" s="22">
        <v>0.8173524117591876</v>
      </c>
      <c r="AO230" s="22">
        <v>0.39680776361595094</v>
      </c>
      <c r="AP230" s="22">
        <v>0.75829224324072797</v>
      </c>
      <c r="AQ230" s="22">
        <v>0.58320859166763905</v>
      </c>
      <c r="AR230" s="22">
        <v>0.81337107580156176</v>
      </c>
      <c r="AS230" s="22">
        <v>0.54093148055754281</v>
      </c>
      <c r="AT230" s="22">
        <v>0.7237210886920451</v>
      </c>
      <c r="AU230" s="22">
        <v>0.44481449334995665</v>
      </c>
      <c r="AV230" s="22">
        <v>0.66511430495404933</v>
      </c>
      <c r="AW230" s="22">
        <v>0.62001243137895889</v>
      </c>
      <c r="AX230" s="22">
        <v>0.77814403456813808</v>
      </c>
      <c r="AY230" s="22">
        <v>0.59167604178165123</v>
      </c>
      <c r="AZ230" s="22">
        <v>0.8435072668674235</v>
      </c>
      <c r="BA230" s="22">
        <v>0.45208526458111359</v>
      </c>
      <c r="BB230" s="22">
        <v>6.0560563251289383E-2</v>
      </c>
      <c r="BC230" s="22">
        <v>2.9011482218008759E-2</v>
      </c>
      <c r="BD230" s="22">
        <v>0.10727632940104237</v>
      </c>
      <c r="BE230" s="22">
        <v>9.0477795814877096E-2</v>
      </c>
      <c r="BF230" s="22">
        <v>1.4626817793859262E-2</v>
      </c>
      <c r="BG230" s="22">
        <v>2.5062669162248669E-2</v>
      </c>
      <c r="BH230" s="22">
        <v>0.10186522351285641</v>
      </c>
      <c r="BI230" s="22">
        <v>4.671475748383036E-2</v>
      </c>
      <c r="BJ230" s="22">
        <v>1.6511341799262287E-2</v>
      </c>
      <c r="BK230" s="22">
        <v>3.1863250392264453E-2</v>
      </c>
      <c r="BL230" s="22">
        <v>1.8603304462113383E-2</v>
      </c>
      <c r="BM230" s="22">
        <v>2.436844446300139E-2</v>
      </c>
      <c r="BN230" s="22">
        <v>1.2694123014396003E-2</v>
      </c>
      <c r="BO230" s="22">
        <v>3.8345083340344151E-2</v>
      </c>
      <c r="BP230" s="22">
        <v>0.12764974135092252</v>
      </c>
      <c r="BQ230" s="22">
        <v>2.9596599506533389E-2</v>
      </c>
      <c r="BR230" s="22">
        <v>0.13941366688346588</v>
      </c>
      <c r="BS230" s="22">
        <v>0.11338448227996557</v>
      </c>
      <c r="BT230" s="22">
        <v>0.22787195507702904</v>
      </c>
      <c r="BU230" s="22">
        <v>0.20944153861046255</v>
      </c>
      <c r="BV230" s="22">
        <v>0.39199278328593939</v>
      </c>
      <c r="BW230" s="22">
        <v>0.34960163407795875</v>
      </c>
      <c r="BX230" s="22">
        <v>0.44946496410733666</v>
      </c>
      <c r="BY230" s="22">
        <v>0.47343265975360865</v>
      </c>
      <c r="BZ230" s="22">
        <v>0.49037663949758542</v>
      </c>
      <c r="CA230" s="22">
        <v>0.53418995861453933</v>
      </c>
      <c r="CB230" s="22">
        <v>0.70798827622499994</v>
      </c>
      <c r="CC230" s="22">
        <v>1.0668485301475706E-2</v>
      </c>
      <c r="CD230" s="22">
        <v>0.01</v>
      </c>
      <c r="CE230" s="22" t="s">
        <v>165</v>
      </c>
      <c r="CG230" s="15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</row>
    <row r="231" spans="1:106" outlineLevel="1" x14ac:dyDescent="0.2">
      <c r="A231" s="14">
        <v>1</v>
      </c>
      <c r="C231" s="9" t="str">
        <f>"    Net Intangible Assets per Share"</f>
        <v xml:space="preserve">    Net Intangible Assets per Share</v>
      </c>
      <c r="D231" s="18">
        <f>IF(COUNT(M231:CE231)&gt;0,MEDIAN(M231:CE231),"")</f>
        <v>0.13215764772684366</v>
      </c>
      <c r="E231" s="18">
        <f>IF(COUNT(M231:CE231)&gt;0,AVERAGE(M231:CE231),"")</f>
        <v>1.2960260651789928</v>
      </c>
      <c r="F231" s="18">
        <f>IF(COUNT(M231:CE231)&gt;0,MIN(M231:CE231),"")</f>
        <v>0.01</v>
      </c>
      <c r="G231" s="18">
        <f>IF(COUNT(M231:CE231)&gt;0,MAX(M231:CE231),"")</f>
        <v>5.8121091937423319</v>
      </c>
      <c r="H231" s="18">
        <f>IF(COUNT(M231:CE231)&gt;0,QUARTILE(M231:CE231,1),"")</f>
        <v>4.0910062701150593E-2</v>
      </c>
      <c r="I231" s="18">
        <f>IF(COUNT(M231:CE231)&gt;0,QUARTILE(M231:CE231,3),"")</f>
        <v>2.543192833713035</v>
      </c>
      <c r="J231" s="18">
        <f>IF(COUNT(M231:CE231)&gt;1,STDEV(M231:CE231),"")</f>
        <v>1.7588902591072511</v>
      </c>
      <c r="K231" s="18">
        <f>IF(COUNT(M231:CE231)&gt;1,STDEV(M231:CE231)/AVERAGE(M231:CE231),"")</f>
        <v>1.3571411149546075</v>
      </c>
      <c r="L231" s="22"/>
      <c r="M231" s="22">
        <v>0.49630415462409444</v>
      </c>
      <c r="N231" s="139">
        <v>0.47002205856957857</v>
      </c>
      <c r="O231" s="139">
        <v>2.0824666041595647</v>
      </c>
      <c r="P231" s="139">
        <v>4.9638949596493358</v>
      </c>
      <c r="Q231" s="139">
        <v>5.5490564792168771</v>
      </c>
      <c r="R231" s="22">
        <v>5.8121091937423319</v>
      </c>
      <c r="S231" s="22">
        <v>5.6440332743481871</v>
      </c>
      <c r="T231" s="22">
        <v>5.7628884867131784</v>
      </c>
      <c r="U231" s="22">
        <v>5.6049521406105285</v>
      </c>
      <c r="V231" s="22">
        <v>5.266891062432264</v>
      </c>
      <c r="W231" s="22">
        <v>2.4345164615915018</v>
      </c>
      <c r="X231" s="22">
        <v>2.4873378926938208</v>
      </c>
      <c r="Y231" s="22">
        <v>2.5618111473861065</v>
      </c>
      <c r="Z231" s="22">
        <v>2.6369298599202957</v>
      </c>
      <c r="AA231" s="22">
        <v>2.6962899467486734</v>
      </c>
      <c r="AB231" s="22">
        <v>2.7596598963432277</v>
      </c>
      <c r="AC231" s="22">
        <v>2.8294630814933805</v>
      </c>
      <c r="AD231" s="22">
        <v>0.33520114414926616</v>
      </c>
      <c r="AE231" s="22">
        <v>0.34199729602772722</v>
      </c>
      <c r="AF231" s="22">
        <v>6.1875957259448999E-2</v>
      </c>
      <c r="AG231" s="22">
        <v>6.3931067632805733E-2</v>
      </c>
      <c r="AH231" s="22">
        <v>6.4919371874414294E-2</v>
      </c>
      <c r="AI231" s="22">
        <v>5.9666181760554583E-2</v>
      </c>
      <c r="AJ231" s="22">
        <v>6.1666843424214086E-2</v>
      </c>
      <c r="AK231" s="22">
        <v>6.3513225908439802E-2</v>
      </c>
      <c r="AL231" s="22">
        <v>6.3775752799929142E-2</v>
      </c>
      <c r="AM231" s="22">
        <v>6.6872374898091863E-2</v>
      </c>
      <c r="AN231" s="22">
        <v>6.9389901843145529E-2</v>
      </c>
      <c r="AO231" s="22">
        <v>0.1239976095665304</v>
      </c>
      <c r="AP231" s="22">
        <v>0.12700894068022683</v>
      </c>
      <c r="AQ231" s="22">
        <v>0.13058040676980709</v>
      </c>
      <c r="AR231" s="22">
        <v>0.13473769112208983</v>
      </c>
      <c r="AS231" s="22">
        <v>0.14702435989014148</v>
      </c>
      <c r="AT231" s="22">
        <v>0.99728065523359211</v>
      </c>
      <c r="AU231" s="22">
        <v>1.6652367470122571</v>
      </c>
      <c r="AV231" s="22">
        <v>1.6702371119563688</v>
      </c>
      <c r="AW231" s="22">
        <v>1.6186768062730363</v>
      </c>
      <c r="AX231" s="22">
        <v>1.6405663210050772</v>
      </c>
      <c r="AY231" s="22">
        <v>1.660891658637863</v>
      </c>
      <c r="AZ231" s="22">
        <v>0.12582073138447328</v>
      </c>
      <c r="BA231" s="22">
        <v>0.12887187617173781</v>
      </c>
      <c r="BB231" s="22">
        <v>0.13373488868388023</v>
      </c>
      <c r="BC231" s="22">
        <v>2.2441814026309874</v>
      </c>
      <c r="BD231" s="22">
        <v>2.6253705357981172</v>
      </c>
      <c r="BE231" s="22">
        <v>2.6603089645065556</v>
      </c>
      <c r="BF231" s="22">
        <v>2.678397737564326</v>
      </c>
      <c r="BG231" s="22">
        <v>2.7123182104662833</v>
      </c>
      <c r="BH231" s="22">
        <v>2.7939438806742056</v>
      </c>
      <c r="BI231" s="22">
        <v>2.8045270428411126</v>
      </c>
      <c r="BJ231" s="22">
        <v>1.0710242974075058E-2</v>
      </c>
      <c r="BK231" s="22">
        <v>1.0456000262905286E-2</v>
      </c>
      <c r="BL231" s="22">
        <v>1.03531513161749E-2</v>
      </c>
      <c r="BM231" s="22">
        <v>0.01</v>
      </c>
      <c r="BN231" s="22">
        <v>0.01</v>
      </c>
      <c r="BO231" s="22">
        <v>1.1159822162695369E-2</v>
      </c>
      <c r="BP231" s="22">
        <v>1.1412641708422185E-2</v>
      </c>
      <c r="BQ231" s="22">
        <v>1.0329724955175836E-2</v>
      </c>
      <c r="BR231" s="22">
        <v>1.0257977085317709E-2</v>
      </c>
      <c r="BS231" s="22">
        <v>1.1690169935354208E-2</v>
      </c>
      <c r="BT231" s="22">
        <v>1.1375429482199571E-2</v>
      </c>
      <c r="BU231" s="22">
        <v>1.0096562897498298E-2</v>
      </c>
      <c r="BV231" s="22">
        <v>1.0205459810289768E-2</v>
      </c>
      <c r="BW231" s="22">
        <v>1.032418676452747E-2</v>
      </c>
      <c r="BX231" s="22">
        <v>1.0135100269670161E-2</v>
      </c>
      <c r="BY231" s="22">
        <v>0.11088456029656341</v>
      </c>
      <c r="BZ231" s="22">
        <v>0.11262500113442594</v>
      </c>
      <c r="CA231" s="22">
        <v>0.11361713279310036</v>
      </c>
      <c r="CB231" s="22">
        <v>3.3230725653241741E-2</v>
      </c>
      <c r="CC231" s="22">
        <v>2.3153253323515716E-2</v>
      </c>
      <c r="CD231" s="22">
        <v>3.4658023014682598E-2</v>
      </c>
      <c r="CE231" s="22" t="s">
        <v>165</v>
      </c>
      <c r="CG231" s="15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</row>
    <row r="232" spans="1:106" outlineLevel="1" x14ac:dyDescent="0.2">
      <c r="A232" s="14">
        <v>1</v>
      </c>
      <c r="C232" s="9" t="str">
        <f>"    Total Asset per Share"</f>
        <v xml:space="preserve">    Total Asset per Share</v>
      </c>
      <c r="D232" s="18">
        <f>IF(COUNT(M232:CE232)&gt;0,MEDIAN(M232:CE232),"")</f>
        <v>5.3178499781758681</v>
      </c>
      <c r="E232" s="18">
        <f>IF(COUNT(M232:CE232)&gt;0,AVERAGE(M232:CE232),"")</f>
        <v>6.1904441804369661</v>
      </c>
      <c r="F232" s="18">
        <f>IF(COUNT(M232:CE232)&gt;0,MIN(M232:CE232),"")</f>
        <v>3.7528571259725078E-2</v>
      </c>
      <c r="G232" s="18">
        <f>IF(COUNT(M232:CE232)&gt;0,MAX(M232:CE232),"")</f>
        <v>15.084112104629313</v>
      </c>
      <c r="H232" s="18">
        <f>IF(COUNT(M232:CE232)&gt;0,QUARTILE(M232:CE232,1),"")</f>
        <v>3.2724137321136091</v>
      </c>
      <c r="I232" s="18">
        <f>IF(COUNT(M232:CE232)&gt;0,QUARTILE(M232:CE232,3),"")</f>
        <v>8.0535835406449561</v>
      </c>
      <c r="J232" s="18">
        <f>IF(COUNT(M232:CE232)&gt;1,STDEV(M232:CE232),"")</f>
        <v>3.7557051694309194</v>
      </c>
      <c r="K232" s="18">
        <f>IF(COUNT(M232:CE232)&gt;1,STDEV(M232:CE232)/AVERAGE(M232:CE232),"")</f>
        <v>0.60669397218695453</v>
      </c>
      <c r="L232" s="22"/>
      <c r="M232" s="22">
        <v>10.90930565684765</v>
      </c>
      <c r="N232" s="139">
        <v>9.3187895514958914</v>
      </c>
      <c r="O232" s="139">
        <v>11.709432806362038</v>
      </c>
      <c r="P232" s="139">
        <v>14.241765552809866</v>
      </c>
      <c r="Q232" s="139">
        <v>13.836720789401621</v>
      </c>
      <c r="R232" s="22">
        <v>15.084112104629313</v>
      </c>
      <c r="S232" s="22">
        <v>14.409657060228627</v>
      </c>
      <c r="T232" s="22">
        <v>14.63379324055858</v>
      </c>
      <c r="U232" s="22">
        <v>13.12578812264517</v>
      </c>
      <c r="V232" s="22">
        <v>12.940685344777265</v>
      </c>
      <c r="W232" s="22">
        <v>11.659118970498884</v>
      </c>
      <c r="X232" s="22">
        <v>11.063341636960534</v>
      </c>
      <c r="Y232" s="22">
        <v>10.470766595193338</v>
      </c>
      <c r="Z232" s="22">
        <v>9.6014601105519919</v>
      </c>
      <c r="AA232" s="22">
        <v>9.4557665111823841</v>
      </c>
      <c r="AB232" s="22">
        <v>9.0807005282538107</v>
      </c>
      <c r="AC232" s="22">
        <v>10.178548742517687</v>
      </c>
      <c r="AD232" s="22">
        <v>7.7462356954340912</v>
      </c>
      <c r="AE232" s="22">
        <v>8.1560328223819116</v>
      </c>
      <c r="AF232" s="22">
        <v>6.8922228678398749</v>
      </c>
      <c r="AG232" s="22">
        <v>6.3020992224008339</v>
      </c>
      <c r="AH232" s="22">
        <v>6.1232681023270192</v>
      </c>
      <c r="AI232" s="22">
        <v>6.3312342604453757</v>
      </c>
      <c r="AJ232" s="22">
        <v>5.0855938119647766</v>
      </c>
      <c r="AK232" s="22">
        <v>4.3881170884633249</v>
      </c>
      <c r="AL232" s="22">
        <v>4.3565103526236095</v>
      </c>
      <c r="AM232" s="22">
        <v>4.172796443258048</v>
      </c>
      <c r="AN232" s="22">
        <v>4.0065165875779494</v>
      </c>
      <c r="AO232" s="22">
        <v>3.6651042351341161</v>
      </c>
      <c r="AP232" s="22">
        <v>4.1878419531511666</v>
      </c>
      <c r="AQ232" s="22">
        <v>4.2248186318321412</v>
      </c>
      <c r="AR232" s="22">
        <v>4.363582125839268</v>
      </c>
      <c r="AS232" s="22">
        <v>4.1381407627054214</v>
      </c>
      <c r="AT232" s="22">
        <v>5.2238257567652751</v>
      </c>
      <c r="AU232" s="22">
        <v>5.7202510300923342</v>
      </c>
      <c r="AV232" s="22">
        <v>5.8250862691887066</v>
      </c>
      <c r="AW232" s="22">
        <v>5.4118741995864621</v>
      </c>
      <c r="AX232" s="22">
        <v>5.5956398575115562</v>
      </c>
      <c r="AY232" s="22">
        <v>5.4660181001427475</v>
      </c>
      <c r="AZ232" s="22">
        <v>4.4531007036513808</v>
      </c>
      <c r="BA232" s="22">
        <v>4.0065025722276699</v>
      </c>
      <c r="BB232" s="22">
        <v>4.0457941606675432</v>
      </c>
      <c r="BC232" s="22">
        <v>6.3373220344183911</v>
      </c>
      <c r="BD232" s="22">
        <v>7.1310861854606902</v>
      </c>
      <c r="BE232" s="22">
        <v>7.235638805923017</v>
      </c>
      <c r="BF232" s="22">
        <v>7.1430143814402776</v>
      </c>
      <c r="BG232" s="22">
        <v>6.9338921301530219</v>
      </c>
      <c r="BH232" s="22">
        <v>6.7217461573098127</v>
      </c>
      <c r="BI232" s="22">
        <v>6.3446888594669506</v>
      </c>
      <c r="BJ232" s="22">
        <v>2.6444478375933529</v>
      </c>
      <c r="BK232" s="22">
        <v>2.5479241398839285</v>
      </c>
      <c r="BL232" s="22">
        <v>2.4089627813078032</v>
      </c>
      <c r="BM232" s="22">
        <v>2.1448382974448186</v>
      </c>
      <c r="BN232" s="22">
        <v>2.1965024961201096</v>
      </c>
      <c r="BO232" s="22">
        <v>2.5489180354258441</v>
      </c>
      <c r="BP232" s="22">
        <v>2.5643429788631189</v>
      </c>
      <c r="BQ232" s="22">
        <v>2.4312860015175626</v>
      </c>
      <c r="BR232" s="22">
        <v>3.0718483803696177</v>
      </c>
      <c r="BS232" s="22">
        <v>3.071126242143329</v>
      </c>
      <c r="BT232" s="22">
        <v>3.4034993245204368</v>
      </c>
      <c r="BU232" s="22">
        <v>3.216886403714637</v>
      </c>
      <c r="BV232" s="22">
        <v>3.2979983990313553</v>
      </c>
      <c r="BW232" s="22">
        <v>3.2638855098076935</v>
      </c>
      <c r="BX232" s="22">
        <v>3.4792287156460557</v>
      </c>
      <c r="BY232" s="22">
        <v>2.6873967260328069</v>
      </c>
      <c r="BZ232" s="22">
        <v>2.784970553663725</v>
      </c>
      <c r="CA232" s="22">
        <v>2.7785888126219676</v>
      </c>
      <c r="CB232" s="22">
        <v>3.2490941382371479</v>
      </c>
      <c r="CC232" s="22">
        <v>3.7528571259725078E-2</v>
      </c>
      <c r="CD232" s="22">
        <v>4.6468793083160036E-2</v>
      </c>
      <c r="CE232" s="22" t="s">
        <v>165</v>
      </c>
      <c r="CG232" s="15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</row>
    <row r="233" spans="1:106" x14ac:dyDescent="0.2">
      <c r="A233" s="14"/>
      <c r="CG233" s="15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</row>
    <row r="234" spans="1:106" x14ac:dyDescent="0.2">
      <c r="A234" s="14"/>
      <c r="CG234" s="15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</row>
    <row r="235" spans="1:106" x14ac:dyDescent="0.2">
      <c r="A235" s="14"/>
      <c r="C235" s="90" t="s">
        <v>86</v>
      </c>
      <c r="CG235" s="15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</row>
    <row r="236" spans="1:106" x14ac:dyDescent="0.2">
      <c r="A236" s="14"/>
      <c r="C236" s="90" t="s">
        <v>10</v>
      </c>
      <c r="CG236" s="15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</row>
    <row r="237" spans="1:106" ht="16" thickBot="1" x14ac:dyDescent="0.25">
      <c r="A237" s="14"/>
      <c r="CG237" s="15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</row>
    <row r="238" spans="1:106" x14ac:dyDescent="0.2">
      <c r="A238" s="12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214:M214 D226:M226 R226:CE226 R214:CE214 D10:CE10 D92:CE92 D146:CE146 D162:CE162 D167:CE167">
    <cfRule type="expression" dxfId="23" priority="21">
      <formula>NOT(SUBTOTAL(109,$A11)=$A11)</formula>
    </cfRule>
  </conditionalFormatting>
  <conditionalFormatting sqref="N183">
    <cfRule type="expression" dxfId="22" priority="20">
      <formula>NOT(SUBTOTAL(109,$A184)=$A184)</formula>
    </cfRule>
  </conditionalFormatting>
  <conditionalFormatting sqref="N192">
    <cfRule type="expression" dxfId="21" priority="19">
      <formula>NOT(SUBTOTAL(109,$A193)=$A193)</formula>
    </cfRule>
  </conditionalFormatting>
  <conditionalFormatting sqref="N205">
    <cfRule type="expression" dxfId="20" priority="18">
      <formula>NOT(SUBTOTAL(109,$A206)=$A206)</formula>
    </cfRule>
  </conditionalFormatting>
  <conditionalFormatting sqref="N214">
    <cfRule type="expression" dxfId="19" priority="17">
      <formula>NOT(SUBTOTAL(109,$A215)=$A215)</formula>
    </cfRule>
  </conditionalFormatting>
  <conditionalFormatting sqref="N226">
    <cfRule type="expression" dxfId="18" priority="16">
      <formula>NOT(SUBTOTAL(109,$A227)=$A227)</formula>
    </cfRule>
  </conditionalFormatting>
  <conditionalFormatting sqref="D232:M232 R232:CE232">
    <cfRule type="expression" dxfId="17" priority="22">
      <formula>NOT(SUBTOTAL(109,#REF!)=#REF!)</formula>
    </cfRule>
  </conditionalFormatting>
  <conditionalFormatting sqref="O183">
    <cfRule type="expression" dxfId="16" priority="15">
      <formula>NOT(SUBTOTAL(109,$A184)=$A184)</formula>
    </cfRule>
  </conditionalFormatting>
  <conditionalFormatting sqref="O192">
    <cfRule type="expression" dxfId="15" priority="14">
      <formula>NOT(SUBTOTAL(109,$A193)=$A193)</formula>
    </cfRule>
  </conditionalFormatting>
  <conditionalFormatting sqref="O205">
    <cfRule type="expression" dxfId="14" priority="13">
      <formula>NOT(SUBTOTAL(109,$A206)=$A206)</formula>
    </cfRule>
  </conditionalFormatting>
  <conditionalFormatting sqref="O214">
    <cfRule type="expression" dxfId="13" priority="12">
      <formula>NOT(SUBTOTAL(109,$A215)=$A215)</formula>
    </cfRule>
  </conditionalFormatting>
  <conditionalFormatting sqref="O226">
    <cfRule type="expression" dxfId="12" priority="11">
      <formula>NOT(SUBTOTAL(109,$A227)=$A227)</formula>
    </cfRule>
  </conditionalFormatting>
  <conditionalFormatting sqref="P183">
    <cfRule type="expression" dxfId="11" priority="10">
      <formula>NOT(SUBTOTAL(109,$A184)=$A184)</formula>
    </cfRule>
  </conditionalFormatting>
  <conditionalFormatting sqref="P192">
    <cfRule type="expression" dxfId="10" priority="9">
      <formula>NOT(SUBTOTAL(109,$A193)=$A193)</formula>
    </cfRule>
  </conditionalFormatting>
  <conditionalFormatting sqref="P205">
    <cfRule type="expression" dxfId="9" priority="8">
      <formula>NOT(SUBTOTAL(109,$A206)=$A206)</formula>
    </cfRule>
  </conditionalFormatting>
  <conditionalFormatting sqref="P214">
    <cfRule type="expression" dxfId="8" priority="7">
      <formula>NOT(SUBTOTAL(109,$A215)=$A215)</formula>
    </cfRule>
  </conditionalFormatting>
  <conditionalFormatting sqref="P226">
    <cfRule type="expression" dxfId="7" priority="6">
      <formula>NOT(SUBTOTAL(109,$A227)=$A227)</formula>
    </cfRule>
  </conditionalFormatting>
  <conditionalFormatting sqref="Q183">
    <cfRule type="expression" dxfId="6" priority="5">
      <formula>NOT(SUBTOTAL(109,$A184)=$A184)</formula>
    </cfRule>
  </conditionalFormatting>
  <conditionalFormatting sqref="Q192">
    <cfRule type="expression" dxfId="5" priority="4">
      <formula>NOT(SUBTOTAL(109,$A193)=$A193)</formula>
    </cfRule>
  </conditionalFormatting>
  <conditionalFormatting sqref="Q205">
    <cfRule type="expression" dxfId="4" priority="3">
      <formula>NOT(SUBTOTAL(109,$A206)=$A206)</formula>
    </cfRule>
  </conditionalFormatting>
  <conditionalFormatting sqref="Q214">
    <cfRule type="expression" dxfId="3" priority="2">
      <formula>NOT(SUBTOTAL(109,$A215)=$A215)</formula>
    </cfRule>
  </conditionalFormatting>
  <conditionalFormatting sqref="Q226">
    <cfRule type="expression" dxfId="2" priority="1">
      <formula>NOT(SUBTOTAL(109,$A227)=$A227)</formula>
    </cfRule>
  </conditionalFormatting>
  <hyperlinks>
    <hyperlink ref="CE5" r:id="rId1" xr:uid="{00000000-0004-0000-0300-000053000000}"/>
    <hyperlink ref="CD5" r:id="rId2" xr:uid="{00000000-0004-0000-0300-000052000000}"/>
    <hyperlink ref="CC5" r:id="rId3" xr:uid="{00000000-0004-0000-0300-000051000000}"/>
    <hyperlink ref="CB5" r:id="rId4" xr:uid="{00000000-0004-0000-0300-000050000000}"/>
    <hyperlink ref="CA5" r:id="rId5" xr:uid="{00000000-0004-0000-0300-00004F000000}"/>
    <hyperlink ref="BZ5" r:id="rId6" xr:uid="{00000000-0004-0000-0300-00004E000000}"/>
    <hyperlink ref="BY5" r:id="rId7" xr:uid="{00000000-0004-0000-0300-00004D000000}"/>
    <hyperlink ref="BX5" r:id="rId8" xr:uid="{00000000-0004-0000-0300-00004C000000}"/>
    <hyperlink ref="BW5" r:id="rId9" xr:uid="{00000000-0004-0000-0300-00004B000000}"/>
    <hyperlink ref="BV5" r:id="rId10" xr:uid="{00000000-0004-0000-0300-00004A000000}"/>
    <hyperlink ref="BU5" r:id="rId11" xr:uid="{00000000-0004-0000-0300-000049000000}"/>
    <hyperlink ref="BT5" r:id="rId12" xr:uid="{00000000-0004-0000-0300-000048000000}"/>
    <hyperlink ref="BS5" r:id="rId13" xr:uid="{00000000-0004-0000-0300-000047000000}"/>
    <hyperlink ref="BR5" r:id="rId14" xr:uid="{00000000-0004-0000-0300-000046000000}"/>
    <hyperlink ref="BQ5" r:id="rId15" xr:uid="{00000000-0004-0000-0300-000045000000}"/>
    <hyperlink ref="BP5" r:id="rId16" xr:uid="{00000000-0004-0000-0300-000044000000}"/>
    <hyperlink ref="BO5" r:id="rId17" xr:uid="{00000000-0004-0000-0300-000043000000}"/>
    <hyperlink ref="BN5" r:id="rId18" xr:uid="{00000000-0004-0000-0300-000042000000}"/>
    <hyperlink ref="BM5" r:id="rId19" xr:uid="{00000000-0004-0000-0300-000041000000}"/>
    <hyperlink ref="BL5" r:id="rId20" xr:uid="{00000000-0004-0000-0300-000040000000}"/>
    <hyperlink ref="BK5" r:id="rId21" xr:uid="{00000000-0004-0000-0300-00003F000000}"/>
    <hyperlink ref="BJ5" r:id="rId22" xr:uid="{00000000-0004-0000-0300-00003E000000}"/>
    <hyperlink ref="BI5" r:id="rId23" xr:uid="{00000000-0004-0000-0300-00003D000000}"/>
    <hyperlink ref="BH5" r:id="rId24" xr:uid="{00000000-0004-0000-0300-00003C000000}"/>
    <hyperlink ref="BG5" r:id="rId25" xr:uid="{00000000-0004-0000-0300-00003B000000}"/>
    <hyperlink ref="BF5" r:id="rId26" xr:uid="{00000000-0004-0000-0300-00003A000000}"/>
    <hyperlink ref="BE5" r:id="rId27" xr:uid="{00000000-0004-0000-0300-000039000000}"/>
    <hyperlink ref="BD5" r:id="rId28" xr:uid="{00000000-0004-0000-0300-000038000000}"/>
    <hyperlink ref="BC5" r:id="rId29" xr:uid="{00000000-0004-0000-0300-000037000000}"/>
    <hyperlink ref="BB5" r:id="rId30" xr:uid="{00000000-0004-0000-0300-000036000000}"/>
    <hyperlink ref="BA5" r:id="rId31" xr:uid="{00000000-0004-0000-0300-000035000000}"/>
    <hyperlink ref="AZ5" r:id="rId32" xr:uid="{00000000-0004-0000-0300-000034000000}"/>
    <hyperlink ref="AY5" r:id="rId33" xr:uid="{00000000-0004-0000-0300-000033000000}"/>
    <hyperlink ref="AX5" r:id="rId34" xr:uid="{00000000-0004-0000-0300-000032000000}"/>
    <hyperlink ref="AW5" r:id="rId35" xr:uid="{00000000-0004-0000-0300-000031000000}"/>
    <hyperlink ref="AV5" r:id="rId36" xr:uid="{00000000-0004-0000-0300-000030000000}"/>
    <hyperlink ref="AU5" r:id="rId37" xr:uid="{00000000-0004-0000-0300-00002F000000}"/>
    <hyperlink ref="AT5" r:id="rId38" xr:uid="{00000000-0004-0000-0300-00002E000000}"/>
    <hyperlink ref="AS5" r:id="rId39" xr:uid="{00000000-0004-0000-0300-00002D000000}"/>
    <hyperlink ref="AR5" r:id="rId40" xr:uid="{00000000-0004-0000-0300-00002C000000}"/>
    <hyperlink ref="AQ5" r:id="rId41" xr:uid="{00000000-0004-0000-0300-00002B000000}"/>
    <hyperlink ref="AP5" r:id="rId42" xr:uid="{00000000-0004-0000-0300-00002A000000}"/>
    <hyperlink ref="AO5" r:id="rId43" xr:uid="{00000000-0004-0000-0300-000029000000}"/>
    <hyperlink ref="AN5" r:id="rId44" xr:uid="{00000000-0004-0000-0300-000028000000}"/>
    <hyperlink ref="AM5" r:id="rId45" xr:uid="{00000000-0004-0000-0300-000027000000}"/>
    <hyperlink ref="AL5" r:id="rId46" xr:uid="{00000000-0004-0000-0300-000026000000}"/>
    <hyperlink ref="AK5" r:id="rId47" xr:uid="{00000000-0004-0000-0300-000025000000}"/>
    <hyperlink ref="AJ5" r:id="rId48" xr:uid="{00000000-0004-0000-0300-000024000000}"/>
    <hyperlink ref="AI5" r:id="rId49" xr:uid="{00000000-0004-0000-0300-000023000000}"/>
    <hyperlink ref="AH5" r:id="rId50" xr:uid="{00000000-0004-0000-0300-000022000000}"/>
    <hyperlink ref="AG5" r:id="rId51" xr:uid="{00000000-0004-0000-0300-000021000000}"/>
    <hyperlink ref="AF5" r:id="rId52" xr:uid="{00000000-0004-0000-0300-000020000000}"/>
    <hyperlink ref="AE5" r:id="rId53" xr:uid="{00000000-0004-0000-0300-00001F000000}"/>
    <hyperlink ref="AD5" r:id="rId54" xr:uid="{00000000-0004-0000-0300-00001E000000}"/>
    <hyperlink ref="AC5" r:id="rId55" xr:uid="{00000000-0004-0000-0300-00001D000000}"/>
    <hyperlink ref="AB5" r:id="rId56" xr:uid="{00000000-0004-0000-0300-00001C000000}"/>
    <hyperlink ref="AA5" r:id="rId57" xr:uid="{00000000-0004-0000-0300-00001B000000}"/>
    <hyperlink ref="Z5" r:id="rId58" xr:uid="{00000000-0004-0000-0300-00001A000000}"/>
    <hyperlink ref="Y5" r:id="rId59" xr:uid="{00000000-0004-0000-0300-000019000000}"/>
    <hyperlink ref="X5" r:id="rId60" xr:uid="{00000000-0004-0000-0300-000018000000}"/>
    <hyperlink ref="W5" r:id="rId61" xr:uid="{00000000-0004-0000-0300-000017000000}"/>
    <hyperlink ref="V5" r:id="rId62" xr:uid="{00000000-0004-0000-0300-000016000000}"/>
    <hyperlink ref="U5" r:id="rId63" xr:uid="{00000000-0004-0000-0300-000015000000}"/>
    <hyperlink ref="T5" r:id="rId64" xr:uid="{00000000-0004-0000-0300-000014000000}"/>
    <hyperlink ref="S5" r:id="rId65" xr:uid="{00000000-0004-0000-0300-000013000000}"/>
    <hyperlink ref="R5" r:id="rId66" xr:uid="{00000000-0004-0000-0300-000012000000}"/>
    <hyperlink ref="M5" r:id="rId67" xr:uid="{00000000-0004-0000-0300-000000000000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6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8A44-BDB0-4376-8C80-E92BAED1A67D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showGridLines="0" zoomScaleNormal="100" workbookViewId="0">
      <pane xSplit="3" ySplit="8" topLeftCell="G9" activePane="bottomRight" state="frozen"/>
      <selection pane="topRight" activeCell="D1" sqref="D1"/>
      <selection pane="bottomLeft" activeCell="A9" sqref="A9"/>
      <selection pane="bottomRight" activeCell="M9" sqref="M9"/>
    </sheetView>
  </sheetViews>
  <sheetFormatPr baseColWidth="10" defaultColWidth="8.83203125" defaultRowHeight="15" x14ac:dyDescent="0.2"/>
  <cols>
    <col min="1" max="1" width="1" style="1" customWidth="1"/>
    <col min="2" max="2" width="4" style="1" customWidth="1"/>
    <col min="3" max="3" width="57.83203125" style="1" customWidth="1"/>
    <col min="4" max="6" width="18.83203125" style="1" customWidth="1"/>
    <col min="7" max="39" width="18.83203125" style="1" customWidth="1" collapsed="1"/>
    <col min="40" max="40" width="17.33203125" style="1" customWidth="1" collapsed="1"/>
    <col min="41" max="41" width="14.5" style="1" customWidth="1" collapsed="1"/>
    <col min="42" max="42" width="17" style="1" customWidth="1" collapsed="1"/>
    <col min="43" max="43" width="15.83203125" style="1" customWidth="1" collapsed="1"/>
    <col min="44" max="44" width="23.83203125" style="1" customWidth="1" collapsed="1"/>
    <col min="45" max="45" width="36.83203125" style="1" customWidth="1" collapsed="1"/>
    <col min="46" max="46" width="31.83203125" style="1" customWidth="1" collapsed="1"/>
    <col min="47" max="47" width="36.83203125" style="1" customWidth="1" collapsed="1"/>
    <col min="48" max="49" width="25.1640625" style="1" customWidth="1" collapsed="1"/>
    <col min="50" max="50" width="16.1640625" style="1" customWidth="1" collapsed="1"/>
    <col min="51" max="51" width="25.1640625" style="1" customWidth="1" collapsed="1"/>
    <col min="52" max="55" width="30.6640625" style="1" customWidth="1" collapsed="1"/>
    <col min="56" max="56" width="21.6640625" style="1" customWidth="1" collapsed="1"/>
    <col min="57" max="57" width="10.83203125" style="1" customWidth="1" collapsed="1"/>
    <col min="58" max="58" width="2" style="1" customWidth="1" collapsed="1"/>
    <col min="59" max="1025" width="9.1640625" style="1" customWidth="1" collapsed="1"/>
  </cols>
  <sheetData>
    <row r="1" spans="1:80" ht="6.5" customHeight="1" x14ac:dyDescent="0.2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</row>
    <row r="2" spans="1:80" ht="11.25" customHeight="1" x14ac:dyDescent="0.2">
      <c r="A2" s="14"/>
      <c r="BG2" s="15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</row>
    <row r="3" spans="1:80" ht="33.75" customHeight="1" x14ac:dyDescent="0.2">
      <c r="A3" s="14"/>
      <c r="C3" s="2"/>
      <c r="D3" s="159"/>
      <c r="E3" s="159"/>
      <c r="F3" s="159"/>
      <c r="G3" s="3"/>
      <c r="H3" s="4"/>
      <c r="I3" s="4"/>
      <c r="J3" s="4"/>
      <c r="BG3" s="15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</row>
    <row r="4" spans="1:80" x14ac:dyDescent="0.2">
      <c r="A4" s="14"/>
      <c r="C4" s="5" t="s">
        <v>0</v>
      </c>
      <c r="D4" s="160" t="s">
        <v>12</v>
      </c>
      <c r="E4" s="160"/>
      <c r="F4" s="160"/>
      <c r="G4" s="160"/>
      <c r="BG4" s="15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</row>
    <row r="5" spans="1:80" x14ac:dyDescent="0.2">
      <c r="A5" s="14"/>
      <c r="C5" s="5" t="s">
        <v>13</v>
      </c>
      <c r="D5" s="161" t="s">
        <v>14</v>
      </c>
      <c r="E5" s="161"/>
      <c r="F5" s="161"/>
      <c r="G5" s="161"/>
      <c r="BG5" s="15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</row>
    <row r="6" spans="1:80" ht="35.25" customHeight="1" x14ac:dyDescent="0.2">
      <c r="A6" s="14"/>
      <c r="C6" s="5" t="s">
        <v>15</v>
      </c>
      <c r="D6" s="162" t="s">
        <v>16</v>
      </c>
      <c r="E6" s="162"/>
      <c r="F6" s="162"/>
      <c r="G6" s="162"/>
      <c r="H6" s="162"/>
      <c r="I6" s="162"/>
      <c r="BG6" s="15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0" x14ac:dyDescent="0.2">
      <c r="A7" s="14"/>
      <c r="C7" t="s">
        <v>17</v>
      </c>
      <c r="BG7" s="15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</row>
    <row r="8" spans="1:80" ht="33.75" customHeight="1" x14ac:dyDescent="0.2">
      <c r="A8" s="14"/>
      <c r="C8" s="34" t="s">
        <v>18</v>
      </c>
      <c r="D8" s="34" t="s">
        <v>19</v>
      </c>
      <c r="E8" s="34" t="s">
        <v>20</v>
      </c>
      <c r="F8" s="34" t="s">
        <v>21</v>
      </c>
      <c r="G8" s="34" t="s">
        <v>22</v>
      </c>
      <c r="H8" s="34" t="s">
        <v>23</v>
      </c>
      <c r="I8" s="34" t="s">
        <v>24</v>
      </c>
      <c r="J8" s="34" t="s">
        <v>25</v>
      </c>
      <c r="K8" s="34" t="s">
        <v>26</v>
      </c>
      <c r="L8" s="34" t="s">
        <v>27</v>
      </c>
      <c r="M8" s="34" t="s">
        <v>28</v>
      </c>
      <c r="N8" s="34" t="s">
        <v>29</v>
      </c>
      <c r="O8" s="34" t="s">
        <v>30</v>
      </c>
      <c r="P8" s="34" t="s">
        <v>31</v>
      </c>
      <c r="Q8" s="34" t="s">
        <v>32</v>
      </c>
      <c r="R8" s="34" t="s">
        <v>33</v>
      </c>
      <c r="S8" s="34" t="s">
        <v>34</v>
      </c>
      <c r="T8" s="34" t="s">
        <v>35</v>
      </c>
      <c r="U8" s="34" t="s">
        <v>36</v>
      </c>
      <c r="V8" s="34" t="s">
        <v>37</v>
      </c>
      <c r="W8" s="34" t="s">
        <v>38</v>
      </c>
      <c r="X8" s="34" t="s">
        <v>39</v>
      </c>
      <c r="Y8" s="34" t="s">
        <v>40</v>
      </c>
      <c r="Z8" s="34" t="s">
        <v>41</v>
      </c>
      <c r="AA8" s="34" t="s">
        <v>42</v>
      </c>
      <c r="AB8" s="34" t="s">
        <v>43</v>
      </c>
      <c r="AC8" s="34" t="s">
        <v>44</v>
      </c>
      <c r="AD8" s="34" t="s">
        <v>45</v>
      </c>
      <c r="AE8" s="34" t="s">
        <v>46</v>
      </c>
      <c r="AF8" s="34" t="s">
        <v>47</v>
      </c>
      <c r="AG8" s="34" t="s">
        <v>48</v>
      </c>
      <c r="AH8" s="34" t="s">
        <v>49</v>
      </c>
      <c r="AI8" s="34" t="s">
        <v>50</v>
      </c>
      <c r="AJ8" s="34" t="s">
        <v>51</v>
      </c>
      <c r="AK8" s="34" t="s">
        <v>52</v>
      </c>
      <c r="AL8" s="34" t="s">
        <v>53</v>
      </c>
      <c r="AM8" s="34" t="s">
        <v>54</v>
      </c>
      <c r="AN8" s="34" t="s">
        <v>55</v>
      </c>
      <c r="AO8" s="34" t="s">
        <v>56</v>
      </c>
      <c r="AP8" s="34" t="s">
        <v>57</v>
      </c>
      <c r="AQ8" s="34" t="s">
        <v>58</v>
      </c>
      <c r="AR8" s="34" t="s">
        <v>59</v>
      </c>
      <c r="AS8" s="34" t="s">
        <v>60</v>
      </c>
      <c r="AT8" s="34" t="s">
        <v>61</v>
      </c>
      <c r="AU8" s="34" t="s">
        <v>62</v>
      </c>
      <c r="AV8" s="34" t="s">
        <v>63</v>
      </c>
      <c r="AW8" s="34" t="s">
        <v>64</v>
      </c>
      <c r="AX8" s="34" t="s">
        <v>65</v>
      </c>
      <c r="AY8" s="34" t="s">
        <v>66</v>
      </c>
      <c r="AZ8" s="34" t="s">
        <v>67</v>
      </c>
      <c r="BA8" s="34" t="s">
        <v>68</v>
      </c>
      <c r="BB8" s="34" t="s">
        <v>69</v>
      </c>
      <c r="BC8" s="34" t="s">
        <v>70</v>
      </c>
      <c r="BD8" s="34" t="s">
        <v>71</v>
      </c>
      <c r="BE8" s="34" t="s">
        <v>72</v>
      </c>
      <c r="BG8" s="15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0" x14ac:dyDescent="0.2">
      <c r="A9" s="14"/>
      <c r="C9" s="36" t="s">
        <v>73</v>
      </c>
      <c r="D9" s="37">
        <v>1.58</v>
      </c>
      <c r="E9" s="38">
        <v>284021</v>
      </c>
      <c r="F9" s="39">
        <v>284021</v>
      </c>
      <c r="G9" s="40">
        <v>-19.649999999999999</v>
      </c>
      <c r="H9" s="41">
        <v>-18.420000000000002</v>
      </c>
      <c r="I9" s="42">
        <v>25.78</v>
      </c>
      <c r="J9" s="43">
        <v>-22.83</v>
      </c>
      <c r="K9" s="44">
        <v>-20.93</v>
      </c>
      <c r="L9" s="45">
        <v>2.58</v>
      </c>
      <c r="M9" s="46">
        <v>-22.83</v>
      </c>
      <c r="N9" s="47">
        <v>558128</v>
      </c>
      <c r="O9" s="48">
        <v>-20.93</v>
      </c>
      <c r="P9" s="49">
        <v>-18.420000000000002</v>
      </c>
      <c r="Q9" s="50">
        <v>-19.649999999999999</v>
      </c>
      <c r="R9" s="51">
        <v>119.42</v>
      </c>
      <c r="S9" s="52">
        <v>-42.83</v>
      </c>
      <c r="T9" s="53">
        <v>1.91</v>
      </c>
      <c r="U9" s="54">
        <v>558128</v>
      </c>
      <c r="V9" s="112">
        <v>14.43</v>
      </c>
      <c r="W9" s="55">
        <v>21.54</v>
      </c>
      <c r="X9" s="56">
        <v>1.72</v>
      </c>
      <c r="Y9" s="113">
        <v>660366</v>
      </c>
      <c r="Z9" s="57">
        <v>57.25</v>
      </c>
      <c r="AA9" s="58">
        <v>55.28</v>
      </c>
      <c r="AB9" s="59">
        <v>864126</v>
      </c>
      <c r="AC9" s="60">
        <v>194494</v>
      </c>
      <c r="AD9" s="61">
        <v>254521</v>
      </c>
      <c r="AE9" s="62">
        <v>4.12</v>
      </c>
      <c r="AF9" s="63">
        <v>0.55000000000000004</v>
      </c>
      <c r="AG9" s="64">
        <v>1.72</v>
      </c>
      <c r="AH9" s="65">
        <v>44316</v>
      </c>
      <c r="AI9" s="66">
        <v>497476</v>
      </c>
      <c r="AJ9" s="67">
        <v>40281</v>
      </c>
      <c r="AK9" s="68">
        <v>-80447</v>
      </c>
      <c r="AL9" s="69">
        <v>0.1</v>
      </c>
      <c r="AM9" s="70">
        <v>0.11</v>
      </c>
      <c r="AN9" s="71">
        <v>1723</v>
      </c>
      <c r="AO9" s="72" t="s">
        <v>74</v>
      </c>
      <c r="AP9" s="73" t="s">
        <v>75</v>
      </c>
      <c r="AQ9" s="74" t="s">
        <v>76</v>
      </c>
      <c r="AR9" s="75" t="s">
        <v>77</v>
      </c>
      <c r="AS9" s="76" t="s">
        <v>78</v>
      </c>
      <c r="AT9" s="77" t="s">
        <v>79</v>
      </c>
      <c r="AU9" s="78" t="s">
        <v>80</v>
      </c>
      <c r="AV9" s="79"/>
      <c r="AW9" s="80"/>
      <c r="AX9" s="81"/>
      <c r="AY9" s="82"/>
      <c r="AZ9" s="83" t="s">
        <v>81</v>
      </c>
      <c r="BA9" s="84" t="s">
        <v>82</v>
      </c>
      <c r="BB9" s="85" t="s">
        <v>83</v>
      </c>
      <c r="BC9" s="86" t="s">
        <v>84</v>
      </c>
      <c r="BD9" s="87" t="s">
        <v>85</v>
      </c>
      <c r="BE9" s="88">
        <v>44775</v>
      </c>
      <c r="BG9" s="15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0" x14ac:dyDescent="0.2">
      <c r="A10" s="14"/>
      <c r="BG10" s="15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0" x14ac:dyDescent="0.2">
      <c r="A11" s="14"/>
      <c r="C11" s="35" t="s">
        <v>86</v>
      </c>
      <c r="BE11" s="5" t="s">
        <v>87</v>
      </c>
      <c r="BG11" s="15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1:80" x14ac:dyDescent="0.2">
      <c r="A12" s="14"/>
      <c r="C12" s="35" t="s">
        <v>10</v>
      </c>
      <c r="BE12" s="5" t="s">
        <v>88</v>
      </c>
      <c r="BG12" s="15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1:80" ht="61" x14ac:dyDescent="0.2">
      <c r="A13" s="14"/>
      <c r="C13" s="35" t="s">
        <v>89</v>
      </c>
      <c r="BG13" s="15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</row>
    <row r="14" spans="1:80" x14ac:dyDescent="0.2">
      <c r="A14" s="14"/>
      <c r="BG14" s="15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</row>
    <row r="15" spans="1:80" x14ac:dyDescent="0.2">
      <c r="A15" s="1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</row>
    <row r="16" spans="1:80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</row>
    <row r="17" spans="1:80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</row>
    <row r="18" spans="1:80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</row>
    <row r="19" spans="1:80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</row>
    <row r="20" spans="1:80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</row>
    <row r="21" spans="1:80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</row>
    <row r="22" spans="1:80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</row>
    <row r="23" spans="1:80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</row>
    <row r="24" spans="1:80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</row>
    <row r="25" spans="1:80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</row>
    <row r="26" spans="1:80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</row>
    <row r="27" spans="1:80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</row>
    <row r="28" spans="1:80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</row>
    <row r="29" spans="1:80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</row>
    <row r="30" spans="1:80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</row>
    <row r="31" spans="1:80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</row>
    <row r="32" spans="1:80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</row>
    <row r="33" spans="1:80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</row>
    <row r="34" spans="1:80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</row>
    <row r="35" spans="1:80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</row>
    <row r="36" spans="1:80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</row>
    <row r="37" spans="1:80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</row>
    <row r="38" spans="1:80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1:80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</row>
    <row r="40" spans="1:80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</row>
    <row r="41" spans="1:80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</row>
    <row r="42" spans="1:80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</row>
    <row r="43" spans="1:80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</row>
    <row r="44" spans="1:80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</row>
    <row r="45" spans="1:80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</row>
  </sheetData>
  <mergeCells count="4">
    <mergeCell ref="D3:F3"/>
    <mergeCell ref="D4:G4"/>
    <mergeCell ref="D5:G5"/>
    <mergeCell ref="D6:I6"/>
  </mergeCell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5CAA-F04D-C841-B342-CA3536EE35AE}">
  <dimension ref="B2:C38"/>
  <sheetViews>
    <sheetView workbookViewId="0">
      <selection activeCell="C43" sqref="C43"/>
    </sheetView>
  </sheetViews>
  <sheetFormatPr baseColWidth="10" defaultRowHeight="15" x14ac:dyDescent="0.2"/>
  <cols>
    <col min="2" max="2" width="22.6640625" bestFit="1" customWidth="1"/>
    <col min="3" max="3" width="15.6640625" customWidth="1"/>
  </cols>
  <sheetData>
    <row r="2" spans="2:3" x14ac:dyDescent="0.2">
      <c r="B2" s="147" t="s">
        <v>219</v>
      </c>
      <c r="C2" s="148">
        <v>0.3</v>
      </c>
    </row>
    <row r="3" spans="2:3" x14ac:dyDescent="0.2">
      <c r="B3" s="147" t="s">
        <v>220</v>
      </c>
      <c r="C3" s="148">
        <v>0.7</v>
      </c>
    </row>
    <row r="4" spans="2:3" x14ac:dyDescent="0.2">
      <c r="B4" s="147"/>
      <c r="C4" s="149">
        <f>SUM(C2:C3)</f>
        <v>1</v>
      </c>
    </row>
    <row r="5" spans="2:3" x14ac:dyDescent="0.2">
      <c r="B5" s="147"/>
    </row>
    <row r="6" spans="2:3" x14ac:dyDescent="0.2">
      <c r="B6" s="147" t="s">
        <v>221</v>
      </c>
      <c r="C6" s="148">
        <v>0.37</v>
      </c>
    </row>
    <row r="7" spans="2:3" x14ac:dyDescent="0.2">
      <c r="B7" s="147" t="s">
        <v>222</v>
      </c>
      <c r="C7" s="148">
        <v>0.33</v>
      </c>
    </row>
    <row r="8" spans="2:3" x14ac:dyDescent="0.2">
      <c r="C8" s="148">
        <f>SUM(C6:C7)</f>
        <v>0.7</v>
      </c>
    </row>
    <row r="10" spans="2:3" x14ac:dyDescent="0.2">
      <c r="B10" t="s">
        <v>223</v>
      </c>
    </row>
    <row r="11" spans="2:3" x14ac:dyDescent="0.2">
      <c r="B11" t="s">
        <v>224</v>
      </c>
      <c r="C11">
        <v>30</v>
      </c>
    </row>
    <row r="12" spans="2:3" x14ac:dyDescent="0.2">
      <c r="B12" t="s">
        <v>225</v>
      </c>
      <c r="C12">
        <v>22</v>
      </c>
    </row>
    <row r="13" spans="2:3" x14ac:dyDescent="0.2">
      <c r="C13">
        <f>SUM(C11:C12)</f>
        <v>52</v>
      </c>
    </row>
    <row r="15" spans="2:3" x14ac:dyDescent="0.2">
      <c r="B15" t="s">
        <v>226</v>
      </c>
    </row>
    <row r="16" spans="2:3" x14ac:dyDescent="0.2">
      <c r="B16" t="s">
        <v>227</v>
      </c>
      <c r="C16">
        <v>27</v>
      </c>
    </row>
    <row r="17" spans="2:3" x14ac:dyDescent="0.2">
      <c r="B17" t="s">
        <v>228</v>
      </c>
      <c r="C17">
        <v>28</v>
      </c>
    </row>
    <row r="18" spans="2:3" x14ac:dyDescent="0.2">
      <c r="B18" t="s">
        <v>229</v>
      </c>
      <c r="C18">
        <v>33</v>
      </c>
    </row>
    <row r="19" spans="2:3" x14ac:dyDescent="0.2">
      <c r="B19" t="s">
        <v>230</v>
      </c>
      <c r="C19">
        <v>33</v>
      </c>
    </row>
    <row r="20" spans="2:3" x14ac:dyDescent="0.2">
      <c r="C20">
        <f>SUM(C16:C19)</f>
        <v>121</v>
      </c>
    </row>
    <row r="22" spans="2:3" x14ac:dyDescent="0.2">
      <c r="B22" t="s">
        <v>231</v>
      </c>
    </row>
    <row r="23" spans="2:3" x14ac:dyDescent="0.2">
      <c r="B23" t="s">
        <v>232</v>
      </c>
      <c r="C23">
        <v>36</v>
      </c>
    </row>
    <row r="24" spans="2:3" x14ac:dyDescent="0.2">
      <c r="B24" t="s">
        <v>233</v>
      </c>
      <c r="C24">
        <v>24</v>
      </c>
    </row>
    <row r="25" spans="2:3" x14ac:dyDescent="0.2">
      <c r="B25" t="s">
        <v>234</v>
      </c>
      <c r="C25">
        <v>15</v>
      </c>
    </row>
    <row r="26" spans="2:3" x14ac:dyDescent="0.2">
      <c r="C26">
        <f>SUM(C23:C25)</f>
        <v>75</v>
      </c>
    </row>
    <row r="28" spans="2:3" x14ac:dyDescent="0.2">
      <c r="B28" t="s">
        <v>235</v>
      </c>
    </row>
    <row r="29" spans="2:3" x14ac:dyDescent="0.2">
      <c r="B29" t="s">
        <v>236</v>
      </c>
      <c r="C29">
        <v>31</v>
      </c>
    </row>
    <row r="30" spans="2:3" x14ac:dyDescent="0.2">
      <c r="B30" t="s">
        <v>237</v>
      </c>
      <c r="C30">
        <v>34</v>
      </c>
    </row>
    <row r="31" spans="2:3" x14ac:dyDescent="0.2">
      <c r="B31" t="s">
        <v>238</v>
      </c>
      <c r="C31">
        <v>25</v>
      </c>
    </row>
    <row r="32" spans="2:3" x14ac:dyDescent="0.2">
      <c r="C32">
        <f>SUM(C29:C31)</f>
        <v>90</v>
      </c>
    </row>
    <row r="34" spans="2:3" x14ac:dyDescent="0.2">
      <c r="B34" t="s">
        <v>239</v>
      </c>
    </row>
    <row r="35" spans="2:3" x14ac:dyDescent="0.2">
      <c r="B35" t="s">
        <v>240</v>
      </c>
      <c r="C35">
        <v>19</v>
      </c>
    </row>
    <row r="36" spans="2:3" x14ac:dyDescent="0.2">
      <c r="B36" t="s">
        <v>241</v>
      </c>
      <c r="C36">
        <v>28</v>
      </c>
    </row>
    <row r="37" spans="2:3" x14ac:dyDescent="0.2">
      <c r="B37" t="s">
        <v>242</v>
      </c>
      <c r="C37">
        <v>46</v>
      </c>
    </row>
    <row r="38" spans="2:3" x14ac:dyDescent="0.2">
      <c r="C38">
        <f>SUM(C35:C37)</f>
        <v>93</v>
      </c>
    </row>
  </sheetData>
  <conditionalFormatting sqref="C2:C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{6A672CE6-4BDF-FE4E-9105-4B5FEAD6C801}</x14:id>
        </ext>
      </extLst>
    </cfRule>
  </conditionalFormatting>
  <conditionalFormatting sqref="C6:C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{AB90835A-9019-2A43-BA43-3F47AB28BFC1}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672CE6-4BDF-FE4E-9105-4B5FEAD6C8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  <x14:conditionalFormatting xmlns:xm="http://schemas.microsoft.com/office/excel/2006/main">
          <x14:cfRule type="dataBar" id="{AB90835A-9019-2A43-BA43-3F47AB28BF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Valuation</vt:lpstr>
      <vt:lpstr>Key Metrics</vt:lpstr>
      <vt:lpstr>Income Statement</vt:lpstr>
      <vt:lpstr>Balance Sheet</vt:lpstr>
      <vt:lpstr>Peer Group</vt:lpstr>
      <vt:lpstr>Graphs for the Tear Sheet</vt:lpstr>
      <vt:lpstr>CreatedFor</vt:lpstr>
      <vt:lpstr>CreatedForTitle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PitchBook</dc:creator>
  <cp:lastModifiedBy>Tura Ventolà Franch</cp:lastModifiedBy>
  <cp:revision>6</cp:revision>
  <dcterms:created xsi:type="dcterms:W3CDTF">2017-11-02T08:33:29Z</dcterms:created>
  <dcterms:modified xsi:type="dcterms:W3CDTF">2022-09-21T19:06:25Z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