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MATLAB\Jingrui\"/>
    </mc:Choice>
  </mc:AlternateContent>
  <bookViews>
    <workbookView xWindow="-21705" yWindow="-105" windowWidth="21825" windowHeight="14025" activeTab="2"/>
  </bookViews>
  <sheets>
    <sheet name="Sheet1" sheetId="1" r:id="rId1"/>
    <sheet name="DP" sheetId="3" r:id="rId2"/>
    <sheet name="SP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7" i="3" l="1"/>
  <c r="D3" i="3"/>
  <c r="M10" i="1" l="1"/>
  <c r="D21" i="1" l="1"/>
  <c r="D42" i="1"/>
  <c r="M37" i="1"/>
  <c r="N37" i="1"/>
  <c r="N36" i="1"/>
  <c r="L36" i="1" s="1"/>
  <c r="D8" i="1" s="1"/>
  <c r="M36" i="1"/>
  <c r="R36" i="1"/>
  <c r="S36" i="1"/>
  <c r="O33" i="1"/>
  <c r="O35" i="1"/>
  <c r="O36" i="1"/>
  <c r="D9" i="1" s="1"/>
  <c r="O37" i="1"/>
  <c r="O38" i="1"/>
  <c r="O34" i="1"/>
  <c r="O31" i="1"/>
  <c r="O32" i="1"/>
  <c r="L31" i="1"/>
  <c r="L32" i="1"/>
  <c r="L33" i="1"/>
  <c r="L34" i="1"/>
  <c r="L35" i="1"/>
  <c r="L38" i="1"/>
  <c r="L30" i="1"/>
  <c r="O30" i="1"/>
  <c r="I30" i="1" s="1"/>
  <c r="I35" i="1" l="1"/>
  <c r="I31" i="1"/>
  <c r="I34" i="1"/>
  <c r="I32" i="1"/>
  <c r="I33" i="1"/>
  <c r="L37" i="1"/>
  <c r="D39" i="1"/>
  <c r="D4" i="1"/>
  <c r="C30" i="1" l="1"/>
  <c r="D7" i="1" s="1"/>
  <c r="D17" i="1"/>
  <c r="D36" i="1"/>
  <c r="D27" i="1" l="1"/>
  <c r="D20" i="1" s="1"/>
  <c r="D23" i="1" s="1"/>
  <c r="E27" i="1" l="1"/>
  <c r="D24" i="1"/>
</calcChain>
</file>

<file path=xl/sharedStrings.xml><?xml version="1.0" encoding="utf-8"?>
<sst xmlns="http://schemas.openxmlformats.org/spreadsheetml/2006/main" count="269" uniqueCount="162">
  <si>
    <t>农光系统</t>
  </si>
  <si>
    <t>发电量</t>
  </si>
  <si>
    <t>上网电价</t>
  </si>
  <si>
    <t>鸡鸭猪收成</t>
  </si>
  <si>
    <t>观光人数</t>
  </si>
  <si>
    <t>家禽单价</t>
  </si>
  <si>
    <t>门票单价</t>
  </si>
  <si>
    <t>减排量</t>
  </si>
  <si>
    <t>碳税</t>
  </si>
  <si>
    <t>土地租赁</t>
  </si>
  <si>
    <t>人工成本</t>
  </si>
  <si>
    <t>维护农田</t>
  </si>
  <si>
    <t>维护光伏</t>
  </si>
  <si>
    <t>所得税</t>
  </si>
  <si>
    <t>25年总</t>
  </si>
  <si>
    <t>ton</t>
  </si>
  <si>
    <t>CNY/kWh</t>
  </si>
  <si>
    <t>一块板面积</t>
  </si>
  <si>
    <t>m2</t>
  </si>
  <si>
    <t>价格</t>
  </si>
  <si>
    <t>CNY</t>
  </si>
  <si>
    <t>平均发电量</t>
  </si>
  <si>
    <t>kWh/day</t>
  </si>
  <si>
    <t>一块板功率</t>
  </si>
  <si>
    <t>w</t>
  </si>
  <si>
    <t>水价</t>
  </si>
  <si>
    <t>用水量</t>
  </si>
  <si>
    <t>CNY/m3</t>
  </si>
  <si>
    <t>CNY/year</t>
  </si>
  <si>
    <t>一次性</t>
  </si>
  <si>
    <t>铁皮石斛</t>
  </si>
  <si>
    <t>白术</t>
  </si>
  <si>
    <t>芍药</t>
  </si>
  <si>
    <t>西葫芦</t>
  </si>
  <si>
    <t>猕猴桃</t>
  </si>
  <si>
    <t>覆盆子</t>
  </si>
  <si>
    <t>鸡</t>
  </si>
  <si>
    <t>鸭</t>
  </si>
  <si>
    <t>猪</t>
  </si>
  <si>
    <t>CNY/ton</t>
  </si>
  <si>
    <t>电站19人-5000CNY/m，农管20人-3000CNY/m，种植150人-2000CNY/m</t>
  </si>
  <si>
    <t>kWh/year</t>
  </si>
  <si>
    <t>人/year</t>
  </si>
  <si>
    <t>CNY/人</t>
  </si>
  <si>
    <t>m3/year</t>
  </si>
  <si>
    <t>SPP</t>
  </si>
  <si>
    <t>PV初投资</t>
  </si>
  <si>
    <t>农业初投资</t>
  </si>
  <si>
    <t>500亩菜地</t>
  </si>
  <si>
    <t>1000亩菜地价值</t>
  </si>
  <si>
    <t>均值产量 kg/亩</t>
  </si>
  <si>
    <t>平均单价 CNY/kg</t>
  </si>
  <si>
    <t>最大单价</t>
  </si>
  <si>
    <t>最小单价</t>
  </si>
  <si>
    <t>备注</t>
  </si>
  <si>
    <t>最大亩产 kg</t>
  </si>
  <si>
    <t>最小亩产 kg</t>
  </si>
  <si>
    <t>鲜品</t>
  </si>
  <si>
    <t>初投资 CNY</t>
  </si>
  <si>
    <t>运维 CNY/year</t>
  </si>
  <si>
    <t>干品</t>
  </si>
  <si>
    <t>干果</t>
  </si>
  <si>
    <t>第二年产果</t>
  </si>
  <si>
    <t>第六年产果</t>
  </si>
  <si>
    <t>LCOE</t>
  </si>
  <si>
    <t>CNY/KG</t>
  </si>
  <si>
    <t>kg/year</t>
  </si>
  <si>
    <t>面积</t>
  </si>
  <si>
    <t>作物总收成</t>
  </si>
  <si>
    <t>作物总收益</t>
  </si>
  <si>
    <t>IR</t>
  </si>
  <si>
    <t>CRF</t>
  </si>
  <si>
    <t>回收PV残值</t>
  </si>
  <si>
    <t>15%~25%</t>
  </si>
  <si>
    <t>10000~50000</t>
  </si>
  <si>
    <t>20~40</t>
  </si>
  <si>
    <t>5M~10M</t>
  </si>
  <si>
    <t>2.65~5</t>
  </si>
  <si>
    <t>MW</t>
  </si>
  <si>
    <t>半正态</t>
  </si>
  <si>
    <t>半正态（第一象限）</t>
  </si>
  <si>
    <t>正态</t>
  </si>
  <si>
    <t>平均分布</t>
  </si>
  <si>
    <t>0~30</t>
  </si>
  <si>
    <t>日照时长</t>
  </si>
  <si>
    <t>固定</t>
  </si>
  <si>
    <t>1200~1400</t>
  </si>
  <si>
    <t>1400~1600</t>
  </si>
  <si>
    <t>1600~</t>
  </si>
  <si>
    <t>纯利</t>
  </si>
  <si>
    <t>几个讨论点</t>
  </si>
  <si>
    <t>1. 分三类地区/两个系统</t>
  </si>
  <si>
    <t>数值</t>
  </si>
  <si>
    <t>单位</t>
  </si>
  <si>
    <t>取值范围</t>
  </si>
  <si>
    <t>分布</t>
  </si>
  <si>
    <t>首年降2.5%，年递减0.7%</t>
  </si>
  <si>
    <t>2. 发电量受系统效率+光照时间同时影响</t>
  </si>
  <si>
    <t>3. 所得税和收益有关</t>
  </si>
  <si>
    <t>0~40</t>
  </si>
  <si>
    <t>20M~12M</t>
  </si>
  <si>
    <t>三类地区上网电价</t>
  </si>
  <si>
    <t>109M~55M</t>
  </si>
  <si>
    <t>装机容量</t>
  </si>
  <si>
    <t>最高上网电价</t>
  </si>
  <si>
    <t>最低上网电价</t>
  </si>
  <si>
    <t>3类（最差）</t>
  </si>
  <si>
    <t>2类</t>
  </si>
  <si>
    <t>1类</t>
  </si>
  <si>
    <t>3类小时数</t>
  </si>
  <si>
    <t>给出公式</t>
  </si>
  <si>
    <t>1.1935~0.49</t>
  </si>
  <si>
    <t>ELE_PV</t>
  </si>
  <si>
    <t>FIT_PV</t>
  </si>
  <si>
    <t>PROFIT_PLANT</t>
  </si>
  <si>
    <t>CAPACITY_PV</t>
  </si>
  <si>
    <t>CAPCOST_PV</t>
  </si>
  <si>
    <t>CAPCOST_AG</t>
  </si>
  <si>
    <t>QTY_TOUR</t>
  </si>
  <si>
    <t>QTY_CO2</t>
  </si>
  <si>
    <t>QTY_WATER</t>
  </si>
  <si>
    <t>RENT_LAND</t>
  </si>
  <si>
    <t>O&amp;M_LABOUR</t>
  </si>
  <si>
    <t>O&amp;M_AG</t>
  </si>
  <si>
    <t>O&amp;M_PV</t>
  </si>
  <si>
    <t>TAX</t>
  </si>
  <si>
    <t>SALVAGE</t>
  </si>
  <si>
    <t>15%~25%(TAXRATE)</t>
  </si>
  <si>
    <t>PRICE_WATER</t>
  </si>
  <si>
    <t>PRICE_CO2</t>
  </si>
  <si>
    <t>PRICE_TOUR</t>
  </si>
  <si>
    <t>PRICE_LIVESTOCK</t>
  </si>
  <si>
    <t>PROD_LIVESTOCK</t>
  </si>
  <si>
    <t>这部分不用看</t>
  </si>
  <si>
    <t>NETPROFIT</t>
  </si>
  <si>
    <t>distribution</t>
    <phoneticPr fontId="4" type="noConversion"/>
  </si>
  <si>
    <t>unti</t>
    <phoneticPr fontId="4" type="noConversion"/>
  </si>
  <si>
    <t>variable</t>
    <phoneticPr fontId="4" type="noConversion"/>
  </si>
  <si>
    <t>name</t>
    <phoneticPr fontId="4" type="noConversion"/>
  </si>
  <si>
    <t>value</t>
    <phoneticPr fontId="4" type="noConversion"/>
  </si>
  <si>
    <t>TAX_RATE</t>
    <phoneticPr fontId="4" type="noConversion"/>
  </si>
  <si>
    <t>OM_LABOUR</t>
    <phoneticPr fontId="4" type="noConversion"/>
  </si>
  <si>
    <t>OM_AG</t>
    <phoneticPr fontId="4" type="noConversion"/>
  </si>
  <si>
    <t>OM_PV</t>
    <phoneticPr fontId="4" type="noConversion"/>
  </si>
  <si>
    <t>EFF_DECAY</t>
    <phoneticPr fontId="4" type="noConversion"/>
  </si>
  <si>
    <t>光伏效率损失</t>
    <phoneticPr fontId="4" type="noConversion"/>
  </si>
  <si>
    <t>-</t>
    <phoneticPr fontId="4" type="noConversion"/>
  </si>
  <si>
    <t>日照时间</t>
    <phoneticPr fontId="4" type="noConversion"/>
  </si>
  <si>
    <t>hour</t>
    <phoneticPr fontId="4" type="noConversion"/>
  </si>
  <si>
    <t>TIME_PV_1</t>
    <phoneticPr fontId="4" type="noConversion"/>
  </si>
  <si>
    <t>TIME_PV_2</t>
    <phoneticPr fontId="4" type="noConversion"/>
  </si>
  <si>
    <t>TIME_PV_3</t>
    <phoneticPr fontId="4" type="noConversion"/>
  </si>
  <si>
    <t>FIT_PV_1</t>
    <phoneticPr fontId="4" type="noConversion"/>
  </si>
  <si>
    <t>FIT_PV_2</t>
    <phoneticPr fontId="4" type="noConversion"/>
  </si>
  <si>
    <t>FIT_PV_3</t>
    <phoneticPr fontId="4" type="noConversion"/>
  </si>
  <si>
    <t>lower</t>
    <phoneticPr fontId="4" type="noConversion"/>
  </si>
  <si>
    <t>HalfNormal</t>
  </si>
  <si>
    <t>Uniform</t>
  </si>
  <si>
    <t>Normal</t>
  </si>
  <si>
    <t>CNY/year</t>
    <phoneticPr fontId="4" type="noConversion"/>
  </si>
  <si>
    <t>baseline</t>
    <phoneticPr fontId="4" type="noConversion"/>
  </si>
  <si>
    <t>upper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</si>
</sst>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* #,##0_ ;_ * \-#,##0_ ;_ * &quot;-&quot;??_ ;_ @_ "/>
    <numFmt numFmtId="177" formatCode="_ * #,##0.0000_ ;_ * \-#,##0.0000_ ;_ * &quot;-&quot;??_ ;_ @_ "/>
    <numFmt numFmtId="178" formatCode="0.000_);[Red]\(0.0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76" fontId="0" fillId="0" borderId="0" xfId="1" applyNumberFormat="1" applyFont="1"/>
    <xf numFmtId="0" fontId="0" fillId="0" borderId="0" xfId="0" applyBorder="1"/>
    <xf numFmtId="176" fontId="0" fillId="0" borderId="0" xfId="1" applyNumberFormat="1" applyFont="1" applyBorder="1"/>
    <xf numFmtId="177" fontId="0" fillId="0" borderId="0" xfId="1" applyNumberFormat="1" applyFont="1" applyBorder="1"/>
    <xf numFmtId="43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76" fontId="0" fillId="0" borderId="1" xfId="1" applyNumberFormat="1" applyFont="1" applyBorder="1"/>
    <xf numFmtId="43" fontId="0" fillId="0" borderId="1" xfId="1" applyNumberFormat="1" applyFont="1" applyBorder="1"/>
    <xf numFmtId="176" fontId="0" fillId="2" borderId="1" xfId="1" applyNumberFormat="1" applyFont="1" applyFill="1" applyBorder="1"/>
    <xf numFmtId="176" fontId="0" fillId="3" borderId="1" xfId="1" applyNumberFormat="1" applyFont="1" applyFill="1" applyBorder="1"/>
    <xf numFmtId="43" fontId="0" fillId="3" borderId="1" xfId="1" applyNumberFormat="1" applyFont="1" applyFill="1" applyBorder="1"/>
    <xf numFmtId="176" fontId="0" fillId="4" borderId="1" xfId="1" applyNumberFormat="1" applyFont="1" applyFill="1" applyBorder="1"/>
    <xf numFmtId="176" fontId="0" fillId="5" borderId="1" xfId="1" applyNumberFormat="1" applyFont="1" applyFill="1" applyBorder="1"/>
    <xf numFmtId="176" fontId="0" fillId="6" borderId="1" xfId="1" applyNumberFormat="1" applyFont="1" applyFill="1" applyBorder="1"/>
    <xf numFmtId="0" fontId="0" fillId="0" borderId="0" xfId="0" applyFill="1" applyBorder="1"/>
    <xf numFmtId="0" fontId="2" fillId="0" borderId="0" xfId="0" applyFont="1" applyBorder="1"/>
    <xf numFmtId="43" fontId="0" fillId="0" borderId="0" xfId="1" applyNumberFormat="1" applyFont="1"/>
    <xf numFmtId="0" fontId="2" fillId="0" borderId="0" xfId="0" applyFont="1" applyFill="1" applyBorder="1"/>
    <xf numFmtId="176" fontId="0" fillId="0" borderId="0" xfId="0" applyNumberFormat="1" applyBorder="1"/>
    <xf numFmtId="9" fontId="0" fillId="0" borderId="0" xfId="0" applyNumberFormat="1" applyBorder="1"/>
    <xf numFmtId="0" fontId="3" fillId="0" borderId="0" xfId="0" applyFont="1" applyBorder="1"/>
    <xf numFmtId="9" fontId="0" fillId="0" borderId="9" xfId="2" applyFont="1" applyBorder="1"/>
    <xf numFmtId="0" fontId="0" fillId="0" borderId="11" xfId="0" applyBorder="1"/>
    <xf numFmtId="0" fontId="0" fillId="2" borderId="12" xfId="0" applyFill="1" applyBorder="1"/>
    <xf numFmtId="0" fontId="0" fillId="0" borderId="12" xfId="0" applyBorder="1"/>
    <xf numFmtId="0" fontId="0" fillId="3" borderId="12" xfId="0" applyFill="1" applyBorder="1"/>
    <xf numFmtId="0" fontId="0" fillId="0" borderId="12" xfId="0" applyFill="1" applyBorder="1"/>
    <xf numFmtId="0" fontId="0" fillId="4" borderId="12" xfId="0" applyFill="1" applyBorder="1"/>
    <xf numFmtId="0" fontId="0" fillId="5" borderId="12" xfId="0" applyFill="1" applyBorder="1"/>
    <xf numFmtId="178" fontId="0" fillId="0" borderId="0" xfId="0" applyNumberFormat="1"/>
    <xf numFmtId="178" fontId="0" fillId="0" borderId="0" xfId="1" applyNumberFormat="1" applyFont="1" applyBorder="1"/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Normal="100" workbookViewId="0">
      <selection activeCell="D13" sqref="D13"/>
    </sheetView>
  </sheetViews>
  <sheetFormatPr defaultRowHeight="14.25" x14ac:dyDescent="0.2"/>
  <cols>
    <col min="1" max="1" width="21" bestFit="1" customWidth="1"/>
    <col min="2" max="2" width="18" customWidth="1"/>
    <col min="3" max="3" width="20.625" bestFit="1" customWidth="1"/>
    <col min="4" max="4" width="25" customWidth="1"/>
    <col min="6" max="6" width="22.625" bestFit="1" customWidth="1"/>
    <col min="7" max="7" width="12" bestFit="1" customWidth="1"/>
    <col min="8" max="8" width="12" customWidth="1"/>
    <col min="9" max="9" width="14.75" bestFit="1" customWidth="1"/>
    <col min="10" max="10" width="9.875" customWidth="1"/>
    <col min="11" max="11" width="21.25" customWidth="1"/>
    <col min="12" max="12" width="16.125" bestFit="1" customWidth="1"/>
    <col min="13" max="13" width="19.25" customWidth="1"/>
    <col min="14" max="14" width="14.75" customWidth="1"/>
    <col min="15" max="17" width="20" customWidth="1"/>
  </cols>
  <sheetData>
    <row r="1" spans="1:16" x14ac:dyDescent="0.2">
      <c r="B1" s="27" t="s">
        <v>0</v>
      </c>
      <c r="C1" t="s">
        <v>95</v>
      </c>
      <c r="D1" t="s">
        <v>92</v>
      </c>
      <c r="E1" t="s">
        <v>93</v>
      </c>
      <c r="F1" t="s">
        <v>94</v>
      </c>
      <c r="G1" t="s">
        <v>54</v>
      </c>
    </row>
    <row r="2" spans="1:16" x14ac:dyDescent="0.2">
      <c r="A2" t="s">
        <v>115</v>
      </c>
      <c r="B2" t="s">
        <v>103</v>
      </c>
      <c r="C2" t="s">
        <v>85</v>
      </c>
      <c r="D2">
        <v>200</v>
      </c>
      <c r="E2" s="2" t="s">
        <v>78</v>
      </c>
      <c r="F2" s="2"/>
      <c r="J2" s="2"/>
      <c r="K2" s="2" t="s">
        <v>90</v>
      </c>
      <c r="L2" s="2"/>
      <c r="M2" s="2"/>
      <c r="N2" s="2"/>
      <c r="O2" s="2"/>
      <c r="P2" s="2"/>
    </row>
    <row r="3" spans="1:16" x14ac:dyDescent="0.2">
      <c r="A3" t="s">
        <v>116</v>
      </c>
      <c r="B3" s="22" t="s">
        <v>46</v>
      </c>
      <c r="C3" s="21" t="s">
        <v>79</v>
      </c>
      <c r="D3" s="3">
        <v>2000000000</v>
      </c>
      <c r="E3" s="2" t="s">
        <v>20</v>
      </c>
      <c r="F3" t="s">
        <v>100</v>
      </c>
      <c r="G3" s="2" t="s">
        <v>29</v>
      </c>
      <c r="H3" s="2"/>
      <c r="K3" t="s">
        <v>91</v>
      </c>
    </row>
    <row r="4" spans="1:16" x14ac:dyDescent="0.2">
      <c r="A4" t="s">
        <v>117</v>
      </c>
      <c r="B4" s="22" t="s">
        <v>47</v>
      </c>
      <c r="C4" t="s">
        <v>85</v>
      </c>
      <c r="D4" s="3">
        <f>30000000*2</f>
        <v>60000000</v>
      </c>
      <c r="E4" s="2" t="s">
        <v>20</v>
      </c>
      <c r="G4" s="2" t="s">
        <v>29</v>
      </c>
      <c r="H4" s="2"/>
      <c r="K4" t="s">
        <v>97</v>
      </c>
      <c r="L4" t="s">
        <v>110</v>
      </c>
    </row>
    <row r="5" spans="1:16" x14ac:dyDescent="0.2">
      <c r="A5" t="s">
        <v>112</v>
      </c>
      <c r="B5" s="22" t="s">
        <v>1</v>
      </c>
      <c r="C5" s="21" t="s">
        <v>79</v>
      </c>
      <c r="D5" s="3">
        <f>200000000</f>
        <v>200000000</v>
      </c>
      <c r="E5" s="2" t="s">
        <v>41</v>
      </c>
      <c r="F5" t="s">
        <v>96</v>
      </c>
      <c r="G5" s="21"/>
      <c r="K5" t="s">
        <v>98</v>
      </c>
      <c r="L5" t="s">
        <v>110</v>
      </c>
    </row>
    <row r="6" spans="1:16" x14ac:dyDescent="0.2">
      <c r="A6" t="s">
        <v>113</v>
      </c>
      <c r="B6" s="22" t="s">
        <v>2</v>
      </c>
      <c r="C6" s="21" t="s">
        <v>79</v>
      </c>
      <c r="D6" s="4">
        <v>1.19</v>
      </c>
      <c r="E6" s="2" t="s">
        <v>16</v>
      </c>
      <c r="F6" s="2" t="s">
        <v>111</v>
      </c>
    </row>
    <row r="7" spans="1:16" x14ac:dyDescent="0.2">
      <c r="A7" t="s">
        <v>114</v>
      </c>
      <c r="B7" s="22" t="s">
        <v>69</v>
      </c>
      <c r="C7" s="21" t="s">
        <v>79</v>
      </c>
      <c r="D7" s="3">
        <f>C30</f>
        <v>109495000</v>
      </c>
      <c r="E7" s="21" t="s">
        <v>28</v>
      </c>
      <c r="F7" s="21" t="s">
        <v>102</v>
      </c>
      <c r="K7" t="s">
        <v>101</v>
      </c>
      <c r="L7" t="s">
        <v>105</v>
      </c>
      <c r="M7" t="s">
        <v>104</v>
      </c>
    </row>
    <row r="8" spans="1:16" x14ac:dyDescent="0.2">
      <c r="A8" t="s">
        <v>132</v>
      </c>
      <c r="B8" s="22" t="s">
        <v>3</v>
      </c>
      <c r="C8" t="s">
        <v>85</v>
      </c>
      <c r="D8" s="3">
        <f>J36*L36</f>
        <v>31250</v>
      </c>
      <c r="E8" s="21" t="s">
        <v>66</v>
      </c>
      <c r="F8" s="2"/>
      <c r="K8" t="s">
        <v>106</v>
      </c>
      <c r="L8">
        <v>0.49</v>
      </c>
      <c r="M8">
        <v>1.19</v>
      </c>
    </row>
    <row r="9" spans="1:16" x14ac:dyDescent="0.2">
      <c r="A9" t="s">
        <v>131</v>
      </c>
      <c r="B9" s="22" t="s">
        <v>5</v>
      </c>
      <c r="C9" s="2" t="s">
        <v>82</v>
      </c>
      <c r="D9" s="3">
        <f>O36</f>
        <v>30</v>
      </c>
      <c r="E9" s="2" t="s">
        <v>65</v>
      </c>
      <c r="F9" s="2" t="s">
        <v>75</v>
      </c>
      <c r="K9" t="s">
        <v>107</v>
      </c>
      <c r="L9">
        <v>0.4</v>
      </c>
      <c r="M9">
        <v>1.1000000000000001</v>
      </c>
    </row>
    <row r="10" spans="1:16" x14ac:dyDescent="0.2">
      <c r="A10" t="s">
        <v>118</v>
      </c>
      <c r="B10" s="22" t="s">
        <v>4</v>
      </c>
      <c r="C10" s="21" t="s">
        <v>79</v>
      </c>
      <c r="D10" s="3">
        <v>10000</v>
      </c>
      <c r="E10" s="2" t="s">
        <v>42</v>
      </c>
      <c r="F10" s="2" t="s">
        <v>74</v>
      </c>
      <c r="K10" t="s">
        <v>108</v>
      </c>
      <c r="L10">
        <v>0.35</v>
      </c>
      <c r="M10">
        <f>M9-0.05</f>
        <v>1.05</v>
      </c>
    </row>
    <row r="11" spans="1:16" x14ac:dyDescent="0.2">
      <c r="A11" t="s">
        <v>130</v>
      </c>
      <c r="B11" s="22" t="s">
        <v>6</v>
      </c>
      <c r="C11" s="21" t="s">
        <v>79</v>
      </c>
      <c r="D11" s="3">
        <v>0</v>
      </c>
      <c r="E11" s="2" t="s">
        <v>43</v>
      </c>
      <c r="F11" s="2" t="s">
        <v>83</v>
      </c>
      <c r="I11" t="s">
        <v>84</v>
      </c>
      <c r="J11" s="1">
        <v>1300</v>
      </c>
      <c r="K11" t="s">
        <v>109</v>
      </c>
      <c r="L11" s="1" t="s">
        <v>86</v>
      </c>
      <c r="M11" t="s">
        <v>81</v>
      </c>
    </row>
    <row r="12" spans="1:16" x14ac:dyDescent="0.2">
      <c r="A12" t="s">
        <v>119</v>
      </c>
      <c r="B12" s="22" t="s">
        <v>7</v>
      </c>
      <c r="C12" t="s">
        <v>85</v>
      </c>
      <c r="D12" s="3">
        <v>4530000</v>
      </c>
      <c r="E12" s="2" t="s">
        <v>15</v>
      </c>
      <c r="G12" s="2" t="s">
        <v>14</v>
      </c>
      <c r="H12" s="2"/>
      <c r="J12" s="1"/>
      <c r="K12" t="s">
        <v>107</v>
      </c>
      <c r="L12" t="s">
        <v>87</v>
      </c>
      <c r="M12" t="s">
        <v>81</v>
      </c>
    </row>
    <row r="13" spans="1:16" x14ac:dyDescent="0.2">
      <c r="A13" t="s">
        <v>129</v>
      </c>
      <c r="B13" s="22" t="s">
        <v>8</v>
      </c>
      <c r="C13" s="2" t="s">
        <v>79</v>
      </c>
      <c r="D13" s="3">
        <v>0</v>
      </c>
      <c r="E13" s="2" t="s">
        <v>39</v>
      </c>
      <c r="F13" s="2" t="s">
        <v>99</v>
      </c>
      <c r="J13" s="1"/>
      <c r="K13" t="s">
        <v>108</v>
      </c>
      <c r="L13" t="s">
        <v>88</v>
      </c>
      <c r="M13" s="21" t="s">
        <v>80</v>
      </c>
    </row>
    <row r="14" spans="1:16" x14ac:dyDescent="0.2">
      <c r="A14" t="s">
        <v>120</v>
      </c>
      <c r="B14" s="22" t="s">
        <v>26</v>
      </c>
      <c r="C14" t="s">
        <v>85</v>
      </c>
      <c r="D14" s="3">
        <v>10000</v>
      </c>
      <c r="E14" s="2" t="s">
        <v>44</v>
      </c>
      <c r="F14" s="2"/>
      <c r="G14" s="2"/>
      <c r="H14" s="2"/>
      <c r="I14" s="2"/>
      <c r="J14" s="2"/>
      <c r="K14" s="2"/>
      <c r="L14" s="2"/>
      <c r="M14" s="2"/>
      <c r="N14" s="2"/>
    </row>
    <row r="15" spans="1:16" x14ac:dyDescent="0.2">
      <c r="A15" t="s">
        <v>128</v>
      </c>
      <c r="B15" s="22" t="s">
        <v>25</v>
      </c>
      <c r="C15" s="2" t="s">
        <v>79</v>
      </c>
      <c r="D15" s="5">
        <v>2.65</v>
      </c>
      <c r="E15" s="2" t="s">
        <v>27</v>
      </c>
      <c r="F15" s="2" t="s">
        <v>77</v>
      </c>
      <c r="G15" s="2"/>
      <c r="H15" s="2"/>
      <c r="I15" s="2"/>
      <c r="J15" s="2"/>
      <c r="K15" s="2"/>
      <c r="L15" s="2"/>
      <c r="M15" s="2"/>
      <c r="N15" s="2"/>
    </row>
    <row r="16" spans="1:16" x14ac:dyDescent="0.2">
      <c r="A16" t="s">
        <v>121</v>
      </c>
      <c r="B16" s="2" t="s">
        <v>9</v>
      </c>
      <c r="C16" s="2" t="s">
        <v>79</v>
      </c>
      <c r="D16" s="3">
        <v>5000000</v>
      </c>
      <c r="E16" s="2" t="s">
        <v>28</v>
      </c>
      <c r="F16" s="2" t="s">
        <v>76</v>
      </c>
      <c r="G16" s="2"/>
      <c r="H16" s="2"/>
      <c r="I16" s="2"/>
      <c r="J16" s="2"/>
      <c r="K16" s="2"/>
      <c r="L16" s="2"/>
      <c r="M16" s="2"/>
      <c r="N16" s="2"/>
    </row>
    <row r="17" spans="1:21" x14ac:dyDescent="0.2">
      <c r="A17" t="s">
        <v>122</v>
      </c>
      <c r="B17" s="2" t="s">
        <v>10</v>
      </c>
      <c r="C17" t="s">
        <v>85</v>
      </c>
      <c r="D17" s="3">
        <f>19*5000*12+20*3000*12+150*2000*6</f>
        <v>3660000</v>
      </c>
      <c r="E17" s="2" t="s">
        <v>28</v>
      </c>
      <c r="G17" s="2" t="s">
        <v>40</v>
      </c>
      <c r="H17" s="2"/>
      <c r="I17" s="2"/>
      <c r="J17" s="2"/>
      <c r="K17" s="2"/>
      <c r="L17" s="2"/>
      <c r="M17" s="2"/>
      <c r="N17" s="2"/>
    </row>
    <row r="18" spans="1:21" x14ac:dyDescent="0.2">
      <c r="A18" t="s">
        <v>123</v>
      </c>
      <c r="B18" s="2" t="s">
        <v>11</v>
      </c>
      <c r="C18" t="s">
        <v>85</v>
      </c>
      <c r="D18" s="3">
        <v>5000000</v>
      </c>
      <c r="E18" s="2" t="s">
        <v>28</v>
      </c>
      <c r="F18" s="2"/>
      <c r="G18" s="2"/>
      <c r="H18" s="2"/>
      <c r="I18" s="2"/>
      <c r="J18" s="2"/>
      <c r="K18" s="2"/>
      <c r="L18" s="2"/>
      <c r="M18" s="2"/>
      <c r="N18" s="2"/>
    </row>
    <row r="19" spans="1:21" x14ac:dyDescent="0.2">
      <c r="A19" t="s">
        <v>124</v>
      </c>
      <c r="B19" s="2" t="s">
        <v>12</v>
      </c>
      <c r="C19" t="s">
        <v>85</v>
      </c>
      <c r="D19" s="3">
        <v>2500000</v>
      </c>
      <c r="E19" s="2" t="s">
        <v>28</v>
      </c>
      <c r="F19" s="2"/>
      <c r="G19" s="2"/>
      <c r="H19" s="2"/>
      <c r="M19" s="2"/>
      <c r="N19" s="2"/>
    </row>
    <row r="20" spans="1:21" x14ac:dyDescent="0.2">
      <c r="A20" t="s">
        <v>125</v>
      </c>
      <c r="B20" s="2" t="s">
        <v>13</v>
      </c>
      <c r="C20" s="2" t="s">
        <v>82</v>
      </c>
      <c r="D20" s="3">
        <f>D27*0.15</f>
        <v>33272025</v>
      </c>
      <c r="E20" s="2" t="s">
        <v>28</v>
      </c>
      <c r="F20" s="2" t="s">
        <v>127</v>
      </c>
      <c r="M20" s="2"/>
      <c r="N20" s="2"/>
    </row>
    <row r="21" spans="1:21" x14ac:dyDescent="0.2">
      <c r="A21" t="s">
        <v>126</v>
      </c>
      <c r="B21" s="24" t="s">
        <v>72</v>
      </c>
      <c r="C21" t="s">
        <v>85</v>
      </c>
      <c r="D21" s="3">
        <f>5%*D3*0.35</f>
        <v>35000000</v>
      </c>
      <c r="E21" s="2" t="s">
        <v>20</v>
      </c>
      <c r="G21" s="2" t="s">
        <v>29</v>
      </c>
      <c r="H21" s="2"/>
      <c r="I21" s="2"/>
      <c r="J21" s="2"/>
      <c r="K21" s="2"/>
      <c r="L21" s="2"/>
      <c r="M21" s="2"/>
      <c r="N21" s="2"/>
    </row>
    <row r="22" spans="1:21" x14ac:dyDescent="0.2">
      <c r="B22" s="2"/>
      <c r="D22" s="3"/>
      <c r="E22" s="2"/>
      <c r="F22" s="2"/>
    </row>
    <row r="23" spans="1:21" x14ac:dyDescent="0.2">
      <c r="B23" s="2" t="s">
        <v>45</v>
      </c>
      <c r="D23" s="5">
        <f>(D3+D4-D21)/(D5*D6+D7+D8*D9+D10*D11+D12*D13-D14*D15-D16-D17-D18-D19-D20)</f>
        <v>6.7731647880053778</v>
      </c>
      <c r="E23" s="2"/>
      <c r="F23" s="2"/>
    </row>
    <row r="24" spans="1:21" x14ac:dyDescent="0.2">
      <c r="B24" s="21" t="s">
        <v>64</v>
      </c>
      <c r="D24" s="23">
        <f>(D3*D42+D4*D42+D14*D15+D16+D17+D18+D19+D20-D21)/D5</f>
        <v>0.66379969670301642</v>
      </c>
    </row>
    <row r="25" spans="1:21" x14ac:dyDescent="0.2">
      <c r="B25" s="21"/>
      <c r="D25" s="23"/>
    </row>
    <row r="26" spans="1:21" x14ac:dyDescent="0.2">
      <c r="B26" s="21"/>
      <c r="D26" s="23"/>
    </row>
    <row r="27" spans="1:21" x14ac:dyDescent="0.2">
      <c r="A27" t="s">
        <v>134</v>
      </c>
      <c r="B27" s="2" t="s">
        <v>89</v>
      </c>
      <c r="C27" s="26"/>
      <c r="D27" s="25">
        <f>D5*D6-D14*D15-D16-D17-D18-D19</f>
        <v>221813500</v>
      </c>
      <c r="E27" s="2">
        <f>D20/D27</f>
        <v>0.15</v>
      </c>
      <c r="F27" s="26" t="s">
        <v>73</v>
      </c>
    </row>
    <row r="28" spans="1:21" ht="15" thickBot="1" x14ac:dyDescent="0.25"/>
    <row r="29" spans="1:21" x14ac:dyDescent="0.2">
      <c r="A29" s="41" t="s">
        <v>133</v>
      </c>
      <c r="B29" s="8" t="s">
        <v>17</v>
      </c>
      <c r="C29" s="8" t="s">
        <v>68</v>
      </c>
      <c r="D29" s="8">
        <v>1.64</v>
      </c>
      <c r="E29" s="8" t="s">
        <v>18</v>
      </c>
      <c r="F29" s="8"/>
      <c r="G29" s="8"/>
      <c r="H29" s="8"/>
      <c r="I29" s="8"/>
      <c r="J29" s="8" t="s">
        <v>67</v>
      </c>
      <c r="K29" s="29"/>
      <c r="L29" s="30" t="s">
        <v>50</v>
      </c>
      <c r="M29" s="31" t="s">
        <v>55</v>
      </c>
      <c r="N29" s="31" t="s">
        <v>56</v>
      </c>
      <c r="O29" s="32" t="s">
        <v>51</v>
      </c>
      <c r="P29" s="33" t="s">
        <v>52</v>
      </c>
      <c r="Q29" s="33" t="s">
        <v>53</v>
      </c>
      <c r="R29" s="34" t="s">
        <v>58</v>
      </c>
      <c r="S29" s="35" t="s">
        <v>59</v>
      </c>
      <c r="T29" s="31" t="s">
        <v>54</v>
      </c>
      <c r="U29" s="9"/>
    </row>
    <row r="30" spans="1:21" x14ac:dyDescent="0.2">
      <c r="A30" s="42"/>
      <c r="B30" s="2" t="s">
        <v>19</v>
      </c>
      <c r="C30" s="25">
        <f>I30*G30+I31+I32+I33*G33+I34*G34+I35</f>
        <v>109495000</v>
      </c>
      <c r="D30" s="2">
        <v>1100</v>
      </c>
      <c r="E30" s="2" t="s">
        <v>20</v>
      </c>
      <c r="F30" s="2"/>
      <c r="G30" s="2">
        <v>0.9</v>
      </c>
      <c r="H30" s="2"/>
      <c r="I30" s="3">
        <f>J30*L30*O30</f>
        <v>84375000</v>
      </c>
      <c r="J30" s="2">
        <v>250</v>
      </c>
      <c r="K30" s="7" t="s">
        <v>30</v>
      </c>
      <c r="L30" s="15">
        <f>(M30+N30)/2</f>
        <v>450</v>
      </c>
      <c r="M30" s="13">
        <v>700</v>
      </c>
      <c r="N30" s="13">
        <v>200</v>
      </c>
      <c r="O30" s="16">
        <f>(P30+Q30)/2</f>
        <v>750</v>
      </c>
      <c r="P30" s="13">
        <v>1000</v>
      </c>
      <c r="Q30" s="13">
        <v>500</v>
      </c>
      <c r="R30" s="18">
        <v>250000</v>
      </c>
      <c r="S30" s="20">
        <v>0</v>
      </c>
      <c r="T30" s="6" t="s">
        <v>57</v>
      </c>
      <c r="U30" s="10"/>
    </row>
    <row r="31" spans="1:21" x14ac:dyDescent="0.2">
      <c r="A31" s="42"/>
      <c r="B31" s="2" t="s">
        <v>21</v>
      </c>
      <c r="C31" s="2"/>
      <c r="D31" s="2">
        <v>1.085</v>
      </c>
      <c r="E31" s="2" t="s">
        <v>22</v>
      </c>
      <c r="F31" s="2"/>
      <c r="G31" s="2"/>
      <c r="H31" s="2"/>
      <c r="I31" s="3">
        <f t="shared" ref="I31:I35" si="0">J31*L31*O31</f>
        <v>2500000</v>
      </c>
      <c r="J31" s="2">
        <v>250</v>
      </c>
      <c r="K31" s="7" t="s">
        <v>31</v>
      </c>
      <c r="L31" s="15">
        <f t="shared" ref="L31:L38" si="1">(M31+N31)/2</f>
        <v>400</v>
      </c>
      <c r="M31" s="13">
        <v>500</v>
      </c>
      <c r="N31" s="13">
        <v>300</v>
      </c>
      <c r="O31" s="16">
        <f t="shared" ref="O31:O38" si="2">(P31+Q31)/2</f>
        <v>25</v>
      </c>
      <c r="P31" s="13">
        <v>30</v>
      </c>
      <c r="Q31" s="13">
        <v>20</v>
      </c>
      <c r="R31" s="20"/>
      <c r="S31" s="18">
        <v>3500</v>
      </c>
      <c r="T31" s="6" t="s">
        <v>60</v>
      </c>
      <c r="U31" s="10"/>
    </row>
    <row r="32" spans="1:21" x14ac:dyDescent="0.2">
      <c r="A32" s="42"/>
      <c r="B32" s="2" t="s">
        <v>23</v>
      </c>
      <c r="C32" s="2"/>
      <c r="D32" s="2">
        <v>310</v>
      </c>
      <c r="E32" s="2" t="s">
        <v>24</v>
      </c>
      <c r="F32" s="2"/>
      <c r="G32" s="2"/>
      <c r="H32" s="2"/>
      <c r="I32" s="3">
        <f t="shared" si="0"/>
        <v>2812500</v>
      </c>
      <c r="J32" s="2">
        <v>250</v>
      </c>
      <c r="K32" s="7" t="s">
        <v>32</v>
      </c>
      <c r="L32" s="15">
        <f t="shared" si="1"/>
        <v>750</v>
      </c>
      <c r="M32" s="13">
        <v>1000</v>
      </c>
      <c r="N32" s="13">
        <v>500</v>
      </c>
      <c r="O32" s="16">
        <f t="shared" si="2"/>
        <v>15</v>
      </c>
      <c r="P32" s="13">
        <v>20</v>
      </c>
      <c r="Q32" s="13">
        <v>10</v>
      </c>
      <c r="R32" s="18">
        <v>13000</v>
      </c>
      <c r="S32" s="19">
        <v>500</v>
      </c>
      <c r="T32" s="6" t="s">
        <v>60</v>
      </c>
      <c r="U32" s="10"/>
    </row>
    <row r="33" spans="1:21" x14ac:dyDescent="0.2">
      <c r="A33" s="42"/>
      <c r="B33" s="2"/>
      <c r="C33" s="2"/>
      <c r="D33" s="2"/>
      <c r="E33" s="2"/>
      <c r="F33" s="2"/>
      <c r="G33" s="2">
        <v>0.8</v>
      </c>
      <c r="H33" s="2"/>
      <c r="I33" s="3">
        <f t="shared" si="0"/>
        <v>7150000.0000000009</v>
      </c>
      <c r="J33" s="21">
        <v>1000</v>
      </c>
      <c r="K33" s="7" t="s">
        <v>33</v>
      </c>
      <c r="L33" s="15">
        <f t="shared" si="1"/>
        <v>3250</v>
      </c>
      <c r="M33" s="13">
        <v>5000</v>
      </c>
      <c r="N33" s="13">
        <v>1500</v>
      </c>
      <c r="O33" s="17">
        <f t="shared" si="2"/>
        <v>2.2000000000000002</v>
      </c>
      <c r="P33" s="14">
        <v>3</v>
      </c>
      <c r="Q33" s="14">
        <v>1.4</v>
      </c>
      <c r="R33" s="18"/>
      <c r="S33" s="19">
        <v>7000</v>
      </c>
      <c r="T33" s="6"/>
      <c r="U33" s="10"/>
    </row>
    <row r="34" spans="1:21" x14ac:dyDescent="0.2">
      <c r="A34" s="42"/>
      <c r="B34" s="2"/>
      <c r="C34" s="2"/>
      <c r="D34" s="3">
        <v>200000000</v>
      </c>
      <c r="E34" s="2"/>
      <c r="F34" s="2"/>
      <c r="G34" s="2">
        <v>0.8</v>
      </c>
      <c r="H34" s="2"/>
      <c r="I34" s="3">
        <f t="shared" si="0"/>
        <v>18000000</v>
      </c>
      <c r="J34" s="21">
        <v>1000</v>
      </c>
      <c r="K34" s="7" t="s">
        <v>34</v>
      </c>
      <c r="L34" s="15">
        <f t="shared" si="1"/>
        <v>2000</v>
      </c>
      <c r="M34" s="13">
        <v>3000</v>
      </c>
      <c r="N34" s="13">
        <v>1000</v>
      </c>
      <c r="O34" s="17">
        <f t="shared" si="2"/>
        <v>9</v>
      </c>
      <c r="P34" s="13">
        <v>11</v>
      </c>
      <c r="Q34" s="13">
        <v>7</v>
      </c>
      <c r="R34" s="18">
        <v>14000</v>
      </c>
      <c r="S34" s="19">
        <v>10000</v>
      </c>
      <c r="T34" s="6"/>
      <c r="U34" s="10" t="s">
        <v>63</v>
      </c>
    </row>
    <row r="35" spans="1:21" x14ac:dyDescent="0.2">
      <c r="A35" s="42"/>
      <c r="B35" s="2"/>
      <c r="C35" s="2"/>
      <c r="D35" s="3">
        <v>200000</v>
      </c>
      <c r="E35" s="2"/>
      <c r="F35" s="2"/>
      <c r="G35" s="2"/>
      <c r="H35" s="2"/>
      <c r="I35" s="3">
        <f t="shared" si="0"/>
        <v>8125000</v>
      </c>
      <c r="J35" s="21">
        <v>250</v>
      </c>
      <c r="K35" s="7" t="s">
        <v>35</v>
      </c>
      <c r="L35" s="15">
        <f t="shared" si="1"/>
        <v>325</v>
      </c>
      <c r="M35" s="13">
        <v>400</v>
      </c>
      <c r="N35" s="13">
        <v>250</v>
      </c>
      <c r="O35" s="16">
        <f t="shared" si="2"/>
        <v>100</v>
      </c>
      <c r="P35" s="13">
        <v>160</v>
      </c>
      <c r="Q35" s="13">
        <v>40</v>
      </c>
      <c r="R35" s="18">
        <v>15000</v>
      </c>
      <c r="S35" s="19"/>
      <c r="T35" s="6" t="s">
        <v>61</v>
      </c>
      <c r="U35" s="10" t="s">
        <v>62</v>
      </c>
    </row>
    <row r="36" spans="1:21" x14ac:dyDescent="0.2">
      <c r="A36" s="42"/>
      <c r="B36" s="2"/>
      <c r="C36" s="2"/>
      <c r="D36" s="3">
        <f>D34/D35</f>
        <v>1000</v>
      </c>
      <c r="E36" s="2"/>
      <c r="F36" s="2"/>
      <c r="G36" s="2"/>
      <c r="H36" s="2"/>
      <c r="I36" s="3"/>
      <c r="J36" s="21">
        <v>500</v>
      </c>
      <c r="K36" s="7" t="s">
        <v>36</v>
      </c>
      <c r="L36" s="15">
        <f t="shared" si="1"/>
        <v>62.5</v>
      </c>
      <c r="M36" s="13">
        <f>50*1.5</f>
        <v>75</v>
      </c>
      <c r="N36" s="13">
        <f>50*1</f>
        <v>50</v>
      </c>
      <c r="O36" s="16">
        <f t="shared" si="2"/>
        <v>30</v>
      </c>
      <c r="P36" s="13">
        <v>40</v>
      </c>
      <c r="Q36" s="13">
        <v>20</v>
      </c>
      <c r="R36" s="18">
        <f>50*20</f>
        <v>1000</v>
      </c>
      <c r="S36" s="19">
        <f>15*50+1.5*50</f>
        <v>825</v>
      </c>
      <c r="T36" s="6"/>
      <c r="U36" s="10"/>
    </row>
    <row r="37" spans="1:21" x14ac:dyDescent="0.2">
      <c r="A37" s="42"/>
      <c r="B37" s="2"/>
      <c r="C37" s="2"/>
      <c r="D37" s="3"/>
      <c r="E37" s="2"/>
      <c r="F37" s="2"/>
      <c r="G37" s="2"/>
      <c r="H37" s="2"/>
      <c r="I37" s="2"/>
      <c r="J37" s="2"/>
      <c r="K37" s="7" t="s">
        <v>37</v>
      </c>
      <c r="L37" s="15">
        <f t="shared" si="1"/>
        <v>40</v>
      </c>
      <c r="M37" s="13">
        <f>20*2.5</f>
        <v>50</v>
      </c>
      <c r="N37" s="13">
        <f>20*1.5</f>
        <v>30</v>
      </c>
      <c r="O37" s="16">
        <f t="shared" si="2"/>
        <v>0</v>
      </c>
      <c r="P37" s="13"/>
      <c r="Q37" s="13"/>
      <c r="R37" s="18"/>
      <c r="S37" s="19"/>
      <c r="T37" s="6"/>
      <c r="U37" s="10"/>
    </row>
    <row r="38" spans="1:21" x14ac:dyDescent="0.2">
      <c r="A38" s="42"/>
      <c r="B38" s="2" t="s">
        <v>48</v>
      </c>
      <c r="C38" s="2"/>
      <c r="D38" s="3">
        <v>2900000</v>
      </c>
      <c r="E38" s="2" t="s">
        <v>28</v>
      </c>
      <c r="F38" s="2"/>
      <c r="G38" s="2"/>
      <c r="H38" s="2"/>
      <c r="I38" s="2"/>
      <c r="J38" s="2"/>
      <c r="K38" s="7" t="s">
        <v>38</v>
      </c>
      <c r="L38" s="15">
        <f t="shared" si="1"/>
        <v>0</v>
      </c>
      <c r="M38" s="13"/>
      <c r="N38" s="13"/>
      <c r="O38" s="16">
        <f t="shared" si="2"/>
        <v>0</v>
      </c>
      <c r="P38" s="13"/>
      <c r="Q38" s="13"/>
      <c r="R38" s="18"/>
      <c r="S38" s="19"/>
      <c r="T38" s="6"/>
      <c r="U38" s="10"/>
    </row>
    <row r="39" spans="1:21" x14ac:dyDescent="0.2">
      <c r="A39" s="42"/>
      <c r="B39" s="2" t="s">
        <v>49</v>
      </c>
      <c r="C39" s="2"/>
      <c r="D39" s="3">
        <f>D38*2</f>
        <v>5800000</v>
      </c>
      <c r="E39" s="2" t="s">
        <v>28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0"/>
    </row>
    <row r="40" spans="1:21" x14ac:dyDescent="0.2">
      <c r="A40" s="42"/>
      <c r="B40" s="2"/>
      <c r="C40" s="2"/>
      <c r="D40" s="2"/>
      <c r="E40" s="2"/>
      <c r="F40" s="2"/>
      <c r="G40" s="2"/>
      <c r="H40" s="2"/>
      <c r="I40" s="2"/>
      <c r="J40" s="2"/>
      <c r="L40" s="22"/>
      <c r="M40" s="21"/>
      <c r="N40" s="2"/>
      <c r="O40" s="2"/>
      <c r="P40" s="2"/>
      <c r="Q40" s="2"/>
      <c r="R40" s="2"/>
      <c r="S40" s="2"/>
      <c r="T40" s="2"/>
      <c r="U40" s="10"/>
    </row>
    <row r="41" spans="1:21" x14ac:dyDescent="0.2">
      <c r="A41" s="42"/>
      <c r="B41" s="2" t="s">
        <v>70</v>
      </c>
      <c r="C41" s="2"/>
      <c r="D41" s="2" t="s">
        <v>71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10"/>
    </row>
    <row r="42" spans="1:21" ht="15" thickBot="1" x14ac:dyDescent="0.25">
      <c r="A42" s="43"/>
      <c r="B42" s="28">
        <v>0.03</v>
      </c>
      <c r="C42" s="11"/>
      <c r="D42" s="11">
        <f>(B42*(1+B42)^25)/((1+B42)^25-1)</f>
        <v>5.7427871039127817E-2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2"/>
    </row>
    <row r="48" spans="1:21" x14ac:dyDescent="0.2">
      <c r="D48" s="1"/>
    </row>
    <row r="50" spans="4:4" x14ac:dyDescent="0.2">
      <c r="D50" s="1"/>
    </row>
  </sheetData>
  <mergeCells count="1">
    <mergeCell ref="A29:A42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2" sqref="C22"/>
    </sheetView>
  </sheetViews>
  <sheetFormatPr defaultRowHeight="14.25" x14ac:dyDescent="0.2"/>
  <cols>
    <col min="1" max="1" width="15.75" bestFit="1" customWidth="1"/>
    <col min="2" max="2" width="16.375" customWidth="1"/>
    <col min="3" max="3" width="10.625" bestFit="1" customWidth="1"/>
    <col min="4" max="4" width="13.75" style="36" bestFit="1" customWidth="1"/>
    <col min="5" max="5" width="9.125" bestFit="1" customWidth="1"/>
  </cols>
  <sheetData>
    <row r="1" spans="1:4" s="38" customFormat="1" x14ac:dyDescent="0.2">
      <c r="A1" s="38" t="s">
        <v>137</v>
      </c>
      <c r="B1" s="40" t="s">
        <v>138</v>
      </c>
      <c r="C1" s="38" t="s">
        <v>135</v>
      </c>
      <c r="D1" s="39" t="s">
        <v>139</v>
      </c>
    </row>
    <row r="2" spans="1:4" x14ac:dyDescent="0.2">
      <c r="A2" t="s">
        <v>115</v>
      </c>
      <c r="B2" t="s">
        <v>103</v>
      </c>
      <c r="C2" t="s">
        <v>85</v>
      </c>
      <c r="D2" s="36">
        <v>200</v>
      </c>
    </row>
    <row r="3" spans="1:4" x14ac:dyDescent="0.2">
      <c r="A3" t="s">
        <v>117</v>
      </c>
      <c r="B3" s="22" t="s">
        <v>47</v>
      </c>
      <c r="C3" t="s">
        <v>85</v>
      </c>
      <c r="D3" s="37">
        <f>30000000*2</f>
        <v>60000000</v>
      </c>
    </row>
    <row r="4" spans="1:4" x14ac:dyDescent="0.2">
      <c r="A4" t="s">
        <v>132</v>
      </c>
      <c r="B4" s="22" t="s">
        <v>3</v>
      </c>
      <c r="C4" t="s">
        <v>85</v>
      </c>
      <c r="D4" s="37">
        <v>31250</v>
      </c>
    </row>
    <row r="5" spans="1:4" x14ac:dyDescent="0.2">
      <c r="A5" t="s">
        <v>119</v>
      </c>
      <c r="B5" s="22" t="s">
        <v>7</v>
      </c>
      <c r="C5" t="s">
        <v>85</v>
      </c>
      <c r="D5" s="37">
        <v>181200</v>
      </c>
    </row>
    <row r="6" spans="1:4" x14ac:dyDescent="0.2">
      <c r="A6" t="s">
        <v>120</v>
      </c>
      <c r="B6" s="22" t="s">
        <v>26</v>
      </c>
      <c r="C6" t="s">
        <v>85</v>
      </c>
      <c r="D6" s="37">
        <v>10000</v>
      </c>
    </row>
    <row r="7" spans="1:4" x14ac:dyDescent="0.2">
      <c r="A7" t="s">
        <v>141</v>
      </c>
      <c r="B7" s="2" t="s">
        <v>10</v>
      </c>
      <c r="C7" t="s">
        <v>85</v>
      </c>
      <c r="D7" s="37">
        <f>19*5000*12+20*3000*12+150*2000*6</f>
        <v>3660000</v>
      </c>
    </row>
    <row r="8" spans="1:4" x14ac:dyDescent="0.2">
      <c r="A8" t="s">
        <v>142</v>
      </c>
      <c r="B8" s="2" t="s">
        <v>11</v>
      </c>
      <c r="C8" t="s">
        <v>85</v>
      </c>
      <c r="D8" s="37">
        <v>5000000</v>
      </c>
    </row>
    <row r="9" spans="1:4" x14ac:dyDescent="0.2">
      <c r="A9" t="s">
        <v>143</v>
      </c>
      <c r="B9" s="2" t="s">
        <v>12</v>
      </c>
      <c r="C9" t="s">
        <v>85</v>
      </c>
      <c r="D9" s="37">
        <v>2500000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F25" sqref="F25"/>
    </sheetView>
  </sheetViews>
  <sheetFormatPr defaultRowHeight="14.25" x14ac:dyDescent="0.2"/>
  <cols>
    <col min="1" max="1" width="15.75" bestFit="1" customWidth="1"/>
    <col min="2" max="2" width="13" bestFit="1" customWidth="1"/>
    <col min="3" max="3" width="10.125" bestFit="1" customWidth="1"/>
    <col min="4" max="4" width="16" style="36" bestFit="1" customWidth="1"/>
    <col min="5" max="5" width="8.875" bestFit="1" customWidth="1"/>
    <col min="6" max="7" width="16" bestFit="1" customWidth="1"/>
  </cols>
  <sheetData>
    <row r="1" spans="1:7" s="38" customFormat="1" x14ac:dyDescent="0.2">
      <c r="A1" s="38" t="s">
        <v>137</v>
      </c>
      <c r="B1" s="40" t="s">
        <v>138</v>
      </c>
      <c r="C1" s="38" t="s">
        <v>135</v>
      </c>
      <c r="D1" s="39" t="s">
        <v>160</v>
      </c>
      <c r="E1" s="38" t="s">
        <v>136</v>
      </c>
      <c r="F1" s="38" t="s">
        <v>155</v>
      </c>
      <c r="G1" s="38" t="s">
        <v>161</v>
      </c>
    </row>
    <row r="2" spans="1:7" x14ac:dyDescent="0.2">
      <c r="A2" t="s">
        <v>116</v>
      </c>
      <c r="B2" s="22" t="s">
        <v>46</v>
      </c>
      <c r="C2" s="21" t="s">
        <v>156</v>
      </c>
      <c r="D2">
        <v>2000000000</v>
      </c>
      <c r="E2" t="s">
        <v>20</v>
      </c>
      <c r="F2">
        <v>1200000000</v>
      </c>
      <c r="G2">
        <v>2000000000</v>
      </c>
    </row>
    <row r="3" spans="1:7" x14ac:dyDescent="0.2">
      <c r="A3" t="s">
        <v>152</v>
      </c>
      <c r="B3" s="22" t="s">
        <v>2</v>
      </c>
      <c r="C3" s="21" t="s">
        <v>156</v>
      </c>
      <c r="D3">
        <v>1.05</v>
      </c>
      <c r="E3" t="s">
        <v>16</v>
      </c>
      <c r="F3">
        <v>0.35</v>
      </c>
      <c r="G3">
        <v>1.05</v>
      </c>
    </row>
    <row r="4" spans="1:7" x14ac:dyDescent="0.2">
      <c r="A4" t="s">
        <v>153</v>
      </c>
      <c r="B4" s="22" t="s">
        <v>2</v>
      </c>
      <c r="C4" s="21" t="s">
        <v>156</v>
      </c>
      <c r="D4">
        <v>1.1000000000000001</v>
      </c>
      <c r="E4" t="s">
        <v>16</v>
      </c>
      <c r="F4">
        <v>0.4</v>
      </c>
      <c r="G4">
        <v>1.1000000000000001</v>
      </c>
    </row>
    <row r="5" spans="1:7" x14ac:dyDescent="0.2">
      <c r="A5" t="s">
        <v>154</v>
      </c>
      <c r="B5" s="22" t="s">
        <v>2</v>
      </c>
      <c r="C5" s="21" t="s">
        <v>156</v>
      </c>
      <c r="D5">
        <v>1.19</v>
      </c>
      <c r="E5" t="s">
        <v>16</v>
      </c>
      <c r="F5">
        <v>0.49</v>
      </c>
      <c r="G5">
        <v>1.1935</v>
      </c>
    </row>
    <row r="6" spans="1:7" x14ac:dyDescent="0.2">
      <c r="A6" t="s">
        <v>114</v>
      </c>
      <c r="B6" s="22" t="s">
        <v>69</v>
      </c>
      <c r="C6" s="21" t="s">
        <v>156</v>
      </c>
      <c r="D6">
        <v>109495000</v>
      </c>
      <c r="E6" t="s">
        <v>28</v>
      </c>
      <c r="F6">
        <v>55000000</v>
      </c>
      <c r="G6">
        <v>109495000</v>
      </c>
    </row>
    <row r="7" spans="1:7" x14ac:dyDescent="0.2">
      <c r="A7" t="s">
        <v>131</v>
      </c>
      <c r="B7" s="22" t="s">
        <v>5</v>
      </c>
      <c r="C7" s="2" t="s">
        <v>157</v>
      </c>
      <c r="D7">
        <v>30</v>
      </c>
      <c r="E7" t="s">
        <v>65</v>
      </c>
      <c r="F7">
        <v>20</v>
      </c>
      <c r="G7">
        <v>40</v>
      </c>
    </row>
    <row r="8" spans="1:7" x14ac:dyDescent="0.2">
      <c r="A8" t="s">
        <v>118</v>
      </c>
      <c r="B8" s="22" t="s">
        <v>4</v>
      </c>
      <c r="C8" s="21" t="s">
        <v>156</v>
      </c>
      <c r="D8">
        <v>10000</v>
      </c>
      <c r="E8" t="s">
        <v>42</v>
      </c>
      <c r="F8">
        <v>10000</v>
      </c>
      <c r="G8">
        <v>50000</v>
      </c>
    </row>
    <row r="9" spans="1:7" x14ac:dyDescent="0.2">
      <c r="A9" t="s">
        <v>130</v>
      </c>
      <c r="B9" s="22" t="s">
        <v>6</v>
      </c>
      <c r="C9" s="21" t="s">
        <v>156</v>
      </c>
      <c r="D9">
        <v>1</v>
      </c>
      <c r="E9" t="s">
        <v>43</v>
      </c>
      <c r="F9">
        <v>1</v>
      </c>
      <c r="G9">
        <v>30</v>
      </c>
    </row>
    <row r="10" spans="1:7" x14ac:dyDescent="0.2">
      <c r="A10" t="s">
        <v>129</v>
      </c>
      <c r="B10" s="22" t="s">
        <v>8</v>
      </c>
      <c r="C10" s="21" t="s">
        <v>156</v>
      </c>
      <c r="D10">
        <v>1</v>
      </c>
      <c r="E10" t="s">
        <v>39</v>
      </c>
      <c r="F10">
        <v>1</v>
      </c>
      <c r="G10">
        <v>40</v>
      </c>
    </row>
    <row r="11" spans="1:7" x14ac:dyDescent="0.2">
      <c r="A11" t="s">
        <v>128</v>
      </c>
      <c r="B11" s="22" t="s">
        <v>25</v>
      </c>
      <c r="C11" s="21" t="s">
        <v>156</v>
      </c>
      <c r="D11">
        <v>2.65</v>
      </c>
      <c r="E11" t="s">
        <v>27</v>
      </c>
      <c r="F11">
        <v>2.65</v>
      </c>
      <c r="G11">
        <v>5</v>
      </c>
    </row>
    <row r="12" spans="1:7" x14ac:dyDescent="0.2">
      <c r="A12" t="s">
        <v>121</v>
      </c>
      <c r="B12" s="2" t="s">
        <v>9</v>
      </c>
      <c r="C12" s="21" t="s">
        <v>156</v>
      </c>
      <c r="D12">
        <v>5000000</v>
      </c>
      <c r="E12" t="s">
        <v>28</v>
      </c>
      <c r="F12">
        <v>5000000</v>
      </c>
      <c r="G12">
        <v>10000000</v>
      </c>
    </row>
    <row r="13" spans="1:7" x14ac:dyDescent="0.2">
      <c r="A13" t="s">
        <v>140</v>
      </c>
      <c r="B13" s="2" t="s">
        <v>13</v>
      </c>
      <c r="C13" s="2" t="s">
        <v>157</v>
      </c>
      <c r="D13">
        <v>0.15</v>
      </c>
      <c r="E13" t="s">
        <v>159</v>
      </c>
      <c r="F13">
        <v>0.15</v>
      </c>
      <c r="G13">
        <v>0.25</v>
      </c>
    </row>
    <row r="14" spans="1:7" x14ac:dyDescent="0.2">
      <c r="A14" t="s">
        <v>144</v>
      </c>
      <c r="B14" s="24" t="s">
        <v>145</v>
      </c>
      <c r="C14" s="21" t="s">
        <v>158</v>
      </c>
      <c r="D14">
        <v>2.5000000000000001E-2</v>
      </c>
      <c r="E14" t="s">
        <v>146</v>
      </c>
      <c r="F14">
        <v>0.01</v>
      </c>
      <c r="G14">
        <v>0.04</v>
      </c>
    </row>
    <row r="15" spans="1:7" x14ac:dyDescent="0.2">
      <c r="A15" t="s">
        <v>149</v>
      </c>
      <c r="B15" s="24" t="s">
        <v>147</v>
      </c>
      <c r="C15" s="21" t="s">
        <v>156</v>
      </c>
      <c r="D15">
        <v>1600</v>
      </c>
      <c r="E15" t="s">
        <v>148</v>
      </c>
      <c r="F15">
        <v>1600</v>
      </c>
      <c r="G15">
        <v>2000</v>
      </c>
    </row>
    <row r="16" spans="1:7" x14ac:dyDescent="0.2">
      <c r="A16" t="s">
        <v>150</v>
      </c>
      <c r="B16" s="24" t="s">
        <v>147</v>
      </c>
      <c r="C16" s="21" t="s">
        <v>158</v>
      </c>
      <c r="D16">
        <v>1500</v>
      </c>
      <c r="E16" t="s">
        <v>148</v>
      </c>
      <c r="F16">
        <v>1400</v>
      </c>
      <c r="G16">
        <v>1600</v>
      </c>
    </row>
    <row r="17" spans="1:12" x14ac:dyDescent="0.2">
      <c r="A17" t="s">
        <v>151</v>
      </c>
      <c r="B17" s="24" t="s">
        <v>147</v>
      </c>
      <c r="C17" s="21" t="s">
        <v>158</v>
      </c>
      <c r="D17">
        <v>1300</v>
      </c>
      <c r="E17" t="s">
        <v>148</v>
      </c>
      <c r="F17">
        <v>1200</v>
      </c>
      <c r="G17">
        <v>1400</v>
      </c>
    </row>
    <row r="18" spans="1:12" x14ac:dyDescent="0.2">
      <c r="D18"/>
    </row>
    <row r="19" spans="1:12" x14ac:dyDescent="0.2">
      <c r="D19"/>
    </row>
    <row r="20" spans="1:12" x14ac:dyDescent="0.2">
      <c r="D20"/>
    </row>
    <row r="23" spans="1:12" x14ac:dyDescent="0.2">
      <c r="K23" s="1"/>
    </row>
    <row r="25" spans="1:12" x14ac:dyDescent="0.2">
      <c r="L25" s="21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DP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PC</cp:lastModifiedBy>
  <dcterms:created xsi:type="dcterms:W3CDTF">2015-06-05T18:17:20Z</dcterms:created>
  <dcterms:modified xsi:type="dcterms:W3CDTF">2020-08-26T13:30:40Z</dcterms:modified>
</cp:coreProperties>
</file>