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265"/>
  </bookViews>
  <sheets>
    <sheet name="HE calc" sheetId="1" r:id="rId1"/>
    <sheet name="thermal con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6" i="1" l="1"/>
  <c r="F217" i="1" l="1"/>
  <c r="F218" i="1" s="1"/>
  <c r="F220" i="1"/>
  <c r="F221" i="1" s="1"/>
  <c r="F222" i="1" s="1"/>
  <c r="G221" i="1"/>
  <c r="G222" i="1" s="1"/>
  <c r="G217" i="1"/>
  <c r="G218" i="1" s="1"/>
  <c r="G223" i="1" l="1"/>
  <c r="G118" i="1" l="1"/>
  <c r="G119" i="1" s="1"/>
  <c r="D209" i="1" l="1"/>
  <c r="F209" i="1" s="1"/>
  <c r="D206" i="1"/>
  <c r="F205" i="1" s="1"/>
  <c r="F186" i="1"/>
  <c r="F173" i="1" l="1"/>
  <c r="F163" i="1"/>
  <c r="F162" i="1"/>
  <c r="F147" i="1" l="1"/>
  <c r="F149" i="1" s="1"/>
  <c r="F150" i="1" s="1"/>
  <c r="F144" i="1"/>
  <c r="F142" i="1"/>
  <c r="F159" i="1" s="1"/>
  <c r="F175" i="1" s="1"/>
  <c r="F143" i="1" l="1"/>
  <c r="F145" i="1" s="1"/>
  <c r="F146" i="1" s="1"/>
  <c r="F151" i="1" s="1"/>
  <c r="F164" i="1"/>
  <c r="D164" i="1" s="1"/>
  <c r="F174" i="1" s="1"/>
  <c r="F178" i="1" s="1"/>
  <c r="F91" i="1"/>
  <c r="G84" i="1"/>
  <c r="F84" i="1"/>
  <c r="F93" i="1" s="1"/>
  <c r="G82" i="1"/>
  <c r="F82" i="1"/>
  <c r="F92" i="1" s="1"/>
  <c r="F89" i="1"/>
  <c r="G77" i="1"/>
  <c r="G78" i="1" s="1"/>
  <c r="F77" i="1"/>
  <c r="F78" i="1" s="1"/>
  <c r="F71" i="1"/>
  <c r="F206" i="1" l="1"/>
  <c r="D204" i="1"/>
  <c r="F204" i="1" s="1"/>
  <c r="F72" i="1"/>
  <c r="F73" i="1" s="1"/>
  <c r="F80" i="1" s="1"/>
  <c r="F87" i="1" s="1"/>
  <c r="F86" i="1" s="1"/>
  <c r="D195" i="1"/>
  <c r="D202" i="1" s="1"/>
  <c r="F202" i="1" s="1"/>
  <c r="F203" i="1" s="1"/>
  <c r="E193" i="1"/>
  <c r="F94" i="1"/>
  <c r="M134" i="1"/>
  <c r="M135" i="1" s="1"/>
  <c r="L133" i="1"/>
  <c r="P128" i="1"/>
  <c r="M130" i="1"/>
  <c r="L129" i="1"/>
  <c r="M129" i="1"/>
  <c r="G122" i="1"/>
  <c r="G123" i="1" s="1"/>
  <c r="G124" i="1" s="1"/>
  <c r="F96" i="1" l="1"/>
  <c r="F97" i="1" s="1"/>
  <c r="F98" i="1" s="1"/>
  <c r="F104" i="1" s="1"/>
  <c r="F107" i="1" s="1"/>
  <c r="D200" i="1" s="1"/>
  <c r="F200" i="1" s="1"/>
  <c r="F201" i="1" s="1"/>
  <c r="F210" i="1" s="1"/>
  <c r="F211" i="1" s="1"/>
  <c r="M131" i="1"/>
  <c r="F122" i="1"/>
  <c r="F123" i="1" s="1"/>
  <c r="E52" i="1"/>
  <c r="E51" i="1"/>
  <c r="E54" i="1"/>
  <c r="E36" i="1"/>
  <c r="F119" i="1" s="1"/>
  <c r="D211" i="1" l="1"/>
  <c r="D212" i="1" s="1"/>
  <c r="D213" i="1" s="1"/>
  <c r="E55" i="1"/>
  <c r="E57" i="1" s="1"/>
  <c r="F120" i="1" s="1"/>
  <c r="F124" i="1" l="1"/>
  <c r="F219" i="1"/>
  <c r="F223" i="1" s="1"/>
</calcChain>
</file>

<file path=xl/sharedStrings.xml><?xml version="1.0" encoding="utf-8"?>
<sst xmlns="http://schemas.openxmlformats.org/spreadsheetml/2006/main" count="655" uniqueCount="392">
  <si>
    <t xml:space="preserve"> Btu </t>
  </si>
  <si>
    <t>J</t>
  </si>
  <si>
    <t>kJ</t>
  </si>
  <si>
    <t>kcal</t>
  </si>
  <si>
    <t xml:space="preserve"> Kgf.m</t>
  </si>
  <si>
    <t>ft.lbf</t>
  </si>
  <si>
    <t xml:space="preserve">cal </t>
  </si>
  <si>
    <t xml:space="preserve"> J</t>
  </si>
  <si>
    <t>Btu</t>
  </si>
  <si>
    <t>kW.h</t>
  </si>
  <si>
    <t xml:space="preserve">kcal </t>
  </si>
  <si>
    <t>kW</t>
  </si>
  <si>
    <t xml:space="preserve"> hp</t>
  </si>
  <si>
    <t>hp (boiler)</t>
  </si>
  <si>
    <t xml:space="preserve"> kcal/s</t>
  </si>
  <si>
    <t>kgf.m/s</t>
  </si>
  <si>
    <t xml:space="preserve"> ft.lbf/s</t>
  </si>
  <si>
    <t xml:space="preserve"> ft.lbf/min</t>
  </si>
  <si>
    <t>Btu/s</t>
  </si>
  <si>
    <t>ton (refrig)</t>
  </si>
  <si>
    <t>W</t>
  </si>
  <si>
    <t>(Pa)</t>
  </si>
  <si>
    <t>bar</t>
  </si>
  <si>
    <t>(bar)</t>
  </si>
  <si>
    <t>atmosphere</t>
  </si>
  <si>
    <t>(atm)</t>
  </si>
  <si>
    <t>Torr</t>
  </si>
  <si>
    <t>(Torr)</t>
  </si>
  <si>
    <t xml:space="preserve">Unit </t>
  </si>
  <si>
    <t>Pascal</t>
  </si>
  <si>
    <t>(psi)</t>
  </si>
  <si>
    <t xml:space="preserve">pound per square inch </t>
  </si>
  <si>
    <t>1 Pa</t>
  </si>
  <si>
    <t xml:space="preserve"> 1 N/m²</t>
  </si>
  <si>
    <t>1 bar</t>
  </si>
  <si>
    <t xml:space="preserve">106 dyn/cm2 </t>
  </si>
  <si>
    <t xml:space="preserve">1 at </t>
  </si>
  <si>
    <t>1 atm</t>
  </si>
  <si>
    <t xml:space="preserve">1 atm </t>
  </si>
  <si>
    <t>1 torr</t>
  </si>
  <si>
    <t xml:space="preserve">1 mmHg </t>
  </si>
  <si>
    <t xml:space="preserve">1 psi </t>
  </si>
  <si>
    <t>1 lbf/in²</t>
  </si>
  <si>
    <t>Q=m.Cp.(T2-T1)</t>
  </si>
  <si>
    <t>where,</t>
  </si>
  <si>
    <t>Q=</t>
  </si>
  <si>
    <t xml:space="preserve">m= </t>
  </si>
  <si>
    <t>Cp=</t>
  </si>
  <si>
    <t>T2-T1=</t>
  </si>
  <si>
    <t xml:space="preserve">Castor Oil </t>
  </si>
  <si>
    <t xml:space="preserve">Dowtherm </t>
  </si>
  <si>
    <t xml:space="preserve">Fuel Oil max. </t>
  </si>
  <si>
    <t xml:space="preserve">Gasoline </t>
  </si>
  <si>
    <t xml:space="preserve">Heptane </t>
  </si>
  <si>
    <t xml:space="preserve">Kerosene </t>
  </si>
  <si>
    <t xml:space="preserve">Gold </t>
  </si>
  <si>
    <t xml:space="preserve">Mercury </t>
  </si>
  <si>
    <t>Octane</t>
  </si>
  <si>
    <t xml:space="preserve">Oil, mineral </t>
  </si>
  <si>
    <t xml:space="preserve">Olive oil </t>
  </si>
  <si>
    <t xml:space="preserve">Petroleum </t>
  </si>
  <si>
    <t>Propylene Glycol</t>
  </si>
  <si>
    <t xml:space="preserve">Sodium chloride </t>
  </si>
  <si>
    <t xml:space="preserve">Soya bean oil </t>
  </si>
  <si>
    <t xml:space="preserve">Toluene </t>
  </si>
  <si>
    <t xml:space="preserve">Water, fresh </t>
  </si>
  <si>
    <t xml:space="preserve">Water, sea 36oF </t>
  </si>
  <si>
    <t>Substance</t>
  </si>
  <si>
    <t>Cp(Btu/lb.degF)</t>
  </si>
  <si>
    <t>T1 =</t>
  </si>
  <si>
    <t>t2 =</t>
  </si>
  <si>
    <t>T2 =</t>
  </si>
  <si>
    <t>t1 =</t>
  </si>
  <si>
    <t xml:space="preserve">Q = </t>
  </si>
  <si>
    <t xml:space="preserve">ΔTm = </t>
  </si>
  <si>
    <t>[(T1 – t2) – (T2 – t1)]/ln{(T1 – t2)/(T2 – t1)}</t>
  </si>
  <si>
    <r>
      <t>Alcohol, ethyl 32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F (ethanol)</t>
    </r>
  </si>
  <si>
    <r>
      <t>Ammonia, 104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F</t>
    </r>
  </si>
  <si>
    <r>
      <t>Freon R-12 saturated 0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F </t>
    </r>
  </si>
  <si>
    <r>
      <t>Light Oil, 60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F </t>
    </r>
  </si>
  <si>
    <r>
      <t>Light Oil, 300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F </t>
    </r>
  </si>
  <si>
    <r>
      <t>Propane, 32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F</t>
    </r>
  </si>
  <si>
    <t>Tubular exchanger parameters</t>
  </si>
  <si>
    <t>No of tubes</t>
  </si>
  <si>
    <t>N</t>
  </si>
  <si>
    <t>OD of tube</t>
  </si>
  <si>
    <t>L</t>
  </si>
  <si>
    <t>Effective Length of tube</t>
  </si>
  <si>
    <t>Heat transfer rate (kJ/h) (Btu/h)</t>
  </si>
  <si>
    <t>Heat transfer rate</t>
  </si>
  <si>
    <t>Gcal/h</t>
  </si>
  <si>
    <t>m</t>
  </si>
  <si>
    <t>kg/hr</t>
  </si>
  <si>
    <t>j/kg.degC</t>
  </si>
  <si>
    <t>degC</t>
  </si>
  <si>
    <t>Q=mCp(T2-T1)</t>
  </si>
  <si>
    <t>ΔTm=</t>
  </si>
  <si>
    <t>[(35-43)-(45-121)]</t>
  </si>
  <si>
    <t>ln[(35-43)/(45-121)]</t>
  </si>
  <si>
    <t>(T1 – t2)</t>
  </si>
  <si>
    <t>(T2 – t1)</t>
  </si>
  <si>
    <t>ΔT1=</t>
  </si>
  <si>
    <t>ΔT2=</t>
  </si>
  <si>
    <t>Copper</t>
  </si>
  <si>
    <t>Surface Area, A=</t>
  </si>
  <si>
    <t>Q/(U*ΔTm)</t>
  </si>
  <si>
    <t>U=</t>
  </si>
  <si>
    <t>W/m2*K</t>
  </si>
  <si>
    <t>degK</t>
  </si>
  <si>
    <t>Kcal/m2*h*K</t>
  </si>
  <si>
    <t>Kcal/h</t>
  </si>
  <si>
    <t>A=</t>
  </si>
  <si>
    <t>m2</t>
  </si>
  <si>
    <r>
      <t>U</t>
    </r>
    <r>
      <rPr>
        <vertAlign val="subscript"/>
        <sz val="11"/>
        <color theme="1"/>
        <rFont val="Calibri"/>
        <family val="2"/>
        <scheme val="minor"/>
      </rPr>
      <t>f</t>
    </r>
  </si>
  <si>
    <t>Fouling factor liquid side</t>
  </si>
  <si>
    <t>Fouling factor vapour side</t>
  </si>
  <si>
    <t>h.m2.K/Kcal</t>
  </si>
  <si>
    <t>CS</t>
  </si>
  <si>
    <t>SS</t>
  </si>
  <si>
    <t>Num</t>
  </si>
  <si>
    <t>Deno</t>
  </si>
  <si>
    <t>Metal, Metallic Element or Alloy</t>
  </si>
  <si>
    <t>Temperature</t>
  </si>
  <si>
    <t>- t -</t>
  </si>
  <si>
    <r>
      <t>(</t>
    </r>
    <r>
      <rPr>
        <b/>
        <i/>
        <vertAlign val="superscript"/>
        <sz val="8.8000000000000007"/>
        <color rgb="FF000000"/>
        <rFont val="Arial"/>
        <family val="2"/>
      </rPr>
      <t>o</t>
    </r>
    <r>
      <rPr>
        <b/>
        <i/>
        <sz val="8.8000000000000007"/>
        <color rgb="FF000000"/>
        <rFont val="Arial"/>
        <family val="2"/>
      </rPr>
      <t>C)</t>
    </r>
  </si>
  <si>
    <t>Thermal Conductivity</t>
  </si>
  <si>
    <t>- k -</t>
  </si>
  <si>
    <t>(W/m K)</t>
  </si>
  <si>
    <t>Aluminum</t>
  </si>
  <si>
    <t>"</t>
  </si>
  <si>
    <t>Aluminum - Duralumin (94-96% Al, 3-5% Cu, trace Mg)</t>
  </si>
  <si>
    <t>Aluminum - Silumin (87% Al, 13% Si)</t>
  </si>
  <si>
    <t>Aluminum bronze</t>
  </si>
  <si>
    <t>0 - 25</t>
  </si>
  <si>
    <t>Aluminum alloy 3003, rolled</t>
  </si>
  <si>
    <t>Aluminum alloy 2014. annealed</t>
  </si>
  <si>
    <t>Aluminum alloy 360</t>
  </si>
  <si>
    <t>Antimony</t>
  </si>
  <si>
    <t>Beryllium</t>
  </si>
  <si>
    <t>Beryllium copper 25</t>
  </si>
  <si>
    <t>Bismuth</t>
  </si>
  <si>
    <t>Boron</t>
  </si>
  <si>
    <t>Cadmium</t>
  </si>
  <si>
    <t>Cesium</t>
  </si>
  <si>
    <t>Chromium</t>
  </si>
  <si>
    <t>Cobalt</t>
  </si>
  <si>
    <t>Copper, electrolytic (ETP)</t>
  </si>
  <si>
    <t>Copper - Admiralty Brass</t>
  </si>
  <si>
    <t>Copper - Aluminum Bronze (95% Cu, 5% Al)</t>
  </si>
  <si>
    <t>Copper - Bronze (75% Cu, 25% Sn)</t>
  </si>
  <si>
    <t>Copper - Brass (Yellow Brass) (70% Cu, 30% Zn)</t>
  </si>
  <si>
    <t>Copper - Cartridge brass (UNS C26000)</t>
  </si>
  <si>
    <t>Copper - Constantan  (60% Cu, 40% Ni)</t>
  </si>
  <si>
    <t>Copper - German Silver (62% Cu, 15% Ni, 22% Zn)</t>
  </si>
  <si>
    <t>Copper - Phosphor bronze (10% Sn, UNS C52400)</t>
  </si>
  <si>
    <t>Copper - Red Brass (85% Cu, 9% Sn, 6%Zn)</t>
  </si>
  <si>
    <t>Cupronickel</t>
  </si>
  <si>
    <t>Germanium</t>
  </si>
  <si>
    <t>Gold</t>
  </si>
  <si>
    <t>Hafnium</t>
  </si>
  <si>
    <t>Hastelloy C</t>
  </si>
  <si>
    <t>Inconel</t>
  </si>
  <si>
    <t>21 - 100</t>
  </si>
  <si>
    <t>Incoloy</t>
  </si>
  <si>
    <t>0 – 100</t>
  </si>
  <si>
    <t>Indium</t>
  </si>
  <si>
    <t>Iridium</t>
  </si>
  <si>
    <t>Iron</t>
  </si>
  <si>
    <t>Iron - Cast</t>
  </si>
  <si>
    <t>Iron - Nodular pearlitic</t>
  </si>
  <si>
    <t>Iron - Wrought</t>
  </si>
  <si>
    <t>Lead</t>
  </si>
  <si>
    <t>Chemical lead</t>
  </si>
  <si>
    <t>Antimonial lead (hard lead)</t>
  </si>
  <si>
    <t>Lithium</t>
  </si>
  <si>
    <t>Magnesium</t>
  </si>
  <si>
    <t>Magnesium alloy AZ31B</t>
  </si>
  <si>
    <t>Manganese</t>
  </si>
  <si>
    <t>Mercury</t>
  </si>
  <si>
    <t>Molybdenum</t>
  </si>
  <si>
    <t>Monel</t>
  </si>
  <si>
    <t>Nickel</t>
  </si>
  <si>
    <t>Nickel - Wrought</t>
  </si>
  <si>
    <t>61 – 90</t>
  </si>
  <si>
    <t>Cupronickel 50 -45 (Constantan)</t>
  </si>
  <si>
    <t>Niobium (Columbium)</t>
  </si>
  <si>
    <t>Osmium</t>
  </si>
  <si>
    <t>Palladium</t>
  </si>
  <si>
    <t>Platinum</t>
  </si>
  <si>
    <t>Plutonium</t>
  </si>
  <si>
    <t>Potassium</t>
  </si>
  <si>
    <t>Red brass</t>
  </si>
  <si>
    <t>Rhenium</t>
  </si>
  <si>
    <t>Rhodium</t>
  </si>
  <si>
    <t>Rubidium</t>
  </si>
  <si>
    <t>Selenium</t>
  </si>
  <si>
    <t>Silicon</t>
  </si>
  <si>
    <t>Silver</t>
  </si>
  <si>
    <t>Sodium</t>
  </si>
  <si>
    <t>Solder 50 - 50</t>
  </si>
  <si>
    <t>Steel - Carbon, 0.5% C</t>
  </si>
  <si>
    <t>Steel - Carbon, 1% C</t>
  </si>
  <si>
    <t>Steel - Carbon, 1.5% C</t>
  </si>
  <si>
    <t>Steel - Chrome, 1% Cr</t>
  </si>
  <si>
    <t>Steel - Chrome, 5% Cr</t>
  </si>
  <si>
    <t>Steel - Chrome, 10% Cr</t>
  </si>
  <si>
    <t>Steel - Chrome Nickel, 15% Cr, 10% Ni</t>
  </si>
  <si>
    <t>Steel - Chrome Nickel, 20% Cr, 15% Ni</t>
  </si>
  <si>
    <t>Steel - Hastelloy B</t>
  </si>
  <si>
    <t>Steel - Hastelloy C</t>
  </si>
  <si>
    <t>Steel - Nickel, 10% Ni</t>
  </si>
  <si>
    <t>Steel - Nickel, 20% Ni</t>
  </si>
  <si>
    <t>Steel - Nickel, 40% Ni</t>
  </si>
  <si>
    <t>Steel - Nickel, 60% Ni</t>
  </si>
  <si>
    <t>Steel - Nickel Chrome, 80% Ni, 15% Ni</t>
  </si>
  <si>
    <t>Steel - Nickel Chrome, 40% Ni, 15% Ni</t>
  </si>
  <si>
    <t>Steel - Manganese, 1% Mn</t>
  </si>
  <si>
    <t>Steel - Stainless, Type 304</t>
  </si>
  <si>
    <t>Steel - Stainless, Type 347</t>
  </si>
  <si>
    <t>Steel - Tungsten, 1% W</t>
  </si>
  <si>
    <t>Steel - Wrought Carbon</t>
  </si>
  <si>
    <t>Tantalum</t>
  </si>
  <si>
    <t>Thorium</t>
  </si>
  <si>
    <t>Tin</t>
  </si>
  <si>
    <t>Titanium</t>
  </si>
  <si>
    <t>Tungsten</t>
  </si>
  <si>
    <t>Uranium</t>
  </si>
  <si>
    <t>Vanadium</t>
  </si>
  <si>
    <t>Zinc</t>
  </si>
  <si>
    <t>Zirconium</t>
  </si>
  <si>
    <t>Thermal Conductivity Online Converter</t>
  </si>
  <si>
    <t>mm</t>
  </si>
  <si>
    <t>nos</t>
  </si>
  <si>
    <t>ratio</t>
  </si>
  <si>
    <t>Ln (Do/Di)/2pikL</t>
  </si>
  <si>
    <t>Re</t>
  </si>
  <si>
    <r>
      <t>Di*u*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/μ</t>
    </r>
  </si>
  <si>
    <t>ID of tube</t>
  </si>
  <si>
    <t>Di</t>
  </si>
  <si>
    <t>μ</t>
  </si>
  <si>
    <t xml:space="preserve">Flow </t>
  </si>
  <si>
    <t>shell side</t>
  </si>
  <si>
    <t>tube side</t>
  </si>
  <si>
    <t>Kg/hr</t>
  </si>
  <si>
    <t>m3/hr</t>
  </si>
  <si>
    <t>m3/s</t>
  </si>
  <si>
    <t>X-sec area of ID</t>
  </si>
  <si>
    <t>mm2</t>
  </si>
  <si>
    <t>m/s</t>
  </si>
  <si>
    <t>in</t>
  </si>
  <si>
    <t>out</t>
  </si>
  <si>
    <t>ρ (kg/m3)</t>
  </si>
  <si>
    <t>μ (CP)</t>
  </si>
  <si>
    <t>μ (kg/m.s)</t>
  </si>
  <si>
    <r>
      <t>kcal/kg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C</t>
    </r>
  </si>
  <si>
    <r>
      <t>j/kg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C</t>
    </r>
  </si>
  <si>
    <r>
      <t>w/m.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</si>
  <si>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kcal/h.m.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</si>
  <si>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t>u (m/s)</t>
  </si>
  <si>
    <t>Fluid Velocity</t>
  </si>
  <si>
    <t>density at ave temp</t>
  </si>
  <si>
    <t>viscosity at ave temp</t>
  </si>
  <si>
    <t>sp heat</t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</si>
  <si>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</si>
  <si>
    <t>Conductivity</t>
  </si>
  <si>
    <r>
      <t>Cp*μ/k</t>
    </r>
    <r>
      <rPr>
        <vertAlign val="subscript"/>
        <sz val="11"/>
        <color theme="1"/>
        <rFont val="Calibri"/>
        <family val="2"/>
        <scheme val="minor"/>
      </rPr>
      <t>fb</t>
    </r>
  </si>
  <si>
    <t>μ (mPa/m.s)</t>
  </si>
  <si>
    <t>&gt;</t>
  </si>
  <si>
    <t>&lt;</t>
  </si>
  <si>
    <t>Both satisfies</t>
  </si>
  <si>
    <t>therefore formula can be applied</t>
  </si>
  <si>
    <t>Nu=</t>
  </si>
  <si>
    <t>W/m2.degC</t>
  </si>
  <si>
    <t>hi=</t>
  </si>
  <si>
    <t>hi=Nu*kfb/Di</t>
  </si>
  <si>
    <t>Shell side calculations</t>
  </si>
  <si>
    <t>Cross sectional area</t>
  </si>
  <si>
    <t>ID of the shell</t>
  </si>
  <si>
    <t>Nos</t>
  </si>
  <si>
    <t>1st pass</t>
  </si>
  <si>
    <t>2nd pass</t>
  </si>
  <si>
    <t>OD of Tube</t>
  </si>
  <si>
    <t>No of Tubes in single pass</t>
  </si>
  <si>
    <t>Flow in shell side</t>
  </si>
  <si>
    <t>1774+60</t>
  </si>
  <si>
    <t>Density of vapour</t>
  </si>
  <si>
    <t>kg/m3</t>
  </si>
  <si>
    <t>Volumetric flow in shell side</t>
  </si>
  <si>
    <t>Velocity of vapour</t>
  </si>
  <si>
    <t>X-sec Area covered by Tubes in single pass</t>
  </si>
  <si>
    <t>X-sec Area covered by ID of shell</t>
  </si>
  <si>
    <t>X-sec Area of shell excluding tubes</t>
  </si>
  <si>
    <t>Equivalent Diameter, De</t>
  </si>
  <si>
    <t>De=</t>
  </si>
  <si>
    <t>4*Free flow area</t>
  </si>
  <si>
    <t>wetted preimeter</t>
  </si>
  <si>
    <t>4*(p^2*3^.5/4-3.14*do^2/8)</t>
  </si>
  <si>
    <t>3.14*do/2</t>
  </si>
  <si>
    <t>do</t>
  </si>
  <si>
    <t>Pitch</t>
  </si>
  <si>
    <t>p</t>
  </si>
  <si>
    <r>
      <t>Bundle cross flow area, A</t>
    </r>
    <r>
      <rPr>
        <vertAlign val="subscript"/>
        <sz val="11"/>
        <color theme="1"/>
        <rFont val="Calibri"/>
        <family val="2"/>
        <scheme val="minor"/>
      </rPr>
      <t>s</t>
    </r>
  </si>
  <si>
    <t>C*B*Ds/P</t>
  </si>
  <si>
    <t>where</t>
  </si>
  <si>
    <t>C=P-do</t>
  </si>
  <si>
    <t>B=baffle spacing</t>
  </si>
  <si>
    <t>Ds (mm)=</t>
  </si>
  <si>
    <t>P (mm)=</t>
  </si>
  <si>
    <t>C (mm)=</t>
  </si>
  <si>
    <t>B (mm)=</t>
  </si>
  <si>
    <t>As (mm2)=</t>
  </si>
  <si>
    <r>
      <t>Shell side Reynold's Number, Re</t>
    </r>
    <r>
      <rPr>
        <vertAlign val="subscript"/>
        <sz val="11"/>
        <color theme="1"/>
        <rFont val="Calibri"/>
        <family val="2"/>
        <scheme val="minor"/>
      </rPr>
      <t>s</t>
    </r>
  </si>
  <si>
    <r>
      <t>(ms/A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)*(De/μ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</si>
  <si>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t>As=bundle cross flow area</t>
  </si>
  <si>
    <r>
      <t>μ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=viscosity of shell side fluid</t>
    </r>
  </si>
  <si>
    <t>De=Equivalent dia of shell side</t>
  </si>
  <si>
    <t>ms=flow rate shell side</t>
  </si>
  <si>
    <t>kg/m.s</t>
  </si>
  <si>
    <t>kg/s</t>
  </si>
  <si>
    <r>
      <t>Re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=</t>
    </r>
  </si>
  <si>
    <t>Prandtl No, Pr</t>
  </si>
  <si>
    <t>Cp= sp heat</t>
  </si>
  <si>
    <r>
      <t>k</t>
    </r>
    <r>
      <rPr>
        <vertAlign val="subscript"/>
        <sz val="11"/>
        <color theme="1"/>
        <rFont val="Calibri"/>
        <family val="2"/>
        <scheme val="minor"/>
      </rPr>
      <t>fb</t>
    </r>
    <r>
      <rPr>
        <sz val="11"/>
        <color theme="1"/>
        <rFont val="Calibri"/>
        <family val="2"/>
        <scheme val="minor"/>
      </rPr>
      <t>=conductivity at mean temp</t>
    </r>
  </si>
  <si>
    <t>W/m*K</t>
  </si>
  <si>
    <t>J/kg.K</t>
  </si>
  <si>
    <t>Pr=</t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</si>
  <si>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(j/kgoC)</t>
    </r>
  </si>
  <si>
    <r>
      <t>k</t>
    </r>
    <r>
      <rPr>
        <vertAlign val="subscript"/>
        <sz val="11"/>
        <color theme="1"/>
        <rFont val="Calibri"/>
        <family val="2"/>
        <scheme val="minor"/>
      </rPr>
      <t xml:space="preserve">fb </t>
    </r>
    <r>
      <rPr>
        <sz val="11"/>
        <color theme="1"/>
        <rFont val="Calibri"/>
        <family val="2"/>
        <scheme val="minor"/>
      </rPr>
      <t>(w/m.oC)</t>
    </r>
  </si>
  <si>
    <t>Calculation of film heat transfer coeff in shell side, ho</t>
  </si>
  <si>
    <t>ho=</t>
  </si>
  <si>
    <t>0.36*ks*Res^.55*Pr^1/3/(De)</t>
  </si>
  <si>
    <t>c=viscosity at mean temp</t>
  </si>
  <si>
    <t>Satisfies</t>
  </si>
  <si>
    <t xml:space="preserve">The equation holds good if </t>
  </si>
  <si>
    <r>
      <t>2100&gt;R</t>
    </r>
    <r>
      <rPr>
        <vertAlign val="subscript"/>
        <sz val="11"/>
        <color theme="1"/>
        <rFont val="Calibri"/>
        <family val="2"/>
        <scheme val="minor"/>
      </rPr>
      <t>es</t>
    </r>
    <r>
      <rPr>
        <sz val="11"/>
        <color theme="1"/>
        <rFont val="Calibri"/>
        <family val="2"/>
        <scheme val="minor"/>
      </rPr>
      <t>&gt;1*10^6</t>
    </r>
  </si>
  <si>
    <t>Calculation of overall heat transfer</t>
  </si>
  <si>
    <t>Ro=</t>
  </si>
  <si>
    <t>Film HT coeff</t>
  </si>
  <si>
    <t>h.m2.K/kcal</t>
  </si>
  <si>
    <t>m2.K/W</t>
  </si>
  <si>
    <t>K/W</t>
  </si>
  <si>
    <t>Resist.of wall</t>
  </si>
  <si>
    <t>Fouling resist shell side, Rfi=</t>
  </si>
  <si>
    <t>Fouling resist tube side, Ro=</t>
  </si>
  <si>
    <t>1/Uc=</t>
  </si>
  <si>
    <t>Resistance</t>
  </si>
  <si>
    <t>Uc</t>
  </si>
  <si>
    <t>Fouled resistance</t>
  </si>
  <si>
    <t>W/m2.K</t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</si>
  <si>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*μ/k</t>
    </r>
    <r>
      <rPr>
        <vertAlign val="subscript"/>
        <sz val="11"/>
        <color theme="1"/>
        <rFont val="Calibri"/>
        <family val="2"/>
        <scheme val="minor"/>
      </rPr>
      <t>fb</t>
    </r>
  </si>
  <si>
    <t>f=</t>
  </si>
  <si>
    <t>f/2</t>
  </si>
  <si>
    <t>Nut</t>
  </si>
  <si>
    <t>(Ao/Ai)*ro*Ln (ro/ri)/k</t>
  </si>
  <si>
    <t>(Ao/Ai)*hi=</t>
  </si>
  <si>
    <t>(Ao/Ai)*ho=</t>
  </si>
  <si>
    <t>(Ao/Ai)*Rfi=</t>
  </si>
  <si>
    <t>Cp (J/kgdegC)</t>
  </si>
  <si>
    <t>Do</t>
  </si>
  <si>
    <t xml:space="preserve">Flow velocity,u </t>
  </si>
  <si>
    <t>Sp heat, Cp</t>
  </si>
  <si>
    <r>
      <t>conduct, k</t>
    </r>
    <r>
      <rPr>
        <vertAlign val="subscript"/>
        <sz val="11"/>
        <color theme="1"/>
        <rFont val="Calibri"/>
        <family val="2"/>
        <scheme val="minor"/>
      </rPr>
      <t>fb</t>
    </r>
  </si>
  <si>
    <r>
      <t>Calculating hi</t>
    </r>
    <r>
      <rPr>
        <sz val="11"/>
        <color rgb="FF2E2E2E"/>
        <rFont val="Arial"/>
        <family val="2"/>
      </rPr>
      <t> with this value of </t>
    </r>
    <r>
      <rPr>
        <i/>
        <sz val="11"/>
        <color rgb="FF2E2E2E"/>
        <rFont val="Arial"/>
        <family val="2"/>
      </rPr>
      <t>Nu</t>
    </r>
    <r>
      <rPr>
        <sz val="11"/>
        <color rgb="FF2E2E2E"/>
        <rFont val="Arial"/>
        <family val="2"/>
      </rPr>
      <t> </t>
    </r>
  </si>
  <si>
    <t>Table-A: Energy unit conversion</t>
  </si>
  <si>
    <t>Table-B: Power unit conversion</t>
  </si>
  <si>
    <t>Table-C: Pressure unit conversion</t>
  </si>
  <si>
    <t>heat transfer rate</t>
  </si>
  <si>
    <t xml:space="preserve">mass flow rate </t>
  </si>
  <si>
    <t>Specific heat of substance</t>
  </si>
  <si>
    <t xml:space="preserve">Change in Temp </t>
  </si>
  <si>
    <t>Inlet hot fluid temp.</t>
  </si>
  <si>
    <t>Outlet cold fluid temp</t>
  </si>
  <si>
    <t>Outlet hot fluid temp</t>
  </si>
  <si>
    <t>Inlet cold fluid temp</t>
  </si>
  <si>
    <t>[(T1 – t2) – (T2 – t1)]</t>
  </si>
  <si>
    <t>Numerator</t>
  </si>
  <si>
    <t>Denominator</t>
  </si>
  <si>
    <t>ln{(T1 – t2)/(T2 – t1)}</t>
  </si>
  <si>
    <t>Table-3: Calculation of Tube side heat transfer co-efficient</t>
  </si>
  <si>
    <t>Table-2 Calculation of Log mean Temp Difference, LMTD, ΔTm for obtaining surface Area</t>
  </si>
  <si>
    <t>Table-1: Calculation of required heat transfer rate (CW side)</t>
  </si>
  <si>
    <t>Ave shell side temp</t>
  </si>
  <si>
    <t>Tm</t>
  </si>
  <si>
    <r>
      <t>P</t>
    </r>
    <r>
      <rPr>
        <vertAlign val="subscript"/>
        <sz val="11"/>
        <color theme="1"/>
        <rFont val="Calibri"/>
        <family val="2"/>
        <scheme val="minor"/>
      </rPr>
      <t>rt</t>
    </r>
  </si>
  <si>
    <r>
      <t>R</t>
    </r>
    <r>
      <rPr>
        <vertAlign val="subscript"/>
        <sz val="11"/>
        <color theme="1"/>
        <rFont val="Calibri"/>
        <family val="2"/>
        <scheme val="minor"/>
      </rPr>
      <t>et</t>
    </r>
    <r>
      <rPr>
        <sz val="11"/>
        <color theme="1"/>
        <rFont val="Calibri"/>
        <family val="2"/>
        <scheme val="minor"/>
      </rPr>
      <t>=</t>
    </r>
  </si>
  <si>
    <r>
      <t>P</t>
    </r>
    <r>
      <rPr>
        <vertAlign val="subscript"/>
        <sz val="11"/>
        <color theme="1"/>
        <rFont val="Calibri"/>
        <family val="2"/>
        <scheme val="minor"/>
      </rPr>
      <t>rt</t>
    </r>
    <r>
      <rPr>
        <sz val="11"/>
        <color theme="1"/>
        <rFont val="Calibri"/>
        <family val="2"/>
        <scheme val="minor"/>
      </rPr>
      <t>=</t>
    </r>
  </si>
  <si>
    <t>Renold's no (tube side)</t>
  </si>
  <si>
    <t>Prandtl No (tube side)</t>
  </si>
  <si>
    <t>Nusselt no (tube side)</t>
  </si>
  <si>
    <t>Nut=(f/2)*Ret*Prt/[1.07+12.7(f/2)^.5*(Prt^2/3-1)] where f=(1.58lnRet-3.28)^-2</t>
  </si>
  <si>
    <t>Check of applicability of Equation [ Re&gt;2100 and μ&lt;2]</t>
  </si>
  <si>
    <t>Heat Exchanger Calculations E510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</si>
</sst>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8.8000000000000007"/>
      <color rgb="FF000000"/>
      <name val="Arial"/>
      <family val="2"/>
    </font>
    <font>
      <b/>
      <i/>
      <sz val="8.8000000000000007"/>
      <color rgb="FF000000"/>
      <name val="Arial"/>
      <family val="2"/>
    </font>
    <font>
      <b/>
      <i/>
      <vertAlign val="superscript"/>
      <sz val="8.8000000000000007"/>
      <color rgb="FF000000"/>
      <name val="Arial"/>
      <family val="2"/>
    </font>
    <font>
      <sz val="8.8000000000000007"/>
      <color rgb="FF000000"/>
      <name val="Arial"/>
      <family val="2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rgb="FF2E2E2E"/>
      <name val="Arial"/>
      <family val="2"/>
    </font>
    <font>
      <sz val="11"/>
      <color rgb="FF2E2E2E"/>
      <name val="Arial"/>
      <family val="2"/>
    </font>
    <font>
      <u/>
      <sz val="11"/>
      <color theme="1"/>
      <name val="Calibri"/>
      <family val="2"/>
      <scheme val="minor"/>
    </font>
    <font>
      <sz val="13.5"/>
      <color rgb="FF41404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0C0C0"/>
      </right>
      <top style="thick">
        <color rgb="FFC0C0C0"/>
      </top>
      <bottom/>
      <diagonal/>
    </border>
    <border>
      <left style="medium">
        <color rgb="FFC0C0C0"/>
      </left>
      <right style="medium">
        <color rgb="FFC0C0C0"/>
      </right>
      <top style="thick">
        <color rgb="FFC0C0C0"/>
      </top>
      <bottom/>
      <diagonal/>
    </border>
    <border>
      <left style="thick">
        <color rgb="FFC0C0C0"/>
      </left>
      <right style="medium">
        <color rgb="FFC0C0C0"/>
      </right>
      <top/>
      <bottom/>
      <diagonal/>
    </border>
    <border>
      <left style="thick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thick">
        <color rgb="FFC0C0C0"/>
      </bottom>
      <diagonal/>
    </border>
    <border>
      <left style="medium">
        <color rgb="FFC0C0C0"/>
      </left>
      <right style="thick">
        <color rgb="FFC0C0C0"/>
      </right>
      <top style="thick">
        <color rgb="FFC0C0C0"/>
      </top>
      <bottom/>
      <diagonal/>
    </border>
    <border>
      <left style="medium">
        <color rgb="FFC0C0C0"/>
      </left>
      <right style="thick">
        <color rgb="FFC0C0C0"/>
      </right>
      <top/>
      <bottom/>
      <diagonal/>
    </border>
    <border>
      <left style="medium">
        <color rgb="FFC0C0C0"/>
      </left>
      <right style="thick">
        <color rgb="FFC0C0C0"/>
      </right>
      <top/>
      <bottom style="medium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1" fillId="0" borderId="0" xfId="0" applyFont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28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7" fillId="0" borderId="0" xfId="1" applyAlignment="1">
      <alignment horizontal="left" vertical="center" wrapText="1" indent="1"/>
    </xf>
    <xf numFmtId="2" fontId="0" fillId="0" borderId="1" xfId="0" applyNumberFormat="1" applyBorder="1"/>
    <xf numFmtId="0" fontId="0" fillId="0" borderId="41" xfId="0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12" fillId="0" borderId="0" xfId="0" applyFont="1"/>
    <xf numFmtId="11" fontId="0" fillId="0" borderId="0" xfId="0" applyNumberFormat="1"/>
    <xf numFmtId="0" fontId="0" fillId="0" borderId="0" xfId="0" applyBorder="1"/>
    <xf numFmtId="0" fontId="13" fillId="0" borderId="0" xfId="0" applyFont="1" applyAlignment="1">
      <alignment vertical="center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165" fontId="0" fillId="0" borderId="0" xfId="0" applyNumberFormat="1"/>
    <xf numFmtId="0" fontId="0" fillId="3" borderId="0" xfId="0" applyFill="1"/>
    <xf numFmtId="0" fontId="0" fillId="0" borderId="1" xfId="0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7" fillId="0" borderId="0" xfId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0" borderId="41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0" fillId="0" borderId="1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46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1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3" borderId="41" xfId="0" applyFill="1" applyBorder="1" applyAlignment="1">
      <alignment horizontal="left"/>
    </xf>
    <xf numFmtId="0" fontId="0" fillId="3" borderId="43" xfId="0" applyFill="1" applyBorder="1" applyAlignment="1">
      <alignment horizontal="left"/>
    </xf>
    <xf numFmtId="0" fontId="3" fillId="0" borderId="29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110</xdr:row>
      <xdr:rowOff>0</xdr:rowOff>
    </xdr:from>
    <xdr:to>
      <xdr:col>8</xdr:col>
      <xdr:colOff>304800</xdr:colOff>
      <xdr:row>111</xdr:row>
      <xdr:rowOff>114300</xdr:rowOff>
    </xdr:to>
    <xdr:sp macro="" textlink="">
      <xdr:nvSpPr>
        <xdr:cNvPr id="1025" name="AutoShape 1" descr="Related image"/>
        <xdr:cNvSpPr>
          <a:spLocks noChangeAspect="1" noChangeArrowheads="1"/>
        </xdr:cNvSpPr>
      </xdr:nvSpPr>
      <xdr:spPr bwMode="auto">
        <a:xfrm>
          <a:off x="550545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122233</xdr:colOff>
      <xdr:row>33</xdr:row>
      <xdr:rowOff>9524</xdr:rowOff>
    </xdr:from>
    <xdr:to>
      <xdr:col>13</xdr:col>
      <xdr:colOff>91063</xdr:colOff>
      <xdr:row>61</xdr:row>
      <xdr:rowOff>95249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4258" y="6724649"/>
          <a:ext cx="4026480" cy="541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137</xdr:row>
      <xdr:rowOff>9525</xdr:rowOff>
    </xdr:from>
    <xdr:to>
      <xdr:col>13</xdr:col>
      <xdr:colOff>180975</xdr:colOff>
      <xdr:row>170</xdr:row>
      <xdr:rowOff>85725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32661225"/>
          <a:ext cx="5476875" cy="643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533400</xdr:colOff>
      <xdr:row>172</xdr:row>
      <xdr:rowOff>85725</xdr:rowOff>
    </xdr:from>
    <xdr:to>
      <xdr:col>12</xdr:col>
      <xdr:colOff>247650</xdr:colOff>
      <xdr:row>190</xdr:row>
      <xdr:rowOff>28575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0" y="39519225"/>
          <a:ext cx="4457700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180976</xdr:colOff>
      <xdr:row>191</xdr:row>
      <xdr:rowOff>28975</xdr:rowOff>
    </xdr:from>
    <xdr:to>
      <xdr:col>12</xdr:col>
      <xdr:colOff>238126</xdr:colOff>
      <xdr:row>204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9826" y="43234375"/>
          <a:ext cx="4800600" cy="259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ngineeringtoolbox.com/thermal-conductivity-calculator-d_85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3"/>
  <sheetViews>
    <sheetView tabSelected="1" workbookViewId="0">
      <selection activeCell="C112" sqref="C112"/>
    </sheetView>
  </sheetViews>
  <sheetFormatPr defaultRowHeight="15" x14ac:dyDescent="0.25"/>
  <cols>
    <col min="2" max="2" width="15.85546875" customWidth="1"/>
    <col min="3" max="3" width="22.5703125" customWidth="1"/>
    <col min="4" max="4" width="30.7109375" customWidth="1"/>
    <col min="5" max="5" width="14" customWidth="1"/>
    <col min="6" max="7" width="11.85546875" customWidth="1"/>
    <col min="8" max="8" width="12.7109375" customWidth="1"/>
    <col min="11" max="11" width="12.7109375" customWidth="1"/>
    <col min="12" max="12" width="15.5703125" customWidth="1"/>
    <col min="13" max="13" width="14.28515625" customWidth="1"/>
    <col min="17" max="17" width="14.42578125" customWidth="1"/>
    <col min="18" max="18" width="18.42578125" customWidth="1"/>
  </cols>
  <sheetData>
    <row r="1" spans="2:13" x14ac:dyDescent="0.25">
      <c r="B1" t="s">
        <v>391</v>
      </c>
    </row>
    <row r="2" spans="2:13" ht="15.75" thickBot="1" x14ac:dyDescent="0.3">
      <c r="B2" s="14" t="s">
        <v>363</v>
      </c>
    </row>
    <row r="3" spans="2:13" x14ac:dyDescent="0.25">
      <c r="B3" s="3">
        <v>1</v>
      </c>
      <c r="C3" s="4" t="s">
        <v>0</v>
      </c>
      <c r="D3" s="4">
        <v>1055</v>
      </c>
      <c r="E3" s="13" t="s">
        <v>1</v>
      </c>
      <c r="I3" s="15" t="s">
        <v>67</v>
      </c>
      <c r="J3" s="16"/>
      <c r="K3" s="16"/>
      <c r="L3" s="18" t="s">
        <v>357</v>
      </c>
      <c r="M3" s="17" t="s">
        <v>68</v>
      </c>
    </row>
    <row r="4" spans="2:13" ht="17.25" x14ac:dyDescent="0.25">
      <c r="B4" s="11"/>
      <c r="C4" s="1"/>
      <c r="D4" s="1">
        <v>1.0549999999999999</v>
      </c>
      <c r="E4" s="12" t="s">
        <v>2</v>
      </c>
      <c r="I4" s="19" t="s">
        <v>76</v>
      </c>
      <c r="J4" s="20"/>
      <c r="K4" s="20"/>
      <c r="L4" s="20">
        <v>2.2999999999999998</v>
      </c>
      <c r="M4" s="21">
        <v>0.55000000000000004</v>
      </c>
    </row>
    <row r="5" spans="2:13" ht="17.25" x14ac:dyDescent="0.25">
      <c r="B5" s="11"/>
      <c r="C5" s="1"/>
      <c r="D5" s="1">
        <v>0.25209999999999999</v>
      </c>
      <c r="E5" s="12" t="s">
        <v>3</v>
      </c>
      <c r="I5" s="22" t="s">
        <v>77</v>
      </c>
      <c r="J5" s="23"/>
      <c r="K5" s="23"/>
      <c r="L5" s="23">
        <v>4.8600000000000003</v>
      </c>
      <c r="M5" s="24">
        <v>1.1599999999999999</v>
      </c>
    </row>
    <row r="6" spans="2:13" x14ac:dyDescent="0.25">
      <c r="B6" s="11"/>
      <c r="C6" s="1"/>
      <c r="D6" s="1">
        <v>107.7</v>
      </c>
      <c r="E6" s="12" t="s">
        <v>4</v>
      </c>
      <c r="I6" s="22" t="s">
        <v>49</v>
      </c>
      <c r="J6" s="23"/>
      <c r="K6" s="23"/>
      <c r="L6" s="23">
        <v>1.8</v>
      </c>
      <c r="M6" s="24">
        <v>0.43</v>
      </c>
    </row>
    <row r="7" spans="2:13" x14ac:dyDescent="0.25">
      <c r="B7" s="11"/>
      <c r="C7" s="1"/>
      <c r="D7" s="1">
        <v>778.7</v>
      </c>
      <c r="E7" s="12" t="s">
        <v>5</v>
      </c>
      <c r="I7" s="22" t="s">
        <v>50</v>
      </c>
      <c r="J7" s="23"/>
      <c r="K7" s="23"/>
      <c r="L7" s="23">
        <v>1.55</v>
      </c>
      <c r="M7" s="24">
        <v>0.37</v>
      </c>
    </row>
    <row r="8" spans="2:13" ht="17.25" x14ac:dyDescent="0.25">
      <c r="B8" s="11">
        <v>1</v>
      </c>
      <c r="C8" s="1" t="s">
        <v>6</v>
      </c>
      <c r="D8" s="1">
        <v>4.18</v>
      </c>
      <c r="E8" s="12" t="s">
        <v>7</v>
      </c>
      <c r="I8" s="22" t="s">
        <v>78</v>
      </c>
      <c r="J8" s="23"/>
      <c r="K8" s="23"/>
      <c r="L8" s="23">
        <v>0.91</v>
      </c>
      <c r="M8" s="24">
        <v>0.217</v>
      </c>
    </row>
    <row r="9" spans="2:13" x14ac:dyDescent="0.25">
      <c r="B9" s="11"/>
      <c r="C9" s="1"/>
      <c r="D9" s="1">
        <v>3.96E-3</v>
      </c>
      <c r="E9" s="12" t="s">
        <v>8</v>
      </c>
      <c r="I9" s="22" t="s">
        <v>51</v>
      </c>
      <c r="J9" s="23"/>
      <c r="K9" s="23"/>
      <c r="L9" s="23">
        <v>2.09</v>
      </c>
      <c r="M9" s="24">
        <v>0.5</v>
      </c>
    </row>
    <row r="10" spans="2:13" x14ac:dyDescent="0.25">
      <c r="B10" s="11"/>
      <c r="C10" s="1"/>
      <c r="D10" s="1">
        <v>1.1599999999999999E-6</v>
      </c>
      <c r="E10" s="12" t="s">
        <v>9</v>
      </c>
      <c r="I10" s="22" t="s">
        <v>52</v>
      </c>
      <c r="J10" s="23"/>
      <c r="K10" s="23"/>
      <c r="L10" s="23">
        <v>2.2200000000000002</v>
      </c>
      <c r="M10" s="24">
        <v>0.53</v>
      </c>
    </row>
    <row r="11" spans="2:13" ht="15.75" thickBot="1" x14ac:dyDescent="0.3">
      <c r="B11" s="6">
        <v>1</v>
      </c>
      <c r="C11" s="7" t="s">
        <v>10</v>
      </c>
      <c r="D11" s="7">
        <v>3.9603999999999999</v>
      </c>
      <c r="E11" s="8" t="s">
        <v>8</v>
      </c>
      <c r="I11" s="22"/>
      <c r="J11" s="23"/>
      <c r="K11" s="23"/>
      <c r="L11" s="23"/>
      <c r="M11" s="24"/>
    </row>
    <row r="12" spans="2:13" ht="15.75" thickBot="1" x14ac:dyDescent="0.3">
      <c r="B12" s="14" t="s">
        <v>364</v>
      </c>
      <c r="I12" s="22" t="s">
        <v>53</v>
      </c>
      <c r="J12" s="23"/>
      <c r="K12" s="23"/>
      <c r="L12" s="23">
        <v>2.2400000000000002</v>
      </c>
      <c r="M12" s="24">
        <v>0.53500000000000003</v>
      </c>
    </row>
    <row r="13" spans="2:13" x14ac:dyDescent="0.25">
      <c r="B13" s="3">
        <v>1</v>
      </c>
      <c r="C13" s="4" t="s">
        <v>20</v>
      </c>
      <c r="D13" s="4">
        <v>1E-3</v>
      </c>
      <c r="E13" s="13" t="s">
        <v>11</v>
      </c>
      <c r="I13" s="22" t="s">
        <v>54</v>
      </c>
      <c r="J13" s="23"/>
      <c r="K13" s="23"/>
      <c r="L13" s="23">
        <v>2.0099999999999998</v>
      </c>
      <c r="M13" s="24">
        <v>0.48</v>
      </c>
    </row>
    <row r="14" spans="2:13" x14ac:dyDescent="0.25">
      <c r="B14" s="11"/>
      <c r="C14" s="1"/>
      <c r="D14" s="1">
        <v>1.34E-3</v>
      </c>
      <c r="E14" s="12" t="s">
        <v>12</v>
      </c>
      <c r="I14" s="22" t="s">
        <v>55</v>
      </c>
      <c r="J14" s="23"/>
      <c r="K14" s="23"/>
      <c r="L14" s="23">
        <v>0.129</v>
      </c>
      <c r="M14" s="24">
        <v>3.0800000000000001E-2</v>
      </c>
    </row>
    <row r="15" spans="2:13" ht="17.25" x14ac:dyDescent="0.25">
      <c r="B15" s="11"/>
      <c r="C15" s="1"/>
      <c r="D15" s="1">
        <v>1.02E-4</v>
      </c>
      <c r="E15" s="12" t="s">
        <v>13</v>
      </c>
      <c r="I15" s="22" t="s">
        <v>79</v>
      </c>
      <c r="J15" s="23"/>
      <c r="K15" s="23"/>
      <c r="L15" s="23">
        <v>1.8</v>
      </c>
      <c r="M15" s="24">
        <v>0.43</v>
      </c>
    </row>
    <row r="16" spans="2:13" ht="17.25" x14ac:dyDescent="0.25">
      <c r="B16" s="11"/>
      <c r="C16" s="1"/>
      <c r="D16" s="1">
        <v>2.387E-4</v>
      </c>
      <c r="E16" s="12" t="s">
        <v>14</v>
      </c>
      <c r="I16" s="22" t="s">
        <v>80</v>
      </c>
      <c r="J16" s="23"/>
      <c r="K16" s="23"/>
      <c r="L16" s="23">
        <v>2.2999999999999998</v>
      </c>
      <c r="M16" s="24">
        <v>0.54</v>
      </c>
    </row>
    <row r="17" spans="2:13" x14ac:dyDescent="0.25">
      <c r="B17" s="11"/>
      <c r="C17" s="1"/>
      <c r="D17" s="1">
        <v>0.10199999999999999</v>
      </c>
      <c r="E17" s="12" t="s">
        <v>15</v>
      </c>
      <c r="I17" s="22" t="s">
        <v>56</v>
      </c>
      <c r="J17" s="23"/>
      <c r="K17" s="23"/>
      <c r="L17" s="23">
        <v>0.14000000000000001</v>
      </c>
      <c r="M17" s="24">
        <v>0.03</v>
      </c>
    </row>
    <row r="18" spans="2:13" x14ac:dyDescent="0.25">
      <c r="B18" s="11"/>
      <c r="C18" s="1"/>
      <c r="D18" s="1">
        <v>0.73750000000000004</v>
      </c>
      <c r="E18" s="12" t="s">
        <v>16</v>
      </c>
      <c r="I18" s="22" t="s">
        <v>57</v>
      </c>
      <c r="J18" s="23"/>
      <c r="K18" s="23"/>
      <c r="L18" s="23">
        <v>2.15</v>
      </c>
      <c r="M18" s="24">
        <v>0.51</v>
      </c>
    </row>
    <row r="19" spans="2:13" x14ac:dyDescent="0.25">
      <c r="B19" s="11"/>
      <c r="C19" s="1"/>
      <c r="D19" s="1">
        <v>44.2</v>
      </c>
      <c r="E19" s="12" t="s">
        <v>17</v>
      </c>
      <c r="I19" s="22" t="s">
        <v>58</v>
      </c>
      <c r="J19" s="23"/>
      <c r="K19" s="23"/>
      <c r="L19" s="23">
        <v>1.67</v>
      </c>
      <c r="M19" s="24">
        <v>0.4</v>
      </c>
    </row>
    <row r="20" spans="2:13" x14ac:dyDescent="0.25">
      <c r="B20" s="11"/>
      <c r="C20" s="1"/>
      <c r="D20" s="1">
        <v>9.4799999999999995E-4</v>
      </c>
      <c r="E20" s="12" t="s">
        <v>18</v>
      </c>
      <c r="I20" s="22" t="s">
        <v>59</v>
      </c>
      <c r="J20" s="23"/>
      <c r="K20" s="23"/>
      <c r="L20" s="23">
        <v>1.97</v>
      </c>
      <c r="M20" s="24">
        <v>0.47</v>
      </c>
    </row>
    <row r="21" spans="2:13" ht="15.75" thickBot="1" x14ac:dyDescent="0.3">
      <c r="B21" s="6"/>
      <c r="C21" s="7"/>
      <c r="D21" s="7">
        <v>2.8400000000000002E-4</v>
      </c>
      <c r="E21" s="8" t="s">
        <v>19</v>
      </c>
      <c r="I21" s="22" t="s">
        <v>60</v>
      </c>
      <c r="J21" s="23"/>
      <c r="K21" s="23"/>
      <c r="L21" s="23">
        <v>2.13</v>
      </c>
      <c r="M21" s="24">
        <v>0.51</v>
      </c>
    </row>
    <row r="22" spans="2:13" ht="18" thickBot="1" x14ac:dyDescent="0.3">
      <c r="B22" s="14" t="s">
        <v>365</v>
      </c>
      <c r="I22" s="22" t="s">
        <v>81</v>
      </c>
      <c r="J22" s="23"/>
      <c r="K22" s="23"/>
      <c r="L22" s="23">
        <v>2.4</v>
      </c>
      <c r="M22" s="24">
        <v>0.57599999999999996</v>
      </c>
    </row>
    <row r="23" spans="2:13" ht="30" customHeight="1" x14ac:dyDescent="0.25">
      <c r="B23" s="3" t="s">
        <v>28</v>
      </c>
      <c r="C23" s="4" t="s">
        <v>29</v>
      </c>
      <c r="D23" s="4" t="s">
        <v>22</v>
      </c>
      <c r="E23" s="4" t="s">
        <v>24</v>
      </c>
      <c r="F23" s="4" t="s">
        <v>26</v>
      </c>
      <c r="G23" s="5" t="s">
        <v>31</v>
      </c>
      <c r="I23" s="22" t="s">
        <v>61</v>
      </c>
      <c r="J23" s="23"/>
      <c r="K23" s="23"/>
      <c r="L23" s="23">
        <v>2.5</v>
      </c>
      <c r="M23" s="24">
        <v>0.6</v>
      </c>
    </row>
    <row r="24" spans="2:13" ht="15.75" thickBot="1" x14ac:dyDescent="0.3">
      <c r="B24" s="6"/>
      <c r="C24" s="7" t="s">
        <v>21</v>
      </c>
      <c r="D24" s="7" t="s">
        <v>23</v>
      </c>
      <c r="E24" s="7" t="s">
        <v>25</v>
      </c>
      <c r="F24" s="7" t="s">
        <v>27</v>
      </c>
      <c r="G24" s="8" t="s">
        <v>30</v>
      </c>
      <c r="I24" s="22" t="s">
        <v>62</v>
      </c>
      <c r="J24" s="23"/>
      <c r="K24" s="23"/>
      <c r="L24" s="23">
        <v>3.31</v>
      </c>
      <c r="M24" s="24">
        <v>0.79</v>
      </c>
    </row>
    <row r="25" spans="2:13" x14ac:dyDescent="0.25">
      <c r="B25" s="9"/>
      <c r="C25" s="2"/>
      <c r="D25" s="2"/>
      <c r="E25" s="2"/>
      <c r="F25" s="2"/>
      <c r="G25" s="10"/>
      <c r="I25" s="22" t="s">
        <v>63</v>
      </c>
      <c r="J25" s="23"/>
      <c r="K25" s="23"/>
      <c r="L25" s="23">
        <v>1.97</v>
      </c>
      <c r="M25" s="24">
        <v>0.47</v>
      </c>
    </row>
    <row r="26" spans="2:13" x14ac:dyDescent="0.25">
      <c r="B26" s="11" t="s">
        <v>32</v>
      </c>
      <c r="C26" s="1" t="s">
        <v>33</v>
      </c>
      <c r="D26" s="1">
        <v>1.0000000000000001E-5</v>
      </c>
      <c r="E26" s="1">
        <v>9.8670000000000006E-6</v>
      </c>
      <c r="F26" s="1">
        <v>7.5005999999999996E-3</v>
      </c>
      <c r="G26" s="12">
        <v>1.45E-4</v>
      </c>
      <c r="I26" s="22" t="s">
        <v>64</v>
      </c>
      <c r="J26" s="23"/>
      <c r="K26" s="23"/>
      <c r="L26" s="23">
        <v>1.72</v>
      </c>
      <c r="M26" s="24">
        <v>0.41</v>
      </c>
    </row>
    <row r="27" spans="2:13" x14ac:dyDescent="0.25">
      <c r="B27" s="11" t="s">
        <v>34</v>
      </c>
      <c r="C27" s="1">
        <v>100000</v>
      </c>
      <c r="D27" s="1" t="s">
        <v>35</v>
      </c>
      <c r="E27" s="1">
        <v>0.98670000000000002</v>
      </c>
      <c r="F27" s="1">
        <v>750</v>
      </c>
      <c r="G27" s="12">
        <v>14.5</v>
      </c>
      <c r="I27" s="22" t="s">
        <v>65</v>
      </c>
      <c r="J27" s="23"/>
      <c r="K27" s="23"/>
      <c r="L27" s="23">
        <v>4.1900000000000004</v>
      </c>
      <c r="M27" s="24">
        <v>1</v>
      </c>
    </row>
    <row r="28" spans="2:13" x14ac:dyDescent="0.25">
      <c r="B28" s="11" t="s">
        <v>36</v>
      </c>
      <c r="C28" s="1">
        <v>98066</v>
      </c>
      <c r="D28" s="1">
        <v>0.98066500000000001</v>
      </c>
      <c r="E28" s="1">
        <v>0.96799999999999997</v>
      </c>
      <c r="F28" s="1">
        <v>735.5</v>
      </c>
      <c r="G28" s="12">
        <v>14.223000000000001</v>
      </c>
      <c r="I28" s="25" t="s">
        <v>66</v>
      </c>
      <c r="J28" s="26"/>
      <c r="K28" s="26"/>
      <c r="L28" s="26">
        <v>3.93</v>
      </c>
      <c r="M28" s="27">
        <v>0.94</v>
      </c>
    </row>
    <row r="29" spans="2:13" x14ac:dyDescent="0.25">
      <c r="B29" s="11" t="s">
        <v>37</v>
      </c>
      <c r="C29" s="1">
        <v>101325</v>
      </c>
      <c r="D29" s="1">
        <v>1.01325</v>
      </c>
      <c r="E29" s="1" t="s">
        <v>38</v>
      </c>
      <c r="F29" s="1">
        <v>760</v>
      </c>
      <c r="G29" s="12">
        <v>14.7</v>
      </c>
    </row>
    <row r="30" spans="2:13" x14ac:dyDescent="0.25">
      <c r="B30" s="11" t="s">
        <v>39</v>
      </c>
      <c r="C30" s="1">
        <v>133.322</v>
      </c>
      <c r="D30" s="1">
        <v>1.3332E-2</v>
      </c>
      <c r="E30" s="1">
        <v>1.3158E-3</v>
      </c>
      <c r="F30" s="1" t="s">
        <v>40</v>
      </c>
      <c r="G30" s="12">
        <v>1.9300000000000001E-2</v>
      </c>
    </row>
    <row r="31" spans="2:13" ht="15.75" thickBot="1" x14ac:dyDescent="0.3">
      <c r="B31" s="6" t="s">
        <v>41</v>
      </c>
      <c r="C31" s="7">
        <v>6.894E-3</v>
      </c>
      <c r="D31" s="7">
        <v>6.8947999999999995E-2</v>
      </c>
      <c r="E31" s="7">
        <v>6.8045999999999995E-2</v>
      </c>
      <c r="F31" s="7">
        <v>51.72</v>
      </c>
      <c r="G31" s="8" t="s">
        <v>42</v>
      </c>
    </row>
    <row r="33" spans="2:9" x14ac:dyDescent="0.25">
      <c r="B33" s="65" t="s">
        <v>380</v>
      </c>
      <c r="C33" s="1"/>
      <c r="D33" s="1"/>
      <c r="E33" s="1"/>
    </row>
    <row r="34" spans="2:9" x14ac:dyDescent="0.25">
      <c r="B34" s="1" t="s">
        <v>43</v>
      </c>
      <c r="C34" s="1"/>
      <c r="D34" s="1"/>
      <c r="E34" s="1"/>
      <c r="I34" s="51"/>
    </row>
    <row r="35" spans="2:9" x14ac:dyDescent="0.25">
      <c r="B35" s="1" t="s">
        <v>44</v>
      </c>
      <c r="C35" s="1"/>
      <c r="D35" s="1"/>
      <c r="E35" s="1"/>
    </row>
    <row r="36" spans="2:9" x14ac:dyDescent="0.25">
      <c r="B36" s="1" t="s">
        <v>45</v>
      </c>
      <c r="C36" s="1" t="s">
        <v>366</v>
      </c>
      <c r="D36" s="1" t="s">
        <v>90</v>
      </c>
      <c r="E36" s="1">
        <f>E37*E38*E39/1000000</f>
        <v>18.482959999999999</v>
      </c>
    </row>
    <row r="37" spans="2:9" x14ac:dyDescent="0.25">
      <c r="B37" s="1" t="s">
        <v>46</v>
      </c>
      <c r="C37" s="1" t="s">
        <v>367</v>
      </c>
      <c r="D37" s="1" t="s">
        <v>92</v>
      </c>
      <c r="E37" s="1">
        <v>1852000</v>
      </c>
    </row>
    <row r="38" spans="2:9" x14ac:dyDescent="0.25">
      <c r="B38" s="1" t="s">
        <v>47</v>
      </c>
      <c r="C38" s="1" t="s">
        <v>368</v>
      </c>
      <c r="D38" s="1" t="s">
        <v>93</v>
      </c>
      <c r="E38" s="1">
        <v>0.998</v>
      </c>
    </row>
    <row r="39" spans="2:9" x14ac:dyDescent="0.25">
      <c r="B39" s="1" t="s">
        <v>48</v>
      </c>
      <c r="C39" s="1" t="s">
        <v>369</v>
      </c>
      <c r="D39" s="1" t="s">
        <v>94</v>
      </c>
      <c r="E39" s="1">
        <v>10</v>
      </c>
    </row>
    <row r="42" spans="2:9" x14ac:dyDescent="0.25">
      <c r="B42" s="65" t="s">
        <v>379</v>
      </c>
      <c r="C42" s="1"/>
      <c r="D42" s="1"/>
      <c r="E42" s="1"/>
    </row>
    <row r="43" spans="2:9" x14ac:dyDescent="0.25">
      <c r="B43" s="1" t="s">
        <v>74</v>
      </c>
      <c r="C43" s="1" t="s">
        <v>75</v>
      </c>
      <c r="D43" s="1"/>
      <c r="E43" s="1"/>
    </row>
    <row r="44" spans="2:9" x14ac:dyDescent="0.25">
      <c r="B44" s="1" t="s">
        <v>44</v>
      </c>
      <c r="C44" s="1"/>
      <c r="D44" s="1"/>
      <c r="E44" s="1"/>
    </row>
    <row r="45" spans="2:9" x14ac:dyDescent="0.25">
      <c r="B45" s="1" t="s">
        <v>73</v>
      </c>
      <c r="C45" s="1" t="s">
        <v>88</v>
      </c>
      <c r="D45" s="1"/>
      <c r="E45" s="1"/>
    </row>
    <row r="46" spans="2:9" x14ac:dyDescent="0.25">
      <c r="B46" s="1" t="s">
        <v>69</v>
      </c>
      <c r="C46" s="1" t="s">
        <v>370</v>
      </c>
      <c r="D46" s="1" t="s">
        <v>94</v>
      </c>
      <c r="E46" s="1">
        <v>121</v>
      </c>
    </row>
    <row r="47" spans="2:9" x14ac:dyDescent="0.25">
      <c r="B47" s="1" t="s">
        <v>70</v>
      </c>
      <c r="C47" s="1" t="s">
        <v>371</v>
      </c>
      <c r="D47" s="1" t="s">
        <v>94</v>
      </c>
      <c r="E47" s="1">
        <v>45</v>
      </c>
    </row>
    <row r="48" spans="2:9" x14ac:dyDescent="0.25">
      <c r="B48" s="1" t="s">
        <v>71</v>
      </c>
      <c r="C48" s="1" t="s">
        <v>372</v>
      </c>
      <c r="D48" s="1" t="s">
        <v>94</v>
      </c>
      <c r="E48" s="1">
        <v>43</v>
      </c>
    </row>
    <row r="49" spans="2:5" x14ac:dyDescent="0.25">
      <c r="B49" s="1" t="s">
        <v>72</v>
      </c>
      <c r="C49" s="1" t="s">
        <v>373</v>
      </c>
      <c r="D49" s="1" t="s">
        <v>94</v>
      </c>
      <c r="E49" s="1">
        <v>35</v>
      </c>
    </row>
    <row r="50" spans="2:5" x14ac:dyDescent="0.25">
      <c r="B50" s="1" t="s">
        <v>382</v>
      </c>
      <c r="C50" s="1" t="s">
        <v>381</v>
      </c>
      <c r="D50" s="1" t="s">
        <v>94</v>
      </c>
      <c r="E50" s="1">
        <v>82</v>
      </c>
    </row>
    <row r="51" spans="2:5" x14ac:dyDescent="0.25">
      <c r="B51" s="1" t="s">
        <v>101</v>
      </c>
      <c r="C51" s="1" t="s">
        <v>99</v>
      </c>
      <c r="D51" s="1" t="s">
        <v>94</v>
      </c>
      <c r="E51" s="1">
        <f>E46-E47</f>
        <v>76</v>
      </c>
    </row>
    <row r="52" spans="2:5" x14ac:dyDescent="0.25">
      <c r="B52" s="1" t="s">
        <v>102</v>
      </c>
      <c r="C52" s="1" t="s">
        <v>100</v>
      </c>
      <c r="D52" s="1" t="s">
        <v>94</v>
      </c>
      <c r="E52" s="1">
        <f>E48-E49</f>
        <v>8</v>
      </c>
    </row>
    <row r="53" spans="2:5" x14ac:dyDescent="0.25">
      <c r="B53" s="1"/>
      <c r="C53" s="1"/>
      <c r="D53" s="1"/>
      <c r="E53" s="1"/>
    </row>
    <row r="54" spans="2:5" x14ac:dyDescent="0.25">
      <c r="B54" s="1" t="s">
        <v>375</v>
      </c>
      <c r="C54" s="1" t="s">
        <v>374</v>
      </c>
      <c r="D54" s="1" t="s">
        <v>97</v>
      </c>
      <c r="E54" s="1">
        <f>(35-43)-(45-121)</f>
        <v>68</v>
      </c>
    </row>
    <row r="55" spans="2:5" x14ac:dyDescent="0.25">
      <c r="B55" s="1" t="s">
        <v>376</v>
      </c>
      <c r="C55" s="1" t="s">
        <v>377</v>
      </c>
      <c r="D55" s="1" t="s">
        <v>98</v>
      </c>
      <c r="E55" s="1">
        <f>LN(E51/E52)</f>
        <v>2.2512917986064953</v>
      </c>
    </row>
    <row r="56" spans="2:5" x14ac:dyDescent="0.25">
      <c r="B56" s="1"/>
      <c r="C56" s="1"/>
      <c r="D56" s="1"/>
      <c r="E56" s="1"/>
    </row>
    <row r="57" spans="2:5" x14ac:dyDescent="0.25">
      <c r="B57" s="1" t="s">
        <v>74</v>
      </c>
      <c r="C57" s="1"/>
      <c r="D57" s="1"/>
      <c r="E57" s="1">
        <f>E54/E55</f>
        <v>30.204880612140393</v>
      </c>
    </row>
    <row r="61" spans="2:5" x14ac:dyDescent="0.25">
      <c r="B61" t="s">
        <v>115</v>
      </c>
      <c r="D61" t="s">
        <v>116</v>
      </c>
      <c r="E61">
        <v>2.0000000000000001E-4</v>
      </c>
    </row>
    <row r="62" spans="2:5" x14ac:dyDescent="0.25">
      <c r="B62" t="s">
        <v>114</v>
      </c>
      <c r="D62" t="s">
        <v>116</v>
      </c>
      <c r="E62">
        <v>4.0000000000000002E-4</v>
      </c>
    </row>
    <row r="66" spans="2:7" x14ac:dyDescent="0.25">
      <c r="B66" s="68" t="s">
        <v>378</v>
      </c>
      <c r="C66" s="69"/>
      <c r="D66" s="69"/>
      <c r="E66" s="69"/>
      <c r="F66" s="69"/>
      <c r="G66" s="70"/>
    </row>
    <row r="67" spans="2:7" x14ac:dyDescent="0.25">
      <c r="B67" s="1" t="s">
        <v>82</v>
      </c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 t="s">
        <v>279</v>
      </c>
      <c r="G68" s="1" t="s">
        <v>280</v>
      </c>
    </row>
    <row r="69" spans="2:7" x14ac:dyDescent="0.25">
      <c r="B69" s="1" t="s">
        <v>83</v>
      </c>
      <c r="C69" s="1"/>
      <c r="D69" s="1" t="s">
        <v>232</v>
      </c>
      <c r="E69" s="1" t="s">
        <v>84</v>
      </c>
      <c r="F69" s="1">
        <v>1387</v>
      </c>
      <c r="G69" s="1">
        <v>1388</v>
      </c>
    </row>
    <row r="70" spans="2:7" x14ac:dyDescent="0.25">
      <c r="B70" s="1" t="s">
        <v>85</v>
      </c>
      <c r="C70" s="1"/>
      <c r="D70" s="1" t="s">
        <v>231</v>
      </c>
      <c r="E70" s="1" t="s">
        <v>358</v>
      </c>
      <c r="F70" s="1">
        <v>19.05</v>
      </c>
      <c r="G70" s="1"/>
    </row>
    <row r="71" spans="2:7" x14ac:dyDescent="0.25">
      <c r="B71" s="1" t="s">
        <v>237</v>
      </c>
      <c r="C71" s="1"/>
      <c r="D71" s="1" t="s">
        <v>231</v>
      </c>
      <c r="E71" s="1" t="s">
        <v>238</v>
      </c>
      <c r="F71" s="1">
        <f>F70-4.22</f>
        <v>14.830000000000002</v>
      </c>
      <c r="G71" s="1"/>
    </row>
    <row r="72" spans="2:7" x14ac:dyDescent="0.25">
      <c r="B72" s="71" t="s">
        <v>246</v>
      </c>
      <c r="C72" s="72"/>
      <c r="D72" s="46" t="s">
        <v>247</v>
      </c>
      <c r="E72" s="1"/>
      <c r="F72" s="1">
        <f>3.14*(F71^2)/4</f>
        <v>172.64418650000005</v>
      </c>
      <c r="G72" s="1"/>
    </row>
    <row r="73" spans="2:7" x14ac:dyDescent="0.25">
      <c r="B73" s="73"/>
      <c r="C73" s="74"/>
      <c r="D73" s="46" t="s">
        <v>112</v>
      </c>
      <c r="E73" s="1"/>
      <c r="F73" s="1">
        <f>F72/1000000</f>
        <v>1.7264418650000005E-4</v>
      </c>
      <c r="G73" s="1"/>
    </row>
    <row r="74" spans="2:7" x14ac:dyDescent="0.25">
      <c r="B74" s="1"/>
      <c r="C74" s="1"/>
      <c r="D74" s="80" t="s">
        <v>241</v>
      </c>
      <c r="E74" s="80"/>
      <c r="F74" s="80" t="s">
        <v>242</v>
      </c>
      <c r="G74" s="80"/>
    </row>
    <row r="75" spans="2:7" x14ac:dyDescent="0.25">
      <c r="B75" s="1"/>
      <c r="C75" s="1"/>
      <c r="D75" s="47" t="s">
        <v>249</v>
      </c>
      <c r="E75" s="48" t="s">
        <v>250</v>
      </c>
      <c r="F75" s="60" t="s">
        <v>249</v>
      </c>
      <c r="G75" s="60" t="s">
        <v>250</v>
      </c>
    </row>
    <row r="76" spans="2:7" x14ac:dyDescent="0.25">
      <c r="B76" s="75" t="s">
        <v>240</v>
      </c>
      <c r="C76" s="66" t="s">
        <v>243</v>
      </c>
      <c r="D76" s="1">
        <f>59891</f>
        <v>59891</v>
      </c>
      <c r="E76" s="1" t="s">
        <v>284</v>
      </c>
      <c r="F76" s="1">
        <v>1852000</v>
      </c>
      <c r="G76" s="1">
        <v>1852000</v>
      </c>
    </row>
    <row r="77" spans="2:7" x14ac:dyDescent="0.25">
      <c r="B77" s="76"/>
      <c r="C77" s="1" t="s">
        <v>244</v>
      </c>
      <c r="D77" s="1"/>
      <c r="E77" s="1"/>
      <c r="F77" s="1">
        <f>F76/1000</f>
        <v>1852</v>
      </c>
      <c r="G77" s="1">
        <f>G76/1000</f>
        <v>1852</v>
      </c>
    </row>
    <row r="78" spans="2:7" x14ac:dyDescent="0.25">
      <c r="B78" s="77"/>
      <c r="C78" s="1" t="s">
        <v>245</v>
      </c>
      <c r="D78" s="1"/>
      <c r="E78" s="1"/>
      <c r="F78" s="45">
        <f>F77/3600</f>
        <v>0.51444444444444448</v>
      </c>
      <c r="G78" s="45">
        <f>G77/3600</f>
        <v>0.51444444444444448</v>
      </c>
    </row>
    <row r="79" spans="2:7" x14ac:dyDescent="0.25">
      <c r="B79" s="75" t="s">
        <v>359</v>
      </c>
      <c r="C79" s="1"/>
      <c r="D79" s="1"/>
      <c r="E79" s="1"/>
      <c r="F79" s="1"/>
      <c r="G79" s="1"/>
    </row>
    <row r="80" spans="2:7" x14ac:dyDescent="0.25">
      <c r="B80" s="77"/>
      <c r="C80" s="1" t="s">
        <v>248</v>
      </c>
      <c r="D80" s="1"/>
      <c r="E80" s="1"/>
      <c r="F80" s="1">
        <f>F78/(F73*F69)</f>
        <v>2.1483748601336985</v>
      </c>
      <c r="G80" s="1"/>
    </row>
    <row r="81" spans="2:7" ht="17.25" x14ac:dyDescent="0.25">
      <c r="B81" s="75" t="s">
        <v>360</v>
      </c>
      <c r="C81" s="1" t="s">
        <v>254</v>
      </c>
      <c r="D81" s="1"/>
      <c r="E81" s="1"/>
      <c r="F81" s="1">
        <v>0.997</v>
      </c>
      <c r="G81" s="1">
        <v>0.997</v>
      </c>
    </row>
    <row r="82" spans="2:7" ht="17.25" x14ac:dyDescent="0.25">
      <c r="B82" s="77" t="s">
        <v>263</v>
      </c>
      <c r="C82" s="1" t="s">
        <v>255</v>
      </c>
      <c r="D82" s="1"/>
      <c r="E82" s="1"/>
      <c r="F82" s="1">
        <f>F81*4184</f>
        <v>4171.4480000000003</v>
      </c>
      <c r="G82" s="1">
        <f>4184*G81</f>
        <v>4171.4480000000003</v>
      </c>
    </row>
    <row r="83" spans="2:7" ht="17.25" x14ac:dyDescent="0.25">
      <c r="B83" s="75" t="s">
        <v>361</v>
      </c>
      <c r="C83" s="1" t="s">
        <v>257</v>
      </c>
      <c r="D83" s="1"/>
      <c r="E83" s="1"/>
      <c r="F83" s="1">
        <v>0.54100000000000004</v>
      </c>
      <c r="G83" s="1">
        <v>0.54100000000000004</v>
      </c>
    </row>
    <row r="84" spans="2:7" ht="17.25" customHeight="1" x14ac:dyDescent="0.25">
      <c r="B84" s="77"/>
      <c r="C84" s="1" t="s">
        <v>256</v>
      </c>
      <c r="D84" s="1"/>
      <c r="E84" s="1"/>
      <c r="F84" s="1">
        <f>1.163*F83</f>
        <v>0.62918300000000005</v>
      </c>
      <c r="G84" s="1">
        <f>1.163*G83</f>
        <v>0.62918300000000005</v>
      </c>
    </row>
    <row r="85" spans="2:7" x14ac:dyDescent="0.25">
      <c r="B85" s="1" t="s">
        <v>87</v>
      </c>
      <c r="C85" s="1"/>
      <c r="D85" s="1"/>
      <c r="E85" s="1" t="s">
        <v>86</v>
      </c>
      <c r="F85" s="1">
        <v>12200</v>
      </c>
      <c r="G85" s="1" t="s">
        <v>231</v>
      </c>
    </row>
    <row r="86" spans="2:7" ht="18" x14ac:dyDescent="0.35">
      <c r="B86" s="78" t="s">
        <v>386</v>
      </c>
      <c r="C86" s="79"/>
      <c r="D86" s="1" t="s">
        <v>236</v>
      </c>
      <c r="E86" s="1" t="s">
        <v>384</v>
      </c>
      <c r="F86" s="1">
        <f>F71*F87*F88/(F90*1000)</f>
        <v>47850.894750002262</v>
      </c>
      <c r="G86" s="1"/>
    </row>
    <row r="87" spans="2:7" x14ac:dyDescent="0.25">
      <c r="B87" s="1"/>
      <c r="C87" s="1"/>
      <c r="D87" s="1" t="s">
        <v>259</v>
      </c>
      <c r="E87" s="1" t="s">
        <v>258</v>
      </c>
      <c r="F87" s="1">
        <f>F80</f>
        <v>2.1483748601336985</v>
      </c>
      <c r="G87" s="1"/>
    </row>
    <row r="88" spans="2:7" x14ac:dyDescent="0.25">
      <c r="B88" s="1"/>
      <c r="C88" s="1"/>
      <c r="D88" s="1" t="s">
        <v>260</v>
      </c>
      <c r="E88" s="1" t="s">
        <v>251</v>
      </c>
      <c r="F88" s="1">
        <v>992</v>
      </c>
      <c r="G88" s="1"/>
    </row>
    <row r="89" spans="2:7" x14ac:dyDescent="0.25">
      <c r="B89" s="1"/>
      <c r="C89" s="1"/>
      <c r="D89" s="1" t="s">
        <v>261</v>
      </c>
      <c r="E89" s="1" t="s">
        <v>252</v>
      </c>
      <c r="F89" s="1">
        <f>(0.723+0.598)/2</f>
        <v>0.66049999999999998</v>
      </c>
      <c r="G89" s="1"/>
    </row>
    <row r="90" spans="2:7" x14ac:dyDescent="0.25">
      <c r="B90" s="1"/>
      <c r="C90" s="1"/>
      <c r="D90" s="1" t="s">
        <v>261</v>
      </c>
      <c r="E90" s="1" t="s">
        <v>253</v>
      </c>
      <c r="F90" s="1">
        <v>6.6049999999999995E-4</v>
      </c>
      <c r="G90" s="1"/>
    </row>
    <row r="91" spans="2:7" x14ac:dyDescent="0.25">
      <c r="B91" s="1"/>
      <c r="C91" s="1"/>
      <c r="D91" s="1" t="s">
        <v>261</v>
      </c>
      <c r="E91" s="1" t="s">
        <v>266</v>
      </c>
      <c r="F91" s="1">
        <f>F90*1000</f>
        <v>0.66049999999999998</v>
      </c>
      <c r="G91" s="1"/>
    </row>
    <row r="92" spans="2:7" ht="18" x14ac:dyDescent="0.35">
      <c r="B92" s="1"/>
      <c r="C92" s="1"/>
      <c r="D92" s="1" t="s">
        <v>262</v>
      </c>
      <c r="E92" s="1" t="s">
        <v>326</v>
      </c>
      <c r="F92" s="1">
        <f>F82</f>
        <v>4171.4480000000003</v>
      </c>
      <c r="G92" s="1"/>
    </row>
    <row r="93" spans="2:7" ht="18" x14ac:dyDescent="0.35">
      <c r="B93" s="1"/>
      <c r="C93" s="1"/>
      <c r="D93" s="1" t="s">
        <v>264</v>
      </c>
      <c r="E93" s="1" t="s">
        <v>327</v>
      </c>
      <c r="F93" s="1">
        <f>F84</f>
        <v>0.62918300000000005</v>
      </c>
      <c r="G93" s="1"/>
    </row>
    <row r="94" spans="2:7" ht="18" x14ac:dyDescent="0.35">
      <c r="B94" s="78" t="s">
        <v>387</v>
      </c>
      <c r="C94" s="79" t="s">
        <v>383</v>
      </c>
      <c r="D94" s="1" t="s">
        <v>349</v>
      </c>
      <c r="E94" s="1" t="s">
        <v>385</v>
      </c>
      <c r="F94" s="1">
        <f>F92*F90/F93</f>
        <v>4.3790779534729953</v>
      </c>
      <c r="G94" s="1"/>
    </row>
    <row r="95" spans="2:7" x14ac:dyDescent="0.25">
      <c r="B95" s="81" t="s">
        <v>389</v>
      </c>
      <c r="C95" s="82"/>
      <c r="D95" s="82"/>
      <c r="E95" s="83"/>
      <c r="F95" s="1"/>
      <c r="G95" s="1"/>
    </row>
    <row r="96" spans="2:7" x14ac:dyDescent="0.25">
      <c r="B96" s="56"/>
      <c r="C96" s="1"/>
      <c r="D96" s="67" t="s">
        <v>350</v>
      </c>
      <c r="E96" s="60"/>
      <c r="F96" s="1">
        <f>(1.58*LN(F86)-3.28)^-2</f>
        <v>5.2924617889182259E-3</v>
      </c>
      <c r="G96" s="1"/>
    </row>
    <row r="97" spans="2:13" x14ac:dyDescent="0.25">
      <c r="B97" s="56"/>
      <c r="C97" s="1"/>
      <c r="D97" s="67" t="s">
        <v>351</v>
      </c>
      <c r="E97" s="60"/>
      <c r="F97" s="1">
        <f>F96/2</f>
        <v>2.646230894459113E-3</v>
      </c>
      <c r="G97" s="1"/>
    </row>
    <row r="98" spans="2:13" x14ac:dyDescent="0.25">
      <c r="B98" s="56"/>
      <c r="C98" s="1"/>
      <c r="D98" s="67" t="s">
        <v>352</v>
      </c>
      <c r="E98" s="60"/>
      <c r="F98" s="1">
        <f>F97*F86*F94/(1.07+12.7*(F97)^0.5*((F94)^2/3-1))</f>
        <v>120.73467302572423</v>
      </c>
      <c r="G98" s="1"/>
    </row>
    <row r="99" spans="2:13" x14ac:dyDescent="0.25">
      <c r="B99" s="84" t="s">
        <v>390</v>
      </c>
      <c r="C99" s="85"/>
      <c r="D99" s="85"/>
      <c r="E99" s="57"/>
      <c r="F99" s="1"/>
      <c r="G99" s="1"/>
    </row>
    <row r="100" spans="2:13" x14ac:dyDescent="0.25">
      <c r="B100" s="1"/>
      <c r="C100" s="1"/>
      <c r="D100" s="1" t="s">
        <v>235</v>
      </c>
      <c r="E100" s="1" t="s">
        <v>267</v>
      </c>
      <c r="F100" s="1">
        <v>2100</v>
      </c>
      <c r="G100" s="1"/>
    </row>
    <row r="101" spans="2:13" x14ac:dyDescent="0.25">
      <c r="B101" s="1"/>
      <c r="C101" s="1"/>
      <c r="D101" s="1" t="s">
        <v>239</v>
      </c>
      <c r="E101" s="1" t="s">
        <v>268</v>
      </c>
      <c r="F101" s="1">
        <v>2</v>
      </c>
      <c r="G101" s="1"/>
    </row>
    <row r="102" spans="2:13" x14ac:dyDescent="0.25">
      <c r="B102" s="1"/>
      <c r="C102" s="1"/>
      <c r="D102" s="1" t="s">
        <v>269</v>
      </c>
      <c r="E102" s="1" t="s">
        <v>270</v>
      </c>
      <c r="F102" s="1"/>
      <c r="G102" s="1"/>
    </row>
    <row r="103" spans="2:13" x14ac:dyDescent="0.25">
      <c r="B103" s="1"/>
      <c r="C103" s="1"/>
      <c r="D103" s="1"/>
      <c r="E103" s="1"/>
      <c r="F103" s="1"/>
      <c r="G103" s="1"/>
    </row>
    <row r="104" spans="2:13" x14ac:dyDescent="0.25">
      <c r="B104" s="78" t="s">
        <v>388</v>
      </c>
      <c r="C104" s="79"/>
      <c r="D104" s="1"/>
      <c r="E104" s="1" t="s">
        <v>271</v>
      </c>
      <c r="F104" s="1">
        <f>F98</f>
        <v>120.73467302572423</v>
      </c>
      <c r="G104" s="1"/>
    </row>
    <row r="105" spans="2:13" x14ac:dyDescent="0.25">
      <c r="B105" s="1"/>
      <c r="C105" s="1"/>
      <c r="D105" s="1"/>
      <c r="E105" s="1"/>
      <c r="F105" s="1"/>
      <c r="G105" s="1"/>
    </row>
    <row r="106" spans="2:13" x14ac:dyDescent="0.25">
      <c r="B106" s="81" t="s">
        <v>362</v>
      </c>
      <c r="C106" s="82"/>
      <c r="D106" s="82"/>
      <c r="E106" s="83"/>
      <c r="F106" s="1"/>
      <c r="G106" s="1"/>
    </row>
    <row r="107" spans="2:13" x14ac:dyDescent="0.25">
      <c r="B107" s="1"/>
      <c r="C107" s="1"/>
      <c r="D107" s="1" t="s">
        <v>274</v>
      </c>
      <c r="E107" s="1" t="s">
        <v>273</v>
      </c>
      <c r="F107" s="1">
        <f>F104*F93*1000/(F71)</f>
        <v>5122.333363340812</v>
      </c>
      <c r="G107" s="1" t="s">
        <v>272</v>
      </c>
    </row>
    <row r="108" spans="2:13" ht="22.5" customHeight="1" x14ac:dyDescent="0.25">
      <c r="B108" t="s">
        <v>89</v>
      </c>
      <c r="D108" t="s">
        <v>95</v>
      </c>
      <c r="I108" s="64"/>
      <c r="J108" s="61"/>
      <c r="K108" s="61"/>
      <c r="L108" s="62"/>
      <c r="M108" s="62"/>
    </row>
    <row r="109" spans="2:13" ht="45" customHeight="1" x14ac:dyDescent="0.25">
      <c r="B109" t="s">
        <v>96</v>
      </c>
      <c r="C109" t="s">
        <v>108</v>
      </c>
      <c r="I109" s="63"/>
      <c r="J109" s="63"/>
      <c r="K109" s="63"/>
      <c r="L109" s="63"/>
      <c r="M109" s="63"/>
    </row>
    <row r="110" spans="2:13" x14ac:dyDescent="0.25">
      <c r="I110" s="63"/>
      <c r="J110" s="63"/>
      <c r="K110" s="63"/>
      <c r="L110" s="63"/>
      <c r="M110" s="63"/>
    </row>
    <row r="116" spans="2:16" x14ac:dyDescent="0.25">
      <c r="B116" t="s">
        <v>104</v>
      </c>
      <c r="D116" t="s">
        <v>105</v>
      </c>
    </row>
    <row r="117" spans="2:16" x14ac:dyDescent="0.25">
      <c r="F117" t="s">
        <v>117</v>
      </c>
      <c r="G117" t="s">
        <v>118</v>
      </c>
    </row>
    <row r="118" spans="2:16" x14ac:dyDescent="0.25">
      <c r="B118" t="s">
        <v>45</v>
      </c>
      <c r="C118" t="s">
        <v>90</v>
      </c>
      <c r="F118">
        <v>18</v>
      </c>
      <c r="G118">
        <f>1.5*18.48296</f>
        <v>27.724439999999998</v>
      </c>
    </row>
    <row r="119" spans="2:16" x14ac:dyDescent="0.25">
      <c r="B119" t="s">
        <v>45</v>
      </c>
      <c r="C119" t="s">
        <v>110</v>
      </c>
      <c r="F119">
        <f>1000000*F118</f>
        <v>18000000</v>
      </c>
      <c r="G119">
        <f>1000000*G118</f>
        <v>27724439.999999996</v>
      </c>
    </row>
    <row r="120" spans="2:16" x14ac:dyDescent="0.25">
      <c r="B120" t="s">
        <v>96</v>
      </c>
      <c r="C120" t="s">
        <v>108</v>
      </c>
      <c r="F120">
        <f>E57</f>
        <v>30.204880612140393</v>
      </c>
      <c r="G120">
        <v>30.204880612140393</v>
      </c>
    </row>
    <row r="121" spans="2:16" x14ac:dyDescent="0.25">
      <c r="B121" t="s">
        <v>106</v>
      </c>
      <c r="C121" t="s">
        <v>107</v>
      </c>
      <c r="F121">
        <v>359</v>
      </c>
      <c r="G121">
        <v>680</v>
      </c>
    </row>
    <row r="122" spans="2:16" x14ac:dyDescent="0.25">
      <c r="B122" t="s">
        <v>106</v>
      </c>
      <c r="C122" t="s">
        <v>109</v>
      </c>
      <c r="F122">
        <f>F121*0.86</f>
        <v>308.74</v>
      </c>
      <c r="G122">
        <f>G121*0.86</f>
        <v>584.79999999999995</v>
      </c>
    </row>
    <row r="123" spans="2:16" ht="18" x14ac:dyDescent="0.35">
      <c r="B123" t="s">
        <v>113</v>
      </c>
      <c r="C123" t="s">
        <v>109</v>
      </c>
      <c r="F123">
        <f>1/(1/F122+0.0002+0.0004)</f>
        <v>260.48644836000011</v>
      </c>
      <c r="G123">
        <f>1/(1/G122+0.0002+0.0004)</f>
        <v>432.90299656520187</v>
      </c>
    </row>
    <row r="124" spans="2:16" x14ac:dyDescent="0.25">
      <c r="B124" t="s">
        <v>111</v>
      </c>
      <c r="C124" t="s">
        <v>112</v>
      </c>
      <c r="F124">
        <f>F119/(F123*F120)</f>
        <v>2287.758867058139</v>
      </c>
      <c r="G124">
        <f>G119/(G123*G120)</f>
        <v>2120.2890339170485</v>
      </c>
    </row>
    <row r="128" spans="2:16" x14ac:dyDescent="0.25">
      <c r="P128">
        <f>19.05-3.3</f>
        <v>15.75</v>
      </c>
    </row>
    <row r="129" spans="2:13" x14ac:dyDescent="0.25">
      <c r="I129" t="s">
        <v>234</v>
      </c>
      <c r="K129" t="s">
        <v>119</v>
      </c>
      <c r="L129">
        <f>LN(19.05/14.83)</f>
        <v>0.25041494542286924</v>
      </c>
      <c r="M129">
        <f>19.05-4.22</f>
        <v>14.830000000000002</v>
      </c>
    </row>
    <row r="130" spans="2:13" x14ac:dyDescent="0.25">
      <c r="I130" t="s">
        <v>117</v>
      </c>
      <c r="K130" t="s">
        <v>120</v>
      </c>
      <c r="M130">
        <f>2*3.14*'thermal cond'!C206*2675*F85/1000</f>
        <v>11067181.199999999</v>
      </c>
    </row>
    <row r="131" spans="2:13" x14ac:dyDescent="0.25">
      <c r="K131" t="s">
        <v>233</v>
      </c>
      <c r="M131">
        <f>M129/M130</f>
        <v>1.3399979391319628E-6</v>
      </c>
    </row>
    <row r="133" spans="2:13" x14ac:dyDescent="0.25">
      <c r="I133" t="s">
        <v>234</v>
      </c>
      <c r="K133" t="s">
        <v>119</v>
      </c>
      <c r="L133">
        <f>LN(19.05/15.75)</f>
        <v>0.19022673630106801</v>
      </c>
      <c r="M133">
        <v>15.75</v>
      </c>
    </row>
    <row r="134" spans="2:13" x14ac:dyDescent="0.25">
      <c r="I134" t="s">
        <v>118</v>
      </c>
      <c r="K134" t="s">
        <v>120</v>
      </c>
      <c r="M134">
        <f>2*3.14*'thermal cond'!C225*F85/1000</f>
        <v>1103.2704000000001</v>
      </c>
    </row>
    <row r="135" spans="2:13" x14ac:dyDescent="0.25">
      <c r="K135" t="s">
        <v>233</v>
      </c>
      <c r="M135">
        <f>M133/M134</f>
        <v>1.4275738749086352E-2</v>
      </c>
    </row>
    <row r="136" spans="2:13" x14ac:dyDescent="0.25">
      <c r="B136" s="14" t="s">
        <v>275</v>
      </c>
    </row>
    <row r="138" spans="2:13" x14ac:dyDescent="0.25">
      <c r="B138" t="s">
        <v>276</v>
      </c>
    </row>
    <row r="139" spans="2:13" x14ac:dyDescent="0.25">
      <c r="B139" t="s">
        <v>299</v>
      </c>
      <c r="D139" t="s">
        <v>300</v>
      </c>
      <c r="E139" t="s">
        <v>231</v>
      </c>
      <c r="F139">
        <v>25.4</v>
      </c>
    </row>
    <row r="140" spans="2:13" x14ac:dyDescent="0.25">
      <c r="B140" t="s">
        <v>277</v>
      </c>
      <c r="E140" t="s">
        <v>231</v>
      </c>
      <c r="F140">
        <v>1448</v>
      </c>
    </row>
    <row r="141" spans="2:13" x14ac:dyDescent="0.25">
      <c r="B141" t="s">
        <v>282</v>
      </c>
      <c r="E141" t="s">
        <v>278</v>
      </c>
      <c r="F141">
        <v>1387</v>
      </c>
    </row>
    <row r="142" spans="2:13" x14ac:dyDescent="0.25">
      <c r="B142" t="s">
        <v>281</v>
      </c>
      <c r="D142" t="s">
        <v>298</v>
      </c>
      <c r="E142" t="s">
        <v>231</v>
      </c>
      <c r="F142">
        <f>F70</f>
        <v>19.05</v>
      </c>
    </row>
    <row r="143" spans="2:13" x14ac:dyDescent="0.25">
      <c r="B143" t="s">
        <v>289</v>
      </c>
      <c r="E143" t="s">
        <v>247</v>
      </c>
      <c r="F143">
        <f>3.14*F142^2*F141/4</f>
        <v>395126.42748750001</v>
      </c>
    </row>
    <row r="144" spans="2:13" x14ac:dyDescent="0.25">
      <c r="B144" t="s">
        <v>290</v>
      </c>
      <c r="E144" t="s">
        <v>247</v>
      </c>
      <c r="F144">
        <f>3.14*F140^2/4</f>
        <v>1645912.6400000001</v>
      </c>
    </row>
    <row r="145" spans="2:6" x14ac:dyDescent="0.25">
      <c r="B145" t="s">
        <v>291</v>
      </c>
      <c r="E145" t="s">
        <v>247</v>
      </c>
      <c r="F145">
        <f>F144-F143</f>
        <v>1250786.2125125001</v>
      </c>
    </row>
    <row r="146" spans="2:6" x14ac:dyDescent="0.25">
      <c r="E146" t="s">
        <v>112</v>
      </c>
      <c r="F146">
        <f>F145/1000000</f>
        <v>1.2507862125125002</v>
      </c>
    </row>
    <row r="147" spans="2:6" x14ac:dyDescent="0.25">
      <c r="B147" t="s">
        <v>283</v>
      </c>
      <c r="E147" t="s">
        <v>92</v>
      </c>
      <c r="F147">
        <f>D76</f>
        <v>59891</v>
      </c>
    </row>
    <row r="148" spans="2:6" x14ac:dyDescent="0.25">
      <c r="B148" t="s">
        <v>285</v>
      </c>
      <c r="E148" t="s">
        <v>286</v>
      </c>
      <c r="F148">
        <v>12.2799</v>
      </c>
    </row>
    <row r="149" spans="2:6" x14ac:dyDescent="0.25">
      <c r="B149" t="s">
        <v>287</v>
      </c>
      <c r="E149" t="s">
        <v>244</v>
      </c>
      <c r="F149">
        <f>F147/F148</f>
        <v>4877.1569801057012</v>
      </c>
    </row>
    <row r="150" spans="2:6" x14ac:dyDescent="0.25">
      <c r="E150" t="s">
        <v>245</v>
      </c>
      <c r="F150">
        <f>F149/3600</f>
        <v>1.3547658278071393</v>
      </c>
    </row>
    <row r="151" spans="2:6" x14ac:dyDescent="0.25">
      <c r="B151" t="s">
        <v>288</v>
      </c>
      <c r="E151" t="s">
        <v>248</v>
      </c>
      <c r="F151">
        <f>F150/F146</f>
        <v>1.0831314050750298</v>
      </c>
    </row>
    <row r="154" spans="2:6" x14ac:dyDescent="0.25">
      <c r="B154" t="s">
        <v>292</v>
      </c>
    </row>
    <row r="156" spans="2:6" x14ac:dyDescent="0.25">
      <c r="B156" t="s">
        <v>293</v>
      </c>
      <c r="C156" s="49" t="s">
        <v>294</v>
      </c>
    </row>
    <row r="157" spans="2:6" x14ac:dyDescent="0.25">
      <c r="C157" t="s">
        <v>295</v>
      </c>
    </row>
    <row r="159" spans="2:6" x14ac:dyDescent="0.25">
      <c r="C159" s="49" t="s">
        <v>296</v>
      </c>
      <c r="E159" t="s">
        <v>231</v>
      </c>
      <c r="F159">
        <f>4*(1.732*0.25*F139^2-3.14*0.125*F142^2)/(3.14*0.5*F142)</f>
        <v>18.311188959660289</v>
      </c>
    </row>
    <row r="160" spans="2:6" x14ac:dyDescent="0.25">
      <c r="C160" t="s">
        <v>297</v>
      </c>
    </row>
    <row r="162" spans="2:6" ht="18" x14ac:dyDescent="0.35">
      <c r="B162" t="s">
        <v>301</v>
      </c>
      <c r="E162" t="s">
        <v>306</v>
      </c>
      <c r="F162">
        <f>F140</f>
        <v>1448</v>
      </c>
    </row>
    <row r="163" spans="2:6" x14ac:dyDescent="0.25">
      <c r="E163" t="s">
        <v>307</v>
      </c>
      <c r="F163">
        <f>F139</f>
        <v>25.4</v>
      </c>
    </row>
    <row r="164" spans="2:6" x14ac:dyDescent="0.25">
      <c r="B164" t="s">
        <v>310</v>
      </c>
      <c r="C164" t="s">
        <v>302</v>
      </c>
      <c r="D164">
        <f>F164*F165*F162/F163</f>
        <v>157469.99999999994</v>
      </c>
      <c r="E164" t="s">
        <v>308</v>
      </c>
      <c r="F164">
        <f>F163-F142</f>
        <v>6.3499999999999979</v>
      </c>
    </row>
    <row r="165" spans="2:6" x14ac:dyDescent="0.25">
      <c r="E165" t="s">
        <v>309</v>
      </c>
      <c r="F165">
        <v>435</v>
      </c>
    </row>
    <row r="166" spans="2:6" x14ac:dyDescent="0.25">
      <c r="B166" t="s">
        <v>303</v>
      </c>
      <c r="C166" t="s">
        <v>304</v>
      </c>
    </row>
    <row r="167" spans="2:6" x14ac:dyDescent="0.25">
      <c r="C167" t="s">
        <v>305</v>
      </c>
    </row>
    <row r="170" spans="2:6" ht="18" x14ac:dyDescent="0.35">
      <c r="B170" t="s">
        <v>311</v>
      </c>
    </row>
    <row r="172" spans="2:6" ht="18" x14ac:dyDescent="0.35">
      <c r="B172" t="s">
        <v>319</v>
      </c>
      <c r="C172" t="s">
        <v>312</v>
      </c>
    </row>
    <row r="173" spans="2:6" x14ac:dyDescent="0.25">
      <c r="B173" t="s">
        <v>303</v>
      </c>
      <c r="C173" t="s">
        <v>316</v>
      </c>
      <c r="E173" t="s">
        <v>318</v>
      </c>
      <c r="F173">
        <f>D76/3600</f>
        <v>16.636388888888888</v>
      </c>
    </row>
    <row r="174" spans="2:6" x14ac:dyDescent="0.25">
      <c r="C174" t="s">
        <v>313</v>
      </c>
      <c r="E174" t="s">
        <v>112</v>
      </c>
      <c r="F174">
        <f>D164/1000000</f>
        <v>0.15746999999999994</v>
      </c>
    </row>
    <row r="175" spans="2:6" x14ac:dyDescent="0.25">
      <c r="C175" t="s">
        <v>315</v>
      </c>
      <c r="E175" t="s">
        <v>91</v>
      </c>
      <c r="F175">
        <f>F159/1000</f>
        <v>1.8311188959660288E-2</v>
      </c>
    </row>
    <row r="176" spans="2:6" ht="18" x14ac:dyDescent="0.35">
      <c r="C176" t="s">
        <v>314</v>
      </c>
      <c r="E176" t="s">
        <v>317</v>
      </c>
      <c r="F176" s="50">
        <v>1.206064E-5</v>
      </c>
    </row>
    <row r="178" spans="2:9" ht="18" x14ac:dyDescent="0.35">
      <c r="B178" t="s">
        <v>319</v>
      </c>
      <c r="F178">
        <f>F173*F175/(F174*F176)</f>
        <v>160401.13102515816</v>
      </c>
    </row>
    <row r="180" spans="2:9" ht="18" x14ac:dyDescent="0.35">
      <c r="B180" t="s">
        <v>320</v>
      </c>
      <c r="D180" s="51" t="s">
        <v>265</v>
      </c>
      <c r="I180" s="52"/>
    </row>
    <row r="182" spans="2:9" x14ac:dyDescent="0.25">
      <c r="B182" t="s">
        <v>303</v>
      </c>
      <c r="C182" t="s">
        <v>321</v>
      </c>
      <c r="E182" t="s">
        <v>324</v>
      </c>
      <c r="F182" s="50">
        <v>2910.8751999999999</v>
      </c>
    </row>
    <row r="183" spans="2:9" x14ac:dyDescent="0.25">
      <c r="C183" t="s">
        <v>331</v>
      </c>
      <c r="E183" t="s">
        <v>317</v>
      </c>
      <c r="F183" s="50">
        <v>1.206064E-5</v>
      </c>
    </row>
    <row r="184" spans="2:9" ht="18" x14ac:dyDescent="0.35">
      <c r="C184" s="51" t="s">
        <v>322</v>
      </c>
      <c r="E184" t="s">
        <v>323</v>
      </c>
      <c r="F184" s="50">
        <v>3.5369984E-2</v>
      </c>
    </row>
    <row r="186" spans="2:9" x14ac:dyDescent="0.25">
      <c r="C186" t="s">
        <v>325</v>
      </c>
      <c r="F186" s="50">
        <f>F182*F183/F184</f>
        <v>0.9925652743334008</v>
      </c>
    </row>
    <row r="188" spans="2:9" x14ac:dyDescent="0.25">
      <c r="B188" t="s">
        <v>328</v>
      </c>
    </row>
    <row r="190" spans="2:9" x14ac:dyDescent="0.25">
      <c r="C190" t="s">
        <v>329</v>
      </c>
      <c r="D190" t="s">
        <v>330</v>
      </c>
    </row>
    <row r="192" spans="2:9" x14ac:dyDescent="0.25">
      <c r="C192" t="s">
        <v>333</v>
      </c>
    </row>
    <row r="193" spans="2:6" ht="18" x14ac:dyDescent="0.35">
      <c r="D193" t="s">
        <v>334</v>
      </c>
      <c r="E193">
        <f>F178</f>
        <v>160401.13102515816</v>
      </c>
      <c r="F193" t="s">
        <v>332</v>
      </c>
    </row>
    <row r="195" spans="2:6" x14ac:dyDescent="0.25">
      <c r="C195" t="s">
        <v>329</v>
      </c>
      <c r="D195" s="50">
        <f>0.36*F184*(F178^0.55)*(F186^0.3333)/F175</f>
        <v>505.83014154920704</v>
      </c>
      <c r="E195" s="51" t="s">
        <v>272</v>
      </c>
    </row>
    <row r="196" spans="2:6" x14ac:dyDescent="0.25">
      <c r="E196" s="51"/>
    </row>
    <row r="197" spans="2:6" x14ac:dyDescent="0.25">
      <c r="E197" s="51"/>
    </row>
    <row r="198" spans="2:6" x14ac:dyDescent="0.25">
      <c r="B198" t="s">
        <v>335</v>
      </c>
      <c r="E198" s="51"/>
    </row>
    <row r="199" spans="2:6" x14ac:dyDescent="0.25">
      <c r="E199" s="51"/>
    </row>
    <row r="200" spans="2:6" x14ac:dyDescent="0.25">
      <c r="B200" t="s">
        <v>337</v>
      </c>
      <c r="C200" t="s">
        <v>273</v>
      </c>
      <c r="D200">
        <f>F107</f>
        <v>5122.333363340812</v>
      </c>
      <c r="E200" s="51" t="s">
        <v>272</v>
      </c>
      <c r="F200">
        <f>1/D200</f>
        <v>1.9522352979927781E-4</v>
      </c>
    </row>
    <row r="201" spans="2:6" x14ac:dyDescent="0.25">
      <c r="C201" t="s">
        <v>354</v>
      </c>
      <c r="E201" s="51"/>
      <c r="F201" s="59">
        <f>(F70/F71)*F200</f>
        <v>2.5077601096940266E-4</v>
      </c>
    </row>
    <row r="202" spans="2:6" x14ac:dyDescent="0.25">
      <c r="B202" t="s">
        <v>337</v>
      </c>
      <c r="C202" t="s">
        <v>329</v>
      </c>
      <c r="D202" s="50">
        <f>D195</f>
        <v>505.83014154920704</v>
      </c>
      <c r="E202" s="51" t="s">
        <v>272</v>
      </c>
      <c r="F202">
        <f>1/D202</f>
        <v>1.9769482240368239E-3</v>
      </c>
    </row>
    <row r="203" spans="2:6" x14ac:dyDescent="0.25">
      <c r="C203" t="s">
        <v>355</v>
      </c>
      <c r="D203" s="50"/>
      <c r="E203" s="51"/>
      <c r="F203" s="59">
        <f>(F70/F71)*F202</f>
        <v>2.5395053046460884E-3</v>
      </c>
    </row>
    <row r="204" spans="2:6" x14ac:dyDescent="0.25">
      <c r="B204" t="s">
        <v>341</v>
      </c>
      <c r="C204" t="s">
        <v>353</v>
      </c>
      <c r="D204">
        <f>(F70/F71)*LN(F70/F71)*F71/(2000*'thermal cond'!C207)</f>
        <v>5.5469822212856468E-5</v>
      </c>
      <c r="E204" s="51" t="s">
        <v>340</v>
      </c>
      <c r="F204" s="59">
        <f>D204</f>
        <v>5.5469822212856468E-5</v>
      </c>
    </row>
    <row r="205" spans="2:6" x14ac:dyDescent="0.25">
      <c r="B205" t="s">
        <v>342</v>
      </c>
      <c r="D205">
        <v>4.0000000000000002E-4</v>
      </c>
      <c r="E205" s="51" t="s">
        <v>338</v>
      </c>
      <c r="F205">
        <f>D206</f>
        <v>3.4423407917383823E-4</v>
      </c>
    </row>
    <row r="206" spans="2:6" x14ac:dyDescent="0.25">
      <c r="C206" t="s">
        <v>356</v>
      </c>
      <c r="D206">
        <f>D205/1.162</f>
        <v>3.4423407917383823E-4</v>
      </c>
      <c r="E206" s="53" t="s">
        <v>339</v>
      </c>
      <c r="F206" s="59">
        <f>(F70/F71)*F205</f>
        <v>4.4218875308574626E-4</v>
      </c>
    </row>
    <row r="207" spans="2:6" x14ac:dyDescent="0.25">
      <c r="E207" s="53"/>
    </row>
    <row r="208" spans="2:6" x14ac:dyDescent="0.25">
      <c r="B208" t="s">
        <v>343</v>
      </c>
      <c r="D208">
        <v>2.0000000000000001E-4</v>
      </c>
      <c r="E208" s="51" t="s">
        <v>338</v>
      </c>
    </row>
    <row r="209" spans="2:7" x14ac:dyDescent="0.25">
      <c r="C209" t="s">
        <v>336</v>
      </c>
      <c r="D209">
        <f>D208/1.162</f>
        <v>1.7211703958691912E-4</v>
      </c>
      <c r="E209" s="53" t="s">
        <v>339</v>
      </c>
      <c r="F209">
        <f>D209</f>
        <v>1.7211703958691912E-4</v>
      </c>
    </row>
    <row r="210" spans="2:7" x14ac:dyDescent="0.25">
      <c r="F210">
        <f>F201+F203+F206+F204</f>
        <v>3.2879398909140939E-3</v>
      </c>
    </row>
    <row r="211" spans="2:7" x14ac:dyDescent="0.25">
      <c r="B211" t="s">
        <v>345</v>
      </c>
      <c r="C211" t="s">
        <v>344</v>
      </c>
      <c r="D211" s="58">
        <f>1/(F85*0.2675*D200+F70/(D202*F85*0.2675*F71)+D204*F85*2675/1000)</f>
        <v>5.9820287623253167E-8</v>
      </c>
      <c r="F211">
        <f>1/F210</f>
        <v>304.14181316495592</v>
      </c>
    </row>
    <row r="212" spans="2:7" x14ac:dyDescent="0.25">
      <c r="B212" t="s">
        <v>347</v>
      </c>
      <c r="D212" s="55">
        <f>D211+D206+D209</f>
        <v>5.1641093904838064E-4</v>
      </c>
    </row>
    <row r="213" spans="2:7" x14ac:dyDescent="0.25">
      <c r="C213" t="s">
        <v>346</v>
      </c>
      <c r="D213" s="54">
        <f>1/D212</f>
        <v>1936.4423260335191</v>
      </c>
      <c r="E213" t="s">
        <v>348</v>
      </c>
    </row>
    <row r="215" spans="2:7" x14ac:dyDescent="0.25">
      <c r="B215" t="s">
        <v>104</v>
      </c>
      <c r="D215" t="s">
        <v>105</v>
      </c>
    </row>
    <row r="216" spans="2:7" x14ac:dyDescent="0.25">
      <c r="F216" t="s">
        <v>117</v>
      </c>
      <c r="G216" t="s">
        <v>118</v>
      </c>
    </row>
    <row r="217" spans="2:7" x14ac:dyDescent="0.25">
      <c r="B217" t="s">
        <v>45</v>
      </c>
      <c r="C217" t="s">
        <v>90</v>
      </c>
      <c r="F217">
        <f>F118</f>
        <v>18</v>
      </c>
      <c r="G217">
        <f>1.5*18.48296</f>
        <v>27.724439999999998</v>
      </c>
    </row>
    <row r="218" spans="2:7" x14ac:dyDescent="0.25">
      <c r="B218" t="s">
        <v>45</v>
      </c>
      <c r="C218" t="s">
        <v>110</v>
      </c>
      <c r="F218">
        <f>1000000*F217</f>
        <v>18000000</v>
      </c>
      <c r="G218">
        <f>1000000*G217</f>
        <v>27724439.999999996</v>
      </c>
    </row>
    <row r="219" spans="2:7" x14ac:dyDescent="0.25">
      <c r="B219" t="s">
        <v>96</v>
      </c>
      <c r="C219" t="s">
        <v>108</v>
      </c>
      <c r="F219">
        <f>F120</f>
        <v>30.204880612140393</v>
      </c>
      <c r="G219">
        <v>30.204880612140393</v>
      </c>
    </row>
    <row r="220" spans="2:7" x14ac:dyDescent="0.25">
      <c r="B220" t="s">
        <v>106</v>
      </c>
      <c r="C220" t="s">
        <v>107</v>
      </c>
      <c r="F220">
        <f>F121</f>
        <v>359</v>
      </c>
      <c r="G220">
        <v>680</v>
      </c>
    </row>
    <row r="221" spans="2:7" x14ac:dyDescent="0.25">
      <c r="B221" t="s">
        <v>106</v>
      </c>
      <c r="C221" t="s">
        <v>109</v>
      </c>
      <c r="F221">
        <f>F220*0.86</f>
        <v>308.74</v>
      </c>
      <c r="G221">
        <f>G220*0.86</f>
        <v>584.79999999999995</v>
      </c>
    </row>
    <row r="222" spans="2:7" ht="18" x14ac:dyDescent="0.35">
      <c r="B222" t="s">
        <v>113</v>
      </c>
      <c r="C222" t="s">
        <v>109</v>
      </c>
      <c r="F222">
        <f>1/(1/F221+0.0002+0.0004)</f>
        <v>260.48644836000011</v>
      </c>
      <c r="G222">
        <f>1/(1/G221+0.0002+0.0004)</f>
        <v>432.90299656520187</v>
      </c>
    </row>
    <row r="223" spans="2:7" x14ac:dyDescent="0.25">
      <c r="B223" t="s">
        <v>111</v>
      </c>
      <c r="C223" t="s">
        <v>112</v>
      </c>
      <c r="F223">
        <f>F218/(F222*F219)</f>
        <v>2287.758867058139</v>
      </c>
      <c r="G223">
        <f>G218/(G222*G219)</f>
        <v>2120.2890339170485</v>
      </c>
    </row>
  </sheetData>
  <mergeCells count="14">
    <mergeCell ref="B95:E95"/>
    <mergeCell ref="B106:E106"/>
    <mergeCell ref="B79:B80"/>
    <mergeCell ref="B81:B82"/>
    <mergeCell ref="B83:B84"/>
    <mergeCell ref="B104:C104"/>
    <mergeCell ref="B99:D99"/>
    <mergeCell ref="B66:G66"/>
    <mergeCell ref="B72:C73"/>
    <mergeCell ref="B76:B78"/>
    <mergeCell ref="B86:C86"/>
    <mergeCell ref="B94:C94"/>
    <mergeCell ref="D74:E74"/>
    <mergeCell ref="F74:G7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topLeftCell="A16" workbookViewId="0">
      <selection activeCell="C7" sqref="C7"/>
    </sheetView>
  </sheetViews>
  <sheetFormatPr defaultRowHeight="15" x14ac:dyDescent="0.25"/>
  <cols>
    <col min="1" max="1" width="23" customWidth="1"/>
    <col min="2" max="2" width="13.42578125" customWidth="1"/>
    <col min="3" max="3" width="13.5703125" customWidth="1"/>
  </cols>
  <sheetData>
    <row r="1" spans="1:3" ht="24.75" thickTop="1" x14ac:dyDescent="0.25">
      <c r="A1" s="86" t="s">
        <v>121</v>
      </c>
      <c r="B1" s="29" t="s">
        <v>122</v>
      </c>
      <c r="C1" s="35" t="s">
        <v>125</v>
      </c>
    </row>
    <row r="2" spans="1:3" x14ac:dyDescent="0.25">
      <c r="A2" s="87"/>
      <c r="B2" s="33" t="s">
        <v>123</v>
      </c>
      <c r="C2" s="36" t="s">
        <v>126</v>
      </c>
    </row>
    <row r="3" spans="1:3" x14ac:dyDescent="0.25">
      <c r="A3" s="87"/>
      <c r="B3" s="33" t="s">
        <v>124</v>
      </c>
      <c r="C3" s="36" t="s">
        <v>127</v>
      </c>
    </row>
    <row r="4" spans="1:3" ht="15.75" thickBot="1" x14ac:dyDescent="0.3">
      <c r="A4" s="88"/>
      <c r="B4" s="32"/>
      <c r="C4" s="37"/>
    </row>
    <row r="5" spans="1:3" ht="15.75" thickBot="1" x14ac:dyDescent="0.3">
      <c r="A5" s="30" t="s">
        <v>128</v>
      </c>
      <c r="B5" s="28">
        <v>-73</v>
      </c>
      <c r="C5" s="31">
        <v>237</v>
      </c>
    </row>
    <row r="6" spans="1:3" ht="15.75" thickBot="1" x14ac:dyDescent="0.3">
      <c r="A6" s="30" t="s">
        <v>129</v>
      </c>
      <c r="B6" s="28">
        <v>0</v>
      </c>
      <c r="C6" s="31">
        <v>236</v>
      </c>
    </row>
    <row r="7" spans="1:3" ht="15.75" thickBot="1" x14ac:dyDescent="0.3">
      <c r="A7" s="30" t="s">
        <v>129</v>
      </c>
      <c r="B7" s="28">
        <v>127</v>
      </c>
      <c r="C7" s="31">
        <v>240</v>
      </c>
    </row>
    <row r="8" spans="1:3" ht="15.75" thickBot="1" x14ac:dyDescent="0.3">
      <c r="A8" s="30" t="s">
        <v>129</v>
      </c>
      <c r="B8" s="28">
        <v>327</v>
      </c>
      <c r="C8" s="31">
        <v>232</v>
      </c>
    </row>
    <row r="9" spans="1:3" ht="15.75" thickBot="1" x14ac:dyDescent="0.3">
      <c r="A9" s="30" t="s">
        <v>129</v>
      </c>
      <c r="B9" s="28">
        <v>527</v>
      </c>
      <c r="C9" s="31">
        <v>220</v>
      </c>
    </row>
    <row r="10" spans="1:3" ht="24.75" thickBot="1" x14ac:dyDescent="0.3">
      <c r="A10" s="30" t="s">
        <v>130</v>
      </c>
      <c r="B10" s="28">
        <v>20</v>
      </c>
      <c r="C10" s="31">
        <v>164</v>
      </c>
    </row>
    <row r="11" spans="1:3" ht="24.75" thickBot="1" x14ac:dyDescent="0.3">
      <c r="A11" s="30" t="s">
        <v>131</v>
      </c>
      <c r="B11" s="28">
        <v>20</v>
      </c>
      <c r="C11" s="31">
        <v>164</v>
      </c>
    </row>
    <row r="12" spans="1:3" ht="15.75" thickBot="1" x14ac:dyDescent="0.3">
      <c r="A12" s="30" t="s">
        <v>132</v>
      </c>
      <c r="B12" s="28" t="s">
        <v>133</v>
      </c>
      <c r="C12" s="31">
        <v>70</v>
      </c>
    </row>
    <row r="13" spans="1:3" ht="24.75" thickBot="1" x14ac:dyDescent="0.3">
      <c r="A13" s="30" t="s">
        <v>134</v>
      </c>
      <c r="B13" s="28" t="s">
        <v>133</v>
      </c>
      <c r="C13" s="31">
        <v>190</v>
      </c>
    </row>
    <row r="14" spans="1:3" ht="24.75" thickBot="1" x14ac:dyDescent="0.3">
      <c r="A14" s="30" t="s">
        <v>135</v>
      </c>
      <c r="B14" s="28" t="s">
        <v>133</v>
      </c>
      <c r="C14" s="31">
        <v>190</v>
      </c>
    </row>
    <row r="15" spans="1:3" ht="15.75" thickBot="1" x14ac:dyDescent="0.3">
      <c r="A15" s="30" t="s">
        <v>136</v>
      </c>
      <c r="B15" s="28" t="s">
        <v>133</v>
      </c>
      <c r="C15" s="31">
        <v>150</v>
      </c>
    </row>
    <row r="16" spans="1:3" ht="15.75" thickBot="1" x14ac:dyDescent="0.3">
      <c r="A16" s="30" t="s">
        <v>137</v>
      </c>
      <c r="B16" s="28">
        <v>-73</v>
      </c>
      <c r="C16" s="31">
        <v>30.2</v>
      </c>
    </row>
    <row r="17" spans="1:3" ht="15.75" thickBot="1" x14ac:dyDescent="0.3">
      <c r="A17" s="30" t="s">
        <v>129</v>
      </c>
      <c r="B17" s="28">
        <v>0</v>
      </c>
      <c r="C17" s="31">
        <v>25.5</v>
      </c>
    </row>
    <row r="18" spans="1:3" ht="15.75" thickBot="1" x14ac:dyDescent="0.3">
      <c r="A18" s="30" t="s">
        <v>129</v>
      </c>
      <c r="B18" s="28">
        <v>127</v>
      </c>
      <c r="C18" s="31">
        <v>21.2</v>
      </c>
    </row>
    <row r="19" spans="1:3" ht="15.75" thickBot="1" x14ac:dyDescent="0.3">
      <c r="A19" s="30" t="s">
        <v>129</v>
      </c>
      <c r="B19" s="28">
        <v>327</v>
      </c>
      <c r="C19" s="31">
        <v>18.2</v>
      </c>
    </row>
    <row r="20" spans="1:3" ht="15.75" thickBot="1" x14ac:dyDescent="0.3">
      <c r="A20" s="30" t="s">
        <v>129</v>
      </c>
      <c r="B20" s="28">
        <v>527</v>
      </c>
      <c r="C20" s="31">
        <v>16.8</v>
      </c>
    </row>
    <row r="21" spans="1:3" ht="15.75" thickBot="1" x14ac:dyDescent="0.3">
      <c r="A21" s="30" t="s">
        <v>138</v>
      </c>
      <c r="B21" s="28">
        <v>-73</v>
      </c>
      <c r="C21" s="31">
        <v>301</v>
      </c>
    </row>
    <row r="22" spans="1:3" ht="15.75" thickBot="1" x14ac:dyDescent="0.3">
      <c r="A22" s="30" t="s">
        <v>129</v>
      </c>
      <c r="B22" s="28">
        <v>0</v>
      </c>
      <c r="C22" s="31">
        <v>218</v>
      </c>
    </row>
    <row r="23" spans="1:3" ht="15.75" thickBot="1" x14ac:dyDescent="0.3">
      <c r="A23" s="30" t="s">
        <v>129</v>
      </c>
      <c r="B23" s="28">
        <v>127</v>
      </c>
      <c r="C23" s="31">
        <v>161</v>
      </c>
    </row>
    <row r="24" spans="1:3" ht="15.75" thickBot="1" x14ac:dyDescent="0.3">
      <c r="A24" s="30" t="s">
        <v>129</v>
      </c>
      <c r="B24" s="28">
        <v>327</v>
      </c>
      <c r="C24" s="31">
        <v>126</v>
      </c>
    </row>
    <row r="25" spans="1:3" ht="15.75" thickBot="1" x14ac:dyDescent="0.3">
      <c r="A25" s="30" t="s">
        <v>129</v>
      </c>
      <c r="B25" s="28">
        <v>527</v>
      </c>
      <c r="C25" s="31">
        <v>107</v>
      </c>
    </row>
    <row r="26" spans="1:3" ht="15.75" thickBot="1" x14ac:dyDescent="0.3">
      <c r="A26" s="30" t="s">
        <v>129</v>
      </c>
      <c r="B26" s="28">
        <v>727</v>
      </c>
      <c r="C26" s="31">
        <v>89</v>
      </c>
    </row>
    <row r="27" spans="1:3" ht="15.75" thickBot="1" x14ac:dyDescent="0.3">
      <c r="A27" s="30" t="s">
        <v>129</v>
      </c>
      <c r="B27" s="28">
        <v>927</v>
      </c>
      <c r="C27" s="31">
        <v>73</v>
      </c>
    </row>
    <row r="28" spans="1:3" ht="15.75" thickBot="1" x14ac:dyDescent="0.3">
      <c r="A28" s="30" t="s">
        <v>139</v>
      </c>
      <c r="B28" s="28" t="s">
        <v>133</v>
      </c>
      <c r="C28" s="31">
        <v>80</v>
      </c>
    </row>
    <row r="29" spans="1:3" ht="15.75" thickBot="1" x14ac:dyDescent="0.3">
      <c r="A29" s="30" t="s">
        <v>140</v>
      </c>
      <c r="B29" s="28">
        <v>-73</v>
      </c>
      <c r="C29" s="31">
        <v>9.6999999999999993</v>
      </c>
    </row>
    <row r="30" spans="1:3" ht="15.75" thickBot="1" x14ac:dyDescent="0.3">
      <c r="A30" s="30" t="s">
        <v>129</v>
      </c>
      <c r="B30" s="28">
        <v>0</v>
      </c>
      <c r="C30" s="31">
        <v>8.1999999999999993</v>
      </c>
    </row>
    <row r="31" spans="1:3" ht="15.75" thickBot="1" x14ac:dyDescent="0.3">
      <c r="A31" s="30" t="s">
        <v>141</v>
      </c>
      <c r="B31" s="28">
        <v>-73</v>
      </c>
      <c r="C31" s="31">
        <v>52.5</v>
      </c>
    </row>
    <row r="32" spans="1:3" ht="15.75" thickBot="1" x14ac:dyDescent="0.3">
      <c r="A32" s="30" t="s">
        <v>129</v>
      </c>
      <c r="B32" s="28">
        <v>0</v>
      </c>
      <c r="C32" s="31">
        <v>31.7</v>
      </c>
    </row>
    <row r="33" spans="1:3" ht="15.75" thickBot="1" x14ac:dyDescent="0.3">
      <c r="A33" s="30" t="s">
        <v>129</v>
      </c>
      <c r="B33" s="28">
        <v>127</v>
      </c>
      <c r="C33" s="31">
        <v>18.7</v>
      </c>
    </row>
    <row r="34" spans="1:3" ht="15.75" thickBot="1" x14ac:dyDescent="0.3">
      <c r="A34" s="30" t="s">
        <v>129</v>
      </c>
      <c r="B34" s="28">
        <v>327</v>
      </c>
      <c r="C34" s="31">
        <v>11.3</v>
      </c>
    </row>
    <row r="35" spans="1:3" ht="15.75" thickBot="1" x14ac:dyDescent="0.3">
      <c r="A35" s="30" t="s">
        <v>129</v>
      </c>
      <c r="B35" s="28">
        <v>527</v>
      </c>
      <c r="C35" s="31">
        <v>8.1</v>
      </c>
    </row>
    <row r="36" spans="1:3" ht="15.75" thickBot="1" x14ac:dyDescent="0.3">
      <c r="A36" s="30" t="s">
        <v>129</v>
      </c>
      <c r="B36" s="28">
        <v>727</v>
      </c>
      <c r="C36" s="31">
        <v>6.3</v>
      </c>
    </row>
    <row r="37" spans="1:3" ht="15.75" thickBot="1" x14ac:dyDescent="0.3">
      <c r="A37" s="30" t="s">
        <v>129</v>
      </c>
      <c r="B37" s="28">
        <v>927</v>
      </c>
      <c r="C37" s="31">
        <v>5.2</v>
      </c>
    </row>
    <row r="38" spans="1:3" ht="15.75" thickBot="1" x14ac:dyDescent="0.3">
      <c r="A38" s="30" t="s">
        <v>142</v>
      </c>
      <c r="B38" s="28">
        <v>-73</v>
      </c>
      <c r="C38" s="31">
        <v>99.3</v>
      </c>
    </row>
    <row r="39" spans="1:3" ht="15.75" thickBot="1" x14ac:dyDescent="0.3">
      <c r="A39" s="30" t="s">
        <v>129</v>
      </c>
      <c r="B39" s="28">
        <v>0</v>
      </c>
      <c r="C39" s="31">
        <v>97.5</v>
      </c>
    </row>
    <row r="40" spans="1:3" ht="15.75" thickBot="1" x14ac:dyDescent="0.3">
      <c r="A40" s="30" t="s">
        <v>129</v>
      </c>
      <c r="B40" s="28">
        <v>127</v>
      </c>
      <c r="C40" s="31">
        <v>94.7</v>
      </c>
    </row>
    <row r="41" spans="1:3" ht="15.75" thickBot="1" x14ac:dyDescent="0.3">
      <c r="A41" s="30" t="s">
        <v>143</v>
      </c>
      <c r="B41" s="28">
        <v>-73</v>
      </c>
      <c r="C41" s="31">
        <v>36.799999999999997</v>
      </c>
    </row>
    <row r="42" spans="1:3" ht="15.75" thickBot="1" x14ac:dyDescent="0.3">
      <c r="A42" s="30" t="s">
        <v>129</v>
      </c>
      <c r="B42" s="28">
        <v>0</v>
      </c>
      <c r="C42" s="31">
        <v>36.1</v>
      </c>
    </row>
    <row r="43" spans="1:3" ht="15.75" thickBot="1" x14ac:dyDescent="0.3">
      <c r="A43" s="30" t="s">
        <v>144</v>
      </c>
      <c r="B43" s="28">
        <v>-73</v>
      </c>
      <c r="C43" s="31">
        <v>111</v>
      </c>
    </row>
    <row r="44" spans="1:3" ht="15.75" thickBot="1" x14ac:dyDescent="0.3">
      <c r="A44" s="30" t="s">
        <v>129</v>
      </c>
      <c r="B44" s="28">
        <v>0</v>
      </c>
      <c r="C44" s="31">
        <v>94.8</v>
      </c>
    </row>
    <row r="45" spans="1:3" ht="15.75" thickBot="1" x14ac:dyDescent="0.3">
      <c r="A45" s="30" t="s">
        <v>129</v>
      </c>
      <c r="B45" s="28">
        <v>127</v>
      </c>
      <c r="C45" s="31">
        <v>87.3</v>
      </c>
    </row>
    <row r="46" spans="1:3" ht="15.75" thickBot="1" x14ac:dyDescent="0.3">
      <c r="A46" s="30" t="s">
        <v>129</v>
      </c>
      <c r="B46" s="28">
        <v>327</v>
      </c>
      <c r="C46" s="31">
        <v>80.5</v>
      </c>
    </row>
    <row r="47" spans="1:3" ht="15.75" thickBot="1" x14ac:dyDescent="0.3">
      <c r="A47" s="30" t="s">
        <v>129</v>
      </c>
      <c r="B47" s="28">
        <v>527</v>
      </c>
      <c r="C47" s="31">
        <v>71.3</v>
      </c>
    </row>
    <row r="48" spans="1:3" ht="15.75" thickBot="1" x14ac:dyDescent="0.3">
      <c r="A48" s="30" t="s">
        <v>129</v>
      </c>
      <c r="B48" s="28">
        <v>727</v>
      </c>
      <c r="C48" s="31">
        <v>65.3</v>
      </c>
    </row>
    <row r="49" spans="1:3" ht="15.75" thickBot="1" x14ac:dyDescent="0.3">
      <c r="A49" s="30" t="s">
        <v>129</v>
      </c>
      <c r="B49" s="28">
        <v>927</v>
      </c>
      <c r="C49" s="31">
        <v>62.4</v>
      </c>
    </row>
    <row r="50" spans="1:3" ht="15.75" thickBot="1" x14ac:dyDescent="0.3">
      <c r="A50" s="30" t="s">
        <v>145</v>
      </c>
      <c r="B50" s="28">
        <v>-73</v>
      </c>
      <c r="C50" s="31">
        <v>122</v>
      </c>
    </row>
    <row r="51" spans="1:3" ht="15.75" thickBot="1" x14ac:dyDescent="0.3">
      <c r="A51" s="30" t="s">
        <v>129</v>
      </c>
      <c r="B51" s="28">
        <v>0</v>
      </c>
      <c r="C51" s="31">
        <v>104</v>
      </c>
    </row>
    <row r="52" spans="1:3" ht="15.75" thickBot="1" x14ac:dyDescent="0.3">
      <c r="A52" s="30" t="s">
        <v>129</v>
      </c>
      <c r="B52" s="28">
        <v>127</v>
      </c>
      <c r="C52" s="31">
        <v>84.8</v>
      </c>
    </row>
    <row r="53" spans="1:3" ht="15.75" thickBot="1" x14ac:dyDescent="0.3">
      <c r="A53" s="30" t="s">
        <v>103</v>
      </c>
      <c r="B53" s="28">
        <v>-73</v>
      </c>
      <c r="C53" s="31">
        <v>413</v>
      </c>
    </row>
    <row r="54" spans="1:3" ht="15.75" thickBot="1" x14ac:dyDescent="0.3">
      <c r="A54" s="30" t="s">
        <v>129</v>
      </c>
      <c r="B54" s="28">
        <v>0</v>
      </c>
      <c r="C54" s="31">
        <v>401</v>
      </c>
    </row>
    <row r="55" spans="1:3" ht="15.75" thickBot="1" x14ac:dyDescent="0.3">
      <c r="A55" s="30" t="s">
        <v>129</v>
      </c>
      <c r="B55" s="28">
        <v>127</v>
      </c>
      <c r="C55" s="31">
        <v>392</v>
      </c>
    </row>
    <row r="56" spans="1:3" ht="15.75" thickBot="1" x14ac:dyDescent="0.3">
      <c r="A56" s="30" t="s">
        <v>129</v>
      </c>
      <c r="B56" s="28">
        <v>327</v>
      </c>
      <c r="C56" s="31">
        <v>383</v>
      </c>
    </row>
    <row r="57" spans="1:3" ht="15.75" thickBot="1" x14ac:dyDescent="0.3">
      <c r="A57" s="30" t="s">
        <v>129</v>
      </c>
      <c r="B57" s="28">
        <v>527</v>
      </c>
      <c r="C57" s="31">
        <v>371</v>
      </c>
    </row>
    <row r="58" spans="1:3" ht="15.75" thickBot="1" x14ac:dyDescent="0.3">
      <c r="A58" s="30" t="s">
        <v>129</v>
      </c>
      <c r="B58" s="28">
        <v>727</v>
      </c>
      <c r="C58" s="31">
        <v>357</v>
      </c>
    </row>
    <row r="59" spans="1:3" ht="15.75" thickBot="1" x14ac:dyDescent="0.3">
      <c r="A59" s="30" t="s">
        <v>129</v>
      </c>
      <c r="B59" s="28">
        <v>927</v>
      </c>
      <c r="C59" s="31">
        <v>342</v>
      </c>
    </row>
    <row r="60" spans="1:3" ht="15.75" thickBot="1" x14ac:dyDescent="0.3">
      <c r="A60" s="30" t="s">
        <v>146</v>
      </c>
      <c r="B60" s="28" t="s">
        <v>133</v>
      </c>
      <c r="C60" s="31">
        <v>390</v>
      </c>
    </row>
    <row r="61" spans="1:3" ht="15.75" thickBot="1" x14ac:dyDescent="0.3">
      <c r="A61" s="30" t="s">
        <v>147</v>
      </c>
      <c r="B61" s="28">
        <v>20</v>
      </c>
      <c r="C61" s="31">
        <v>111</v>
      </c>
    </row>
    <row r="62" spans="1:3" ht="24.75" thickBot="1" x14ac:dyDescent="0.3">
      <c r="A62" s="30" t="s">
        <v>148</v>
      </c>
      <c r="B62" s="28">
        <v>20</v>
      </c>
      <c r="C62" s="31">
        <v>83</v>
      </c>
    </row>
    <row r="63" spans="1:3" ht="24.75" thickBot="1" x14ac:dyDescent="0.3">
      <c r="A63" s="30" t="s">
        <v>149</v>
      </c>
      <c r="B63" s="28">
        <v>20</v>
      </c>
      <c r="C63" s="31">
        <v>26</v>
      </c>
    </row>
    <row r="64" spans="1:3" ht="24.75" thickBot="1" x14ac:dyDescent="0.3">
      <c r="A64" s="30" t="s">
        <v>150</v>
      </c>
      <c r="B64" s="28">
        <v>20</v>
      </c>
      <c r="C64" s="31">
        <v>111</v>
      </c>
    </row>
    <row r="65" spans="1:3" ht="24.75" thickBot="1" x14ac:dyDescent="0.3">
      <c r="A65" s="30" t="s">
        <v>151</v>
      </c>
      <c r="B65" s="28">
        <v>20</v>
      </c>
      <c r="C65" s="31">
        <v>120</v>
      </c>
    </row>
    <row r="66" spans="1:3" ht="24.75" thickBot="1" x14ac:dyDescent="0.3">
      <c r="A66" s="30" t="s">
        <v>152</v>
      </c>
      <c r="B66" s="28">
        <v>20</v>
      </c>
      <c r="C66" s="31">
        <v>22.7</v>
      </c>
    </row>
    <row r="67" spans="1:3" ht="24.75" thickBot="1" x14ac:dyDescent="0.3">
      <c r="A67" s="30" t="s">
        <v>153</v>
      </c>
      <c r="B67" s="28">
        <v>20</v>
      </c>
      <c r="C67" s="31">
        <v>24.9</v>
      </c>
    </row>
    <row r="68" spans="1:3" ht="24.75" thickBot="1" x14ac:dyDescent="0.3">
      <c r="A68" s="30" t="s">
        <v>154</v>
      </c>
      <c r="B68" s="28">
        <v>20</v>
      </c>
      <c r="C68" s="31">
        <v>50</v>
      </c>
    </row>
    <row r="69" spans="1:3" ht="24.75" thickBot="1" x14ac:dyDescent="0.3">
      <c r="A69" s="30" t="s">
        <v>155</v>
      </c>
      <c r="B69" s="28">
        <v>20</v>
      </c>
      <c r="C69" s="31">
        <v>61</v>
      </c>
    </row>
    <row r="70" spans="1:3" ht="15.75" thickBot="1" x14ac:dyDescent="0.3">
      <c r="A70" s="30" t="s">
        <v>156</v>
      </c>
      <c r="B70" s="28">
        <v>20</v>
      </c>
      <c r="C70" s="31">
        <v>29</v>
      </c>
    </row>
    <row r="71" spans="1:3" ht="15.75" thickBot="1" x14ac:dyDescent="0.3">
      <c r="A71" s="30" t="s">
        <v>157</v>
      </c>
      <c r="B71" s="28">
        <v>-73</v>
      </c>
      <c r="C71" s="31">
        <v>96.8</v>
      </c>
    </row>
    <row r="72" spans="1:3" ht="15.75" thickBot="1" x14ac:dyDescent="0.3">
      <c r="A72" s="30" t="s">
        <v>129</v>
      </c>
      <c r="B72" s="28">
        <v>0</v>
      </c>
      <c r="C72" s="31">
        <v>66.7</v>
      </c>
    </row>
    <row r="73" spans="1:3" ht="15.75" thickBot="1" x14ac:dyDescent="0.3">
      <c r="A73" s="30" t="s">
        <v>129</v>
      </c>
      <c r="B73" s="28">
        <v>127</v>
      </c>
      <c r="C73" s="31">
        <v>43.2</v>
      </c>
    </row>
    <row r="74" spans="1:3" ht="15.75" thickBot="1" x14ac:dyDescent="0.3">
      <c r="A74" s="30" t="s">
        <v>129</v>
      </c>
      <c r="B74" s="28">
        <v>327</v>
      </c>
      <c r="C74" s="31">
        <v>27.3</v>
      </c>
    </row>
    <row r="75" spans="1:3" ht="15.75" thickBot="1" x14ac:dyDescent="0.3">
      <c r="A75" s="30" t="s">
        <v>129</v>
      </c>
      <c r="B75" s="28">
        <v>527</v>
      </c>
      <c r="C75" s="31">
        <v>19.8</v>
      </c>
    </row>
    <row r="76" spans="1:3" ht="15.75" thickBot="1" x14ac:dyDescent="0.3">
      <c r="A76" s="30" t="s">
        <v>129</v>
      </c>
      <c r="B76" s="28">
        <v>727</v>
      </c>
      <c r="C76" s="31">
        <v>17.399999999999999</v>
      </c>
    </row>
    <row r="77" spans="1:3" ht="15.75" thickBot="1" x14ac:dyDescent="0.3">
      <c r="A77" s="30" t="s">
        <v>129</v>
      </c>
      <c r="B77" s="28">
        <v>927</v>
      </c>
      <c r="C77" s="31">
        <v>17.399999999999999</v>
      </c>
    </row>
    <row r="78" spans="1:3" ht="15.75" thickBot="1" x14ac:dyDescent="0.3">
      <c r="A78" s="30" t="s">
        <v>158</v>
      </c>
      <c r="B78" s="28">
        <v>-73</v>
      </c>
      <c r="C78" s="31">
        <v>327</v>
      </c>
    </row>
    <row r="79" spans="1:3" ht="15.75" thickBot="1" x14ac:dyDescent="0.3">
      <c r="A79" s="30" t="s">
        <v>129</v>
      </c>
      <c r="B79" s="28">
        <v>0</v>
      </c>
      <c r="C79" s="31">
        <v>318</v>
      </c>
    </row>
    <row r="80" spans="1:3" ht="15.75" thickBot="1" x14ac:dyDescent="0.3">
      <c r="A80" s="30" t="s">
        <v>129</v>
      </c>
      <c r="B80" s="28">
        <v>127</v>
      </c>
      <c r="C80" s="31">
        <v>312</v>
      </c>
    </row>
    <row r="81" spans="1:3" ht="15.75" thickBot="1" x14ac:dyDescent="0.3">
      <c r="A81" s="30" t="s">
        <v>129</v>
      </c>
      <c r="B81" s="28">
        <v>327</v>
      </c>
      <c r="C81" s="31">
        <v>304</v>
      </c>
    </row>
    <row r="82" spans="1:3" ht="15.75" thickBot="1" x14ac:dyDescent="0.3">
      <c r="A82" s="30" t="s">
        <v>129</v>
      </c>
      <c r="B82" s="28">
        <v>527</v>
      </c>
      <c r="C82" s="31">
        <v>292</v>
      </c>
    </row>
    <row r="83" spans="1:3" ht="15.75" thickBot="1" x14ac:dyDescent="0.3">
      <c r="A83" s="30" t="s">
        <v>129</v>
      </c>
      <c r="B83" s="28">
        <v>727</v>
      </c>
      <c r="C83" s="31">
        <v>278</v>
      </c>
    </row>
    <row r="84" spans="1:3" ht="15.75" thickBot="1" x14ac:dyDescent="0.3">
      <c r="A84" s="30" t="s">
        <v>129</v>
      </c>
      <c r="B84" s="28">
        <v>927</v>
      </c>
      <c r="C84" s="31">
        <v>262</v>
      </c>
    </row>
    <row r="85" spans="1:3" ht="15.75" thickBot="1" x14ac:dyDescent="0.3">
      <c r="A85" s="30" t="s">
        <v>159</v>
      </c>
      <c r="B85" s="28">
        <v>-73</v>
      </c>
      <c r="C85" s="31">
        <v>24.4</v>
      </c>
    </row>
    <row r="86" spans="1:3" ht="15.75" thickBot="1" x14ac:dyDescent="0.3">
      <c r="A86" s="30" t="s">
        <v>129</v>
      </c>
      <c r="B86" s="28">
        <v>0</v>
      </c>
      <c r="C86" s="31">
        <v>23.3</v>
      </c>
    </row>
    <row r="87" spans="1:3" ht="15.75" thickBot="1" x14ac:dyDescent="0.3">
      <c r="A87" s="30" t="s">
        <v>129</v>
      </c>
      <c r="B87" s="28">
        <v>127</v>
      </c>
      <c r="C87" s="31">
        <v>22.3</v>
      </c>
    </row>
    <row r="88" spans="1:3" ht="15.75" thickBot="1" x14ac:dyDescent="0.3">
      <c r="A88" s="30" t="s">
        <v>129</v>
      </c>
      <c r="B88" s="28">
        <v>327</v>
      </c>
      <c r="C88" s="31">
        <v>21.3</v>
      </c>
    </row>
    <row r="89" spans="1:3" ht="15.75" thickBot="1" x14ac:dyDescent="0.3">
      <c r="A89" s="30" t="s">
        <v>129</v>
      </c>
      <c r="B89" s="28">
        <v>527</v>
      </c>
      <c r="C89" s="31">
        <v>20.8</v>
      </c>
    </row>
    <row r="90" spans="1:3" ht="15.75" thickBot="1" x14ac:dyDescent="0.3">
      <c r="A90" s="30" t="s">
        <v>129</v>
      </c>
      <c r="B90" s="28">
        <v>727</v>
      </c>
      <c r="C90" s="31">
        <v>20.7</v>
      </c>
    </row>
    <row r="91" spans="1:3" ht="15.75" thickBot="1" x14ac:dyDescent="0.3">
      <c r="A91" s="30" t="s">
        <v>129</v>
      </c>
      <c r="B91" s="28">
        <v>927</v>
      </c>
      <c r="C91" s="31">
        <v>20.9</v>
      </c>
    </row>
    <row r="92" spans="1:3" ht="15.75" thickBot="1" x14ac:dyDescent="0.3">
      <c r="A92" s="30" t="s">
        <v>160</v>
      </c>
      <c r="B92" s="28" t="s">
        <v>133</v>
      </c>
      <c r="C92" s="31">
        <v>12</v>
      </c>
    </row>
    <row r="93" spans="1:3" ht="15.75" thickBot="1" x14ac:dyDescent="0.3">
      <c r="A93" s="30" t="s">
        <v>161</v>
      </c>
      <c r="B93" s="28" t="s">
        <v>162</v>
      </c>
      <c r="C93" s="31">
        <v>15</v>
      </c>
    </row>
    <row r="94" spans="1:3" ht="15.75" thickBot="1" x14ac:dyDescent="0.3">
      <c r="A94" s="30" t="s">
        <v>163</v>
      </c>
      <c r="B94" s="28" t="s">
        <v>164</v>
      </c>
      <c r="C94" s="31">
        <v>12</v>
      </c>
    </row>
    <row r="95" spans="1:3" ht="15.75" thickBot="1" x14ac:dyDescent="0.3">
      <c r="A95" s="30" t="s">
        <v>165</v>
      </c>
      <c r="B95" s="28">
        <v>-73</v>
      </c>
      <c r="C95" s="31">
        <v>89.7</v>
      </c>
    </row>
    <row r="96" spans="1:3" ht="15.75" thickBot="1" x14ac:dyDescent="0.3">
      <c r="A96" s="30" t="s">
        <v>129</v>
      </c>
      <c r="B96" s="28">
        <v>0</v>
      </c>
      <c r="C96" s="31">
        <v>83.7</v>
      </c>
    </row>
    <row r="97" spans="1:3" ht="15.75" thickBot="1" x14ac:dyDescent="0.3">
      <c r="A97" s="30" t="s">
        <v>129</v>
      </c>
      <c r="B97" s="28">
        <v>127</v>
      </c>
      <c r="C97" s="31">
        <v>75.5</v>
      </c>
    </row>
    <row r="98" spans="1:3" ht="15.75" thickBot="1" x14ac:dyDescent="0.3">
      <c r="A98" s="30" t="s">
        <v>166</v>
      </c>
      <c r="B98" s="28">
        <v>-73</v>
      </c>
      <c r="C98" s="31">
        <v>153</v>
      </c>
    </row>
    <row r="99" spans="1:3" ht="15.75" thickBot="1" x14ac:dyDescent="0.3">
      <c r="A99" s="30" t="s">
        <v>129</v>
      </c>
      <c r="B99" s="28">
        <v>0</v>
      </c>
      <c r="C99" s="31">
        <v>148</v>
      </c>
    </row>
    <row r="100" spans="1:3" ht="15.75" thickBot="1" x14ac:dyDescent="0.3">
      <c r="A100" s="30" t="s">
        <v>129</v>
      </c>
      <c r="B100" s="28">
        <v>127</v>
      </c>
      <c r="C100" s="31">
        <v>144</v>
      </c>
    </row>
    <row r="101" spans="1:3" ht="15.75" thickBot="1" x14ac:dyDescent="0.3">
      <c r="A101" s="30" t="s">
        <v>129</v>
      </c>
      <c r="B101" s="28">
        <v>327</v>
      </c>
      <c r="C101" s="31">
        <v>138</v>
      </c>
    </row>
    <row r="102" spans="1:3" ht="15.75" thickBot="1" x14ac:dyDescent="0.3">
      <c r="A102" s="30" t="s">
        <v>129</v>
      </c>
      <c r="B102" s="28">
        <v>527</v>
      </c>
      <c r="C102" s="31">
        <v>132</v>
      </c>
    </row>
    <row r="103" spans="1:3" ht="15.75" thickBot="1" x14ac:dyDescent="0.3">
      <c r="A103" s="30" t="s">
        <v>129</v>
      </c>
      <c r="B103" s="28">
        <v>727</v>
      </c>
      <c r="C103" s="31">
        <v>126</v>
      </c>
    </row>
    <row r="104" spans="1:3" ht="15.75" thickBot="1" x14ac:dyDescent="0.3">
      <c r="A104" s="30" t="s">
        <v>129</v>
      </c>
      <c r="B104" s="28">
        <v>927</v>
      </c>
      <c r="C104" s="31">
        <v>120</v>
      </c>
    </row>
    <row r="105" spans="1:3" ht="15.75" thickBot="1" x14ac:dyDescent="0.3">
      <c r="A105" s="30" t="s">
        <v>167</v>
      </c>
      <c r="B105" s="28">
        <v>-73</v>
      </c>
      <c r="C105" s="31">
        <v>94</v>
      </c>
    </row>
    <row r="106" spans="1:3" ht="15.75" thickBot="1" x14ac:dyDescent="0.3">
      <c r="A106" s="30" t="s">
        <v>129</v>
      </c>
      <c r="B106" s="28">
        <v>0</v>
      </c>
      <c r="C106" s="31">
        <v>83.5</v>
      </c>
    </row>
    <row r="107" spans="1:3" ht="15.75" thickBot="1" x14ac:dyDescent="0.3">
      <c r="A107" s="30" t="s">
        <v>129</v>
      </c>
      <c r="B107" s="28">
        <v>127</v>
      </c>
      <c r="C107" s="31">
        <v>69.400000000000006</v>
      </c>
    </row>
    <row r="108" spans="1:3" ht="15.75" thickBot="1" x14ac:dyDescent="0.3">
      <c r="A108" s="30" t="s">
        <v>129</v>
      </c>
      <c r="B108" s="28">
        <v>327</v>
      </c>
      <c r="C108" s="31">
        <v>54.7</v>
      </c>
    </row>
    <row r="109" spans="1:3" ht="15.75" thickBot="1" x14ac:dyDescent="0.3">
      <c r="A109" s="30" t="s">
        <v>129</v>
      </c>
      <c r="B109" s="28">
        <v>527</v>
      </c>
      <c r="C109" s="31">
        <v>43.3</v>
      </c>
    </row>
    <row r="110" spans="1:3" ht="15.75" thickBot="1" x14ac:dyDescent="0.3">
      <c r="A110" s="30" t="s">
        <v>129</v>
      </c>
      <c r="B110" s="28">
        <v>727</v>
      </c>
      <c r="C110" s="31">
        <v>32.6</v>
      </c>
    </row>
    <row r="111" spans="1:3" ht="15.75" thickBot="1" x14ac:dyDescent="0.3">
      <c r="A111" s="30" t="s">
        <v>129</v>
      </c>
      <c r="B111" s="28">
        <v>927</v>
      </c>
      <c r="C111" s="31">
        <v>28.2</v>
      </c>
    </row>
    <row r="112" spans="1:3" ht="15.75" thickBot="1" x14ac:dyDescent="0.3">
      <c r="A112" s="30"/>
      <c r="B112" s="28"/>
      <c r="C112" s="31"/>
    </row>
    <row r="113" spans="1:3" ht="15.75" thickBot="1" x14ac:dyDescent="0.3">
      <c r="A113" s="30" t="s">
        <v>168</v>
      </c>
      <c r="B113" s="28">
        <v>20</v>
      </c>
      <c r="C113" s="31">
        <v>52</v>
      </c>
    </row>
    <row r="114" spans="1:3" ht="15.75" thickBot="1" x14ac:dyDescent="0.3">
      <c r="A114" s="30" t="s">
        <v>169</v>
      </c>
      <c r="B114" s="28">
        <v>100</v>
      </c>
      <c r="C114" s="31">
        <v>31</v>
      </c>
    </row>
    <row r="115" spans="1:3" ht="15.75" thickBot="1" x14ac:dyDescent="0.3">
      <c r="A115" s="30" t="s">
        <v>170</v>
      </c>
      <c r="B115" s="28">
        <v>20</v>
      </c>
      <c r="C115" s="31">
        <v>59</v>
      </c>
    </row>
    <row r="116" spans="1:3" ht="15.75" thickBot="1" x14ac:dyDescent="0.3">
      <c r="A116" s="30" t="s">
        <v>171</v>
      </c>
      <c r="B116" s="28">
        <v>-73</v>
      </c>
      <c r="C116" s="31">
        <v>36.6</v>
      </c>
    </row>
    <row r="117" spans="1:3" ht="15.75" thickBot="1" x14ac:dyDescent="0.3">
      <c r="A117" s="30" t="s">
        <v>129</v>
      </c>
      <c r="B117" s="28">
        <v>0</v>
      </c>
      <c r="C117" s="31">
        <v>35.5</v>
      </c>
    </row>
    <row r="118" spans="1:3" ht="15.75" thickBot="1" x14ac:dyDescent="0.3">
      <c r="A118" s="30" t="s">
        <v>129</v>
      </c>
      <c r="B118" s="28">
        <v>127</v>
      </c>
      <c r="C118" s="31">
        <v>33.799999999999997</v>
      </c>
    </row>
    <row r="119" spans="1:3" ht="15.75" thickBot="1" x14ac:dyDescent="0.3">
      <c r="A119" s="30" t="s">
        <v>129</v>
      </c>
      <c r="B119" s="28">
        <v>327</v>
      </c>
      <c r="C119" s="31">
        <v>31.2</v>
      </c>
    </row>
    <row r="120" spans="1:3" ht="15.75" thickBot="1" x14ac:dyDescent="0.3">
      <c r="A120" s="30" t="s">
        <v>172</v>
      </c>
      <c r="B120" s="28" t="s">
        <v>133</v>
      </c>
      <c r="C120" s="31">
        <v>35</v>
      </c>
    </row>
    <row r="121" spans="1:3" ht="15.75" thickBot="1" x14ac:dyDescent="0.3">
      <c r="A121" s="30" t="s">
        <v>173</v>
      </c>
      <c r="B121" s="28" t="s">
        <v>133</v>
      </c>
      <c r="C121" s="31">
        <v>30</v>
      </c>
    </row>
    <row r="122" spans="1:3" ht="15.75" thickBot="1" x14ac:dyDescent="0.3">
      <c r="A122" s="30" t="s">
        <v>174</v>
      </c>
      <c r="B122" s="28">
        <v>-73</v>
      </c>
      <c r="C122" s="31">
        <v>88.1</v>
      </c>
    </row>
    <row r="123" spans="1:3" ht="15.75" thickBot="1" x14ac:dyDescent="0.3">
      <c r="A123" s="30" t="s">
        <v>129</v>
      </c>
      <c r="B123" s="28">
        <v>0</v>
      </c>
      <c r="C123" s="31">
        <v>79.2</v>
      </c>
    </row>
    <row r="124" spans="1:3" ht="15.75" thickBot="1" x14ac:dyDescent="0.3">
      <c r="A124" s="30" t="s">
        <v>129</v>
      </c>
      <c r="B124" s="28">
        <v>127</v>
      </c>
      <c r="C124" s="31">
        <v>72.099999999999994</v>
      </c>
    </row>
    <row r="125" spans="1:3" ht="15.75" thickBot="1" x14ac:dyDescent="0.3">
      <c r="A125" s="30" t="s">
        <v>175</v>
      </c>
      <c r="B125" s="28">
        <v>-73</v>
      </c>
      <c r="C125" s="31">
        <v>159</v>
      </c>
    </row>
    <row r="126" spans="1:3" ht="15.75" thickBot="1" x14ac:dyDescent="0.3">
      <c r="A126" s="30" t="s">
        <v>129</v>
      </c>
      <c r="B126" s="28">
        <v>0</v>
      </c>
      <c r="C126" s="31">
        <v>157</v>
      </c>
    </row>
    <row r="127" spans="1:3" ht="15.75" thickBot="1" x14ac:dyDescent="0.3">
      <c r="A127" s="30" t="s">
        <v>129</v>
      </c>
      <c r="B127" s="28">
        <v>127</v>
      </c>
      <c r="C127" s="31">
        <v>153</v>
      </c>
    </row>
    <row r="128" spans="1:3" ht="15.75" thickBot="1" x14ac:dyDescent="0.3">
      <c r="A128" s="30" t="s">
        <v>129</v>
      </c>
      <c r="B128" s="28">
        <v>327</v>
      </c>
      <c r="C128" s="31">
        <v>149</v>
      </c>
    </row>
    <row r="129" spans="1:3" ht="15.75" thickBot="1" x14ac:dyDescent="0.3">
      <c r="A129" s="30" t="s">
        <v>129</v>
      </c>
      <c r="B129" s="28">
        <v>527</v>
      </c>
      <c r="C129" s="31">
        <v>146</v>
      </c>
    </row>
    <row r="130" spans="1:3" ht="15.75" thickBot="1" x14ac:dyDescent="0.3">
      <c r="A130" s="30" t="s">
        <v>176</v>
      </c>
      <c r="B130" s="28" t="s">
        <v>133</v>
      </c>
      <c r="C130" s="31">
        <v>100</v>
      </c>
    </row>
    <row r="131" spans="1:3" ht="15.75" thickBot="1" x14ac:dyDescent="0.3">
      <c r="A131" s="30" t="s">
        <v>177</v>
      </c>
      <c r="B131" s="28">
        <v>-73</v>
      </c>
      <c r="C131" s="31">
        <v>7.17</v>
      </c>
    </row>
    <row r="132" spans="1:3" ht="15.75" thickBot="1" x14ac:dyDescent="0.3">
      <c r="A132" s="30" t="s">
        <v>129</v>
      </c>
      <c r="B132" s="28">
        <v>0</v>
      </c>
      <c r="C132" s="31">
        <v>7.68</v>
      </c>
    </row>
    <row r="133" spans="1:3" ht="15.75" thickBot="1" x14ac:dyDescent="0.3">
      <c r="A133" s="30" t="s">
        <v>178</v>
      </c>
      <c r="B133" s="28">
        <v>-73</v>
      </c>
      <c r="C133" s="31">
        <v>28.9</v>
      </c>
    </row>
    <row r="134" spans="1:3" ht="15.75" thickBot="1" x14ac:dyDescent="0.3">
      <c r="A134" s="30" t="s">
        <v>179</v>
      </c>
      <c r="B134" s="28">
        <v>-73</v>
      </c>
      <c r="C134" s="31">
        <v>143</v>
      </c>
    </row>
    <row r="135" spans="1:3" ht="15.75" thickBot="1" x14ac:dyDescent="0.3">
      <c r="A135" s="30" t="s">
        <v>129</v>
      </c>
      <c r="B135" s="28">
        <v>0</v>
      </c>
      <c r="C135" s="31">
        <v>139</v>
      </c>
    </row>
    <row r="136" spans="1:3" ht="15.75" thickBot="1" x14ac:dyDescent="0.3">
      <c r="A136" s="30" t="s">
        <v>129</v>
      </c>
      <c r="B136" s="28">
        <v>127</v>
      </c>
      <c r="C136" s="31">
        <v>134</v>
      </c>
    </row>
    <row r="137" spans="1:3" ht="15.75" thickBot="1" x14ac:dyDescent="0.3">
      <c r="A137" s="30" t="s">
        <v>129</v>
      </c>
      <c r="B137" s="28">
        <v>327</v>
      </c>
      <c r="C137" s="31">
        <v>126</v>
      </c>
    </row>
    <row r="138" spans="1:3" ht="15.75" thickBot="1" x14ac:dyDescent="0.3">
      <c r="A138" s="30" t="s">
        <v>129</v>
      </c>
      <c r="B138" s="28">
        <v>527</v>
      </c>
      <c r="C138" s="31">
        <v>118</v>
      </c>
    </row>
    <row r="139" spans="1:3" ht="15.75" thickBot="1" x14ac:dyDescent="0.3">
      <c r="A139" s="30" t="s">
        <v>129</v>
      </c>
      <c r="B139" s="28">
        <v>727</v>
      </c>
      <c r="C139" s="31">
        <v>112</v>
      </c>
    </row>
    <row r="140" spans="1:3" ht="15.75" thickBot="1" x14ac:dyDescent="0.3">
      <c r="A140" s="30" t="s">
        <v>129</v>
      </c>
      <c r="B140" s="28">
        <v>927</v>
      </c>
      <c r="C140" s="31">
        <v>105</v>
      </c>
    </row>
    <row r="141" spans="1:3" ht="15.75" thickBot="1" x14ac:dyDescent="0.3">
      <c r="A141" s="30" t="s">
        <v>180</v>
      </c>
      <c r="B141" s="28" t="s">
        <v>164</v>
      </c>
      <c r="C141" s="31">
        <v>26</v>
      </c>
    </row>
    <row r="142" spans="1:3" ht="15.75" thickBot="1" x14ac:dyDescent="0.3">
      <c r="A142" s="30" t="s">
        <v>181</v>
      </c>
      <c r="B142" s="28">
        <v>-73</v>
      </c>
      <c r="C142" s="31">
        <v>106</v>
      </c>
    </row>
    <row r="143" spans="1:3" ht="15.75" thickBot="1" x14ac:dyDescent="0.3">
      <c r="A143" s="30" t="s">
        <v>129</v>
      </c>
      <c r="B143" s="28">
        <v>0</v>
      </c>
      <c r="C143" s="31">
        <v>94</v>
      </c>
    </row>
    <row r="144" spans="1:3" ht="15.75" thickBot="1" x14ac:dyDescent="0.3">
      <c r="A144" s="30" t="s">
        <v>129</v>
      </c>
      <c r="B144" s="28">
        <v>127</v>
      </c>
      <c r="C144" s="31">
        <v>80.099999999999994</v>
      </c>
    </row>
    <row r="145" spans="1:3" ht="15.75" thickBot="1" x14ac:dyDescent="0.3">
      <c r="A145" s="30" t="s">
        <v>129</v>
      </c>
      <c r="B145" s="28">
        <v>327</v>
      </c>
      <c r="C145" s="31">
        <v>65.5</v>
      </c>
    </row>
    <row r="146" spans="1:3" ht="15.75" thickBot="1" x14ac:dyDescent="0.3">
      <c r="A146" s="30" t="s">
        <v>129</v>
      </c>
      <c r="B146" s="28">
        <v>527</v>
      </c>
      <c r="C146" s="31">
        <v>67.400000000000006</v>
      </c>
    </row>
    <row r="147" spans="1:3" ht="15.75" thickBot="1" x14ac:dyDescent="0.3">
      <c r="A147" s="30" t="s">
        <v>129</v>
      </c>
      <c r="B147" s="28">
        <v>727</v>
      </c>
      <c r="C147" s="31">
        <v>71.8</v>
      </c>
    </row>
    <row r="148" spans="1:3" ht="15.75" thickBot="1" x14ac:dyDescent="0.3">
      <c r="A148" s="30" t="s">
        <v>129</v>
      </c>
      <c r="B148" s="28">
        <v>927</v>
      </c>
      <c r="C148" s="31">
        <v>76.099999999999994</v>
      </c>
    </row>
    <row r="149" spans="1:3" ht="15.75" thickBot="1" x14ac:dyDescent="0.3">
      <c r="A149" s="30" t="s">
        <v>182</v>
      </c>
      <c r="B149" s="28" t="s">
        <v>164</v>
      </c>
      <c r="C149" s="31" t="s">
        <v>183</v>
      </c>
    </row>
    <row r="150" spans="1:3" ht="24.75" thickBot="1" x14ac:dyDescent="0.3">
      <c r="A150" s="30" t="s">
        <v>184</v>
      </c>
      <c r="B150" s="28" t="s">
        <v>133</v>
      </c>
      <c r="C150" s="31">
        <v>20</v>
      </c>
    </row>
    <row r="151" spans="1:3" ht="15.75" thickBot="1" x14ac:dyDescent="0.3">
      <c r="A151" s="30" t="s">
        <v>185</v>
      </c>
      <c r="B151" s="28">
        <v>-73</v>
      </c>
      <c r="C151" s="31">
        <v>52.6</v>
      </c>
    </row>
    <row r="152" spans="1:3" ht="15.75" thickBot="1" x14ac:dyDescent="0.3">
      <c r="A152" s="30" t="s">
        <v>129</v>
      </c>
      <c r="B152" s="28">
        <v>0</v>
      </c>
      <c r="C152" s="31">
        <v>53.3</v>
      </c>
    </row>
    <row r="153" spans="1:3" ht="15.75" thickBot="1" x14ac:dyDescent="0.3">
      <c r="A153" s="30" t="s">
        <v>129</v>
      </c>
      <c r="B153" s="28">
        <v>127</v>
      </c>
      <c r="C153" s="31">
        <v>55.2</v>
      </c>
    </row>
    <row r="154" spans="1:3" ht="15.75" thickBot="1" x14ac:dyDescent="0.3">
      <c r="A154" s="30" t="s">
        <v>129</v>
      </c>
      <c r="B154" s="28">
        <v>327</v>
      </c>
      <c r="C154" s="31">
        <v>58.2</v>
      </c>
    </row>
    <row r="155" spans="1:3" ht="15.75" thickBot="1" x14ac:dyDescent="0.3">
      <c r="A155" s="30" t="s">
        <v>129</v>
      </c>
      <c r="B155" s="28">
        <v>527</v>
      </c>
      <c r="C155" s="31">
        <v>61.3</v>
      </c>
    </row>
    <row r="156" spans="1:3" ht="15.75" thickBot="1" x14ac:dyDescent="0.3">
      <c r="A156" s="30" t="s">
        <v>129</v>
      </c>
      <c r="B156" s="28">
        <v>727</v>
      </c>
      <c r="C156" s="31">
        <v>64.400000000000006</v>
      </c>
    </row>
    <row r="157" spans="1:3" ht="15.75" thickBot="1" x14ac:dyDescent="0.3">
      <c r="A157" s="30" t="s">
        <v>129</v>
      </c>
      <c r="B157" s="28">
        <v>927</v>
      </c>
      <c r="C157" s="31">
        <v>67.5</v>
      </c>
    </row>
    <row r="158" spans="1:3" ht="15.75" thickBot="1" x14ac:dyDescent="0.3">
      <c r="A158" s="30" t="s">
        <v>186</v>
      </c>
      <c r="B158" s="28">
        <v>20</v>
      </c>
      <c r="C158" s="31">
        <v>61</v>
      </c>
    </row>
    <row r="159" spans="1:3" ht="15.75" thickBot="1" x14ac:dyDescent="0.3">
      <c r="A159" s="30" t="s">
        <v>187</v>
      </c>
      <c r="B159" s="28"/>
      <c r="C159" s="31">
        <v>75.5</v>
      </c>
    </row>
    <row r="160" spans="1:3" ht="15.75" thickBot="1" x14ac:dyDescent="0.3">
      <c r="A160" s="30" t="s">
        <v>188</v>
      </c>
      <c r="B160" s="28">
        <v>-73</v>
      </c>
      <c r="C160" s="31">
        <v>72.400000000000006</v>
      </c>
    </row>
    <row r="161" spans="1:3" ht="15.75" thickBot="1" x14ac:dyDescent="0.3">
      <c r="A161" s="30" t="s">
        <v>129</v>
      </c>
      <c r="B161" s="28">
        <v>0</v>
      </c>
      <c r="C161" s="31">
        <v>71.5</v>
      </c>
    </row>
    <row r="162" spans="1:3" ht="15.75" thickBot="1" x14ac:dyDescent="0.3">
      <c r="A162" s="30" t="s">
        <v>129</v>
      </c>
      <c r="B162" s="28">
        <v>127</v>
      </c>
      <c r="C162" s="31">
        <v>71.599999999999994</v>
      </c>
    </row>
    <row r="163" spans="1:3" ht="15.75" thickBot="1" x14ac:dyDescent="0.3">
      <c r="A163" s="30" t="s">
        <v>129</v>
      </c>
      <c r="B163" s="28">
        <v>327</v>
      </c>
      <c r="C163" s="31">
        <v>73</v>
      </c>
    </row>
    <row r="164" spans="1:3" ht="15.75" thickBot="1" x14ac:dyDescent="0.3">
      <c r="A164" s="30" t="s">
        <v>129</v>
      </c>
      <c r="B164" s="28">
        <v>527</v>
      </c>
      <c r="C164" s="31">
        <v>75.5</v>
      </c>
    </row>
    <row r="165" spans="1:3" ht="15.75" thickBot="1" x14ac:dyDescent="0.3">
      <c r="A165" s="30" t="s">
        <v>129</v>
      </c>
      <c r="B165" s="28">
        <v>727</v>
      </c>
      <c r="C165" s="31">
        <v>78.599999999999994</v>
      </c>
    </row>
    <row r="166" spans="1:3" ht="15.75" thickBot="1" x14ac:dyDescent="0.3">
      <c r="A166" s="30" t="s">
        <v>129</v>
      </c>
      <c r="B166" s="28">
        <v>927</v>
      </c>
      <c r="C166" s="31">
        <v>82.6</v>
      </c>
    </row>
    <row r="167" spans="1:3" ht="15.75" thickBot="1" x14ac:dyDescent="0.3">
      <c r="A167" s="30" t="s">
        <v>189</v>
      </c>
      <c r="B167" s="28">
        <v>20</v>
      </c>
      <c r="C167" s="31">
        <v>8</v>
      </c>
    </row>
    <row r="168" spans="1:3" ht="15.75" thickBot="1" x14ac:dyDescent="0.3">
      <c r="A168" s="30" t="s">
        <v>190</v>
      </c>
      <c r="B168" s="28">
        <v>-73</v>
      </c>
      <c r="C168" s="31">
        <v>104</v>
      </c>
    </row>
    <row r="169" spans="1:3" ht="15.75" thickBot="1" x14ac:dyDescent="0.3">
      <c r="A169" s="30" t="s">
        <v>129</v>
      </c>
      <c r="B169" s="28">
        <v>0</v>
      </c>
      <c r="C169" s="31">
        <v>104</v>
      </c>
    </row>
    <row r="170" spans="1:3" ht="15.75" thickBot="1" x14ac:dyDescent="0.3">
      <c r="A170" s="30" t="s">
        <v>129</v>
      </c>
      <c r="B170" s="28">
        <v>127</v>
      </c>
      <c r="C170" s="31">
        <v>52</v>
      </c>
    </row>
    <row r="171" spans="1:3" ht="15.75" thickBot="1" x14ac:dyDescent="0.3">
      <c r="A171" s="30" t="s">
        <v>191</v>
      </c>
      <c r="B171" s="28" t="s">
        <v>133</v>
      </c>
      <c r="C171" s="31">
        <v>160</v>
      </c>
    </row>
    <row r="172" spans="1:3" ht="15.75" thickBot="1" x14ac:dyDescent="0.3">
      <c r="A172" s="30" t="s">
        <v>192</v>
      </c>
      <c r="B172" s="28">
        <v>-73</v>
      </c>
      <c r="C172" s="31">
        <v>51</v>
      </c>
    </row>
    <row r="173" spans="1:3" ht="15.75" thickBot="1" x14ac:dyDescent="0.3">
      <c r="A173" s="30" t="s">
        <v>129</v>
      </c>
      <c r="B173" s="28">
        <v>0</v>
      </c>
      <c r="C173" s="31">
        <v>48.6</v>
      </c>
    </row>
    <row r="174" spans="1:3" ht="15.75" thickBot="1" x14ac:dyDescent="0.3">
      <c r="A174" s="30" t="s">
        <v>129</v>
      </c>
      <c r="B174" s="28">
        <v>127</v>
      </c>
      <c r="C174" s="31">
        <v>46.1</v>
      </c>
    </row>
    <row r="175" spans="1:3" ht="15.75" thickBot="1" x14ac:dyDescent="0.3">
      <c r="A175" s="30" t="s">
        <v>129</v>
      </c>
      <c r="B175" s="28">
        <v>327</v>
      </c>
      <c r="C175" s="31">
        <v>44.2</v>
      </c>
    </row>
    <row r="176" spans="1:3" ht="15.75" thickBot="1" x14ac:dyDescent="0.3">
      <c r="A176" s="30" t="s">
        <v>129</v>
      </c>
      <c r="B176" s="28">
        <v>527</v>
      </c>
      <c r="C176" s="31">
        <v>44.1</v>
      </c>
    </row>
    <row r="177" spans="1:3" ht="15.75" thickBot="1" x14ac:dyDescent="0.3">
      <c r="A177" s="30" t="s">
        <v>129</v>
      </c>
      <c r="B177" s="28">
        <v>727</v>
      </c>
      <c r="C177" s="31">
        <v>44.6</v>
      </c>
    </row>
    <row r="178" spans="1:3" ht="15.75" thickBot="1" x14ac:dyDescent="0.3">
      <c r="A178" s="30" t="s">
        <v>129</v>
      </c>
      <c r="B178" s="28">
        <v>927</v>
      </c>
      <c r="C178" s="31">
        <v>45.7</v>
      </c>
    </row>
    <row r="179" spans="1:3" ht="15.75" thickBot="1" x14ac:dyDescent="0.3">
      <c r="A179" s="30" t="s">
        <v>193</v>
      </c>
      <c r="B179" s="28">
        <v>-73</v>
      </c>
      <c r="C179" s="31">
        <v>154</v>
      </c>
    </row>
    <row r="180" spans="1:3" ht="15.75" thickBot="1" x14ac:dyDescent="0.3">
      <c r="A180" s="30" t="s">
        <v>129</v>
      </c>
      <c r="B180" s="28">
        <v>0</v>
      </c>
      <c r="C180" s="31">
        <v>151</v>
      </c>
    </row>
    <row r="181" spans="1:3" ht="15.75" thickBot="1" x14ac:dyDescent="0.3">
      <c r="A181" s="30" t="s">
        <v>129</v>
      </c>
      <c r="B181" s="28">
        <v>127</v>
      </c>
      <c r="C181" s="31">
        <v>146</v>
      </c>
    </row>
    <row r="182" spans="1:3" ht="15.75" thickBot="1" x14ac:dyDescent="0.3">
      <c r="A182" s="30" t="s">
        <v>129</v>
      </c>
      <c r="B182" s="28">
        <v>327</v>
      </c>
      <c r="C182" s="31">
        <v>136</v>
      </c>
    </row>
    <row r="183" spans="1:3" ht="15.75" thickBot="1" x14ac:dyDescent="0.3">
      <c r="A183" s="30" t="s">
        <v>129</v>
      </c>
      <c r="B183" s="28">
        <v>527</v>
      </c>
      <c r="C183" s="31">
        <v>127</v>
      </c>
    </row>
    <row r="184" spans="1:3" ht="15.75" thickBot="1" x14ac:dyDescent="0.3">
      <c r="A184" s="30" t="s">
        <v>129</v>
      </c>
      <c r="B184" s="28">
        <v>727</v>
      </c>
      <c r="C184" s="31">
        <v>121</v>
      </c>
    </row>
    <row r="185" spans="1:3" ht="15.75" thickBot="1" x14ac:dyDescent="0.3">
      <c r="A185" s="30" t="s">
        <v>129</v>
      </c>
      <c r="B185" s="28">
        <v>927</v>
      </c>
      <c r="C185" s="31">
        <v>115</v>
      </c>
    </row>
    <row r="186" spans="1:3" ht="15.75" thickBot="1" x14ac:dyDescent="0.3">
      <c r="A186" s="30" t="s">
        <v>194</v>
      </c>
      <c r="B186" s="28">
        <v>-73</v>
      </c>
      <c r="C186" s="31">
        <v>58.9</v>
      </c>
    </row>
    <row r="187" spans="1:3" ht="15.75" thickBot="1" x14ac:dyDescent="0.3">
      <c r="A187" s="30" t="s">
        <v>129</v>
      </c>
      <c r="B187" s="28">
        <v>0</v>
      </c>
      <c r="C187" s="31">
        <v>58.3</v>
      </c>
    </row>
    <row r="188" spans="1:3" ht="15.75" thickBot="1" x14ac:dyDescent="0.3">
      <c r="A188" s="30" t="s">
        <v>195</v>
      </c>
      <c r="B188" s="28">
        <v>20</v>
      </c>
      <c r="C188" s="31">
        <v>0.52</v>
      </c>
    </row>
    <row r="189" spans="1:3" ht="15.75" thickBot="1" x14ac:dyDescent="0.3">
      <c r="A189" s="30" t="s">
        <v>196</v>
      </c>
      <c r="B189" s="28">
        <v>-73</v>
      </c>
      <c r="C189" s="31">
        <v>264</v>
      </c>
    </row>
    <row r="190" spans="1:3" ht="15.75" thickBot="1" x14ac:dyDescent="0.3">
      <c r="A190" s="30" t="s">
        <v>129</v>
      </c>
      <c r="B190" s="28">
        <v>0</v>
      </c>
      <c r="C190" s="31">
        <v>168</v>
      </c>
    </row>
    <row r="191" spans="1:3" ht="15.75" thickBot="1" x14ac:dyDescent="0.3">
      <c r="A191" s="30" t="s">
        <v>129</v>
      </c>
      <c r="B191" s="28">
        <v>127</v>
      </c>
      <c r="C191" s="31">
        <v>98.9</v>
      </c>
    </row>
    <row r="192" spans="1:3" ht="15.75" thickBot="1" x14ac:dyDescent="0.3">
      <c r="A192" s="30" t="s">
        <v>129</v>
      </c>
      <c r="B192" s="28">
        <v>327</v>
      </c>
      <c r="C192" s="31">
        <v>61.9</v>
      </c>
    </row>
    <row r="193" spans="1:3" ht="15.75" thickBot="1" x14ac:dyDescent="0.3">
      <c r="A193" s="30" t="s">
        <v>129</v>
      </c>
      <c r="B193" s="28">
        <v>527</v>
      </c>
      <c r="C193" s="31">
        <v>42.2</v>
      </c>
    </row>
    <row r="194" spans="1:3" ht="15.75" thickBot="1" x14ac:dyDescent="0.3">
      <c r="A194" s="30" t="s">
        <v>129</v>
      </c>
      <c r="B194" s="28">
        <v>727</v>
      </c>
      <c r="C194" s="31">
        <v>31.2</v>
      </c>
    </row>
    <row r="195" spans="1:3" ht="15.75" thickBot="1" x14ac:dyDescent="0.3">
      <c r="A195" s="30" t="s">
        <v>129</v>
      </c>
      <c r="B195" s="28">
        <v>927</v>
      </c>
      <c r="C195" s="31">
        <v>25.7</v>
      </c>
    </row>
    <row r="196" spans="1:3" ht="15.75" thickBot="1" x14ac:dyDescent="0.3">
      <c r="A196" s="30" t="s">
        <v>197</v>
      </c>
      <c r="B196" s="28">
        <v>-73</v>
      </c>
      <c r="C196" s="31">
        <v>403</v>
      </c>
    </row>
    <row r="197" spans="1:3" ht="15.75" thickBot="1" x14ac:dyDescent="0.3">
      <c r="A197" s="30" t="s">
        <v>129</v>
      </c>
      <c r="B197" s="28">
        <v>0</v>
      </c>
      <c r="C197" s="31">
        <v>428</v>
      </c>
    </row>
    <row r="198" spans="1:3" ht="15.75" thickBot="1" x14ac:dyDescent="0.3">
      <c r="A198" s="30" t="s">
        <v>129</v>
      </c>
      <c r="B198" s="28">
        <v>127</v>
      </c>
      <c r="C198" s="31">
        <v>420</v>
      </c>
    </row>
    <row r="199" spans="1:3" ht="15.75" thickBot="1" x14ac:dyDescent="0.3">
      <c r="A199" s="30" t="s">
        <v>129</v>
      </c>
      <c r="B199" s="28">
        <v>327</v>
      </c>
      <c r="C199" s="31">
        <v>405</v>
      </c>
    </row>
    <row r="200" spans="1:3" ht="15.75" thickBot="1" x14ac:dyDescent="0.3">
      <c r="A200" s="30" t="s">
        <v>129</v>
      </c>
      <c r="B200" s="28">
        <v>527</v>
      </c>
      <c r="C200" s="31">
        <v>389</v>
      </c>
    </row>
    <row r="201" spans="1:3" ht="15.75" thickBot="1" x14ac:dyDescent="0.3">
      <c r="A201" s="30" t="s">
        <v>129</v>
      </c>
      <c r="B201" s="28">
        <v>727</v>
      </c>
      <c r="C201" s="31">
        <v>374</v>
      </c>
    </row>
    <row r="202" spans="1:3" ht="15.75" thickBot="1" x14ac:dyDescent="0.3">
      <c r="A202" s="30" t="s">
        <v>129</v>
      </c>
      <c r="B202" s="28">
        <v>927</v>
      </c>
      <c r="C202" s="31">
        <v>358</v>
      </c>
    </row>
    <row r="203" spans="1:3" ht="15.75" thickBot="1" x14ac:dyDescent="0.3">
      <c r="A203" s="30" t="s">
        <v>198</v>
      </c>
      <c r="B203" s="28">
        <v>-73</v>
      </c>
      <c r="C203" s="31">
        <v>138</v>
      </c>
    </row>
    <row r="204" spans="1:3" ht="15.75" thickBot="1" x14ac:dyDescent="0.3">
      <c r="A204" s="30" t="s">
        <v>129</v>
      </c>
      <c r="B204" s="28">
        <v>0</v>
      </c>
      <c r="C204" s="31">
        <v>135</v>
      </c>
    </row>
    <row r="205" spans="1:3" ht="15.75" thickBot="1" x14ac:dyDescent="0.3">
      <c r="A205" s="30" t="s">
        <v>199</v>
      </c>
      <c r="B205" s="28" t="s">
        <v>133</v>
      </c>
      <c r="C205" s="31">
        <v>50</v>
      </c>
    </row>
    <row r="206" spans="1:3" ht="15.75" thickBot="1" x14ac:dyDescent="0.3">
      <c r="A206" s="30" t="s">
        <v>200</v>
      </c>
      <c r="B206" s="28">
        <v>20</v>
      </c>
      <c r="C206" s="31">
        <v>54</v>
      </c>
    </row>
    <row r="207" spans="1:3" ht="15.75" thickBot="1" x14ac:dyDescent="0.3">
      <c r="A207" s="30" t="s">
        <v>201</v>
      </c>
      <c r="B207" s="28">
        <v>20</v>
      </c>
      <c r="C207" s="31">
        <v>43</v>
      </c>
    </row>
    <row r="208" spans="1:3" ht="15.75" thickBot="1" x14ac:dyDescent="0.3">
      <c r="A208" s="30" t="s">
        <v>202</v>
      </c>
      <c r="B208" s="28">
        <v>20</v>
      </c>
      <c r="C208" s="31">
        <v>36</v>
      </c>
    </row>
    <row r="209" spans="1:3" ht="15.75" thickBot="1" x14ac:dyDescent="0.3">
      <c r="A209" s="30" t="s">
        <v>129</v>
      </c>
      <c r="B209" s="28">
        <v>400</v>
      </c>
      <c r="C209" s="31">
        <v>36</v>
      </c>
    </row>
    <row r="210" spans="1:3" ht="15.75" thickBot="1" x14ac:dyDescent="0.3">
      <c r="A210" s="30" t="s">
        <v>129</v>
      </c>
      <c r="B210" s="28">
        <v>122</v>
      </c>
      <c r="C210" s="31">
        <v>33</v>
      </c>
    </row>
    <row r="211" spans="1:3" ht="15.75" thickBot="1" x14ac:dyDescent="0.3">
      <c r="A211" s="30" t="s">
        <v>203</v>
      </c>
      <c r="B211" s="28">
        <v>20</v>
      </c>
      <c r="C211" s="31">
        <v>61</v>
      </c>
    </row>
    <row r="212" spans="1:3" ht="15.75" thickBot="1" x14ac:dyDescent="0.3">
      <c r="A212" s="30" t="s">
        <v>204</v>
      </c>
      <c r="B212" s="28">
        <v>20</v>
      </c>
      <c r="C212" s="31">
        <v>40</v>
      </c>
    </row>
    <row r="213" spans="1:3" ht="15.75" thickBot="1" x14ac:dyDescent="0.3">
      <c r="A213" s="30" t="s">
        <v>205</v>
      </c>
      <c r="B213" s="28">
        <v>20</v>
      </c>
      <c r="C213" s="31">
        <v>31</v>
      </c>
    </row>
    <row r="214" spans="1:3" ht="24.75" thickBot="1" x14ac:dyDescent="0.3">
      <c r="A214" s="30" t="s">
        <v>206</v>
      </c>
      <c r="B214" s="28">
        <v>20</v>
      </c>
      <c r="C214" s="31">
        <v>19</v>
      </c>
    </row>
    <row r="215" spans="1:3" ht="24.75" thickBot="1" x14ac:dyDescent="0.3">
      <c r="A215" s="30" t="s">
        <v>207</v>
      </c>
      <c r="B215" s="28">
        <v>20</v>
      </c>
      <c r="C215" s="31">
        <v>15.1</v>
      </c>
    </row>
    <row r="216" spans="1:3" ht="15.75" thickBot="1" x14ac:dyDescent="0.3">
      <c r="A216" s="30" t="s">
        <v>208</v>
      </c>
      <c r="B216" s="28">
        <v>20</v>
      </c>
      <c r="C216" s="31">
        <v>10</v>
      </c>
    </row>
    <row r="217" spans="1:3" ht="15.75" thickBot="1" x14ac:dyDescent="0.3">
      <c r="A217" s="30" t="s">
        <v>209</v>
      </c>
      <c r="B217" s="28">
        <v>21</v>
      </c>
      <c r="C217" s="31">
        <v>8.6999999999999993</v>
      </c>
    </row>
    <row r="218" spans="1:3" ht="15.75" thickBot="1" x14ac:dyDescent="0.3">
      <c r="A218" s="30" t="s">
        <v>210</v>
      </c>
      <c r="B218" s="28">
        <v>20</v>
      </c>
      <c r="C218" s="31">
        <v>26</v>
      </c>
    </row>
    <row r="219" spans="1:3" ht="15.75" thickBot="1" x14ac:dyDescent="0.3">
      <c r="A219" s="30" t="s">
        <v>211</v>
      </c>
      <c r="B219" s="28">
        <v>20</v>
      </c>
      <c r="C219" s="31">
        <v>19</v>
      </c>
    </row>
    <row r="220" spans="1:3" ht="15.75" thickBot="1" x14ac:dyDescent="0.3">
      <c r="A220" s="30" t="s">
        <v>212</v>
      </c>
      <c r="B220" s="28">
        <v>20</v>
      </c>
      <c r="C220" s="31">
        <v>10</v>
      </c>
    </row>
    <row r="221" spans="1:3" ht="15.75" thickBot="1" x14ac:dyDescent="0.3">
      <c r="A221" s="30" t="s">
        <v>213</v>
      </c>
      <c r="B221" s="28">
        <v>20</v>
      </c>
      <c r="C221" s="31">
        <v>19</v>
      </c>
    </row>
    <row r="222" spans="1:3" ht="24.75" thickBot="1" x14ac:dyDescent="0.3">
      <c r="A222" s="30" t="s">
        <v>214</v>
      </c>
      <c r="B222" s="28">
        <v>20</v>
      </c>
      <c r="C222" s="31">
        <v>17</v>
      </c>
    </row>
    <row r="223" spans="1:3" ht="24.75" thickBot="1" x14ac:dyDescent="0.3">
      <c r="A223" s="30" t="s">
        <v>215</v>
      </c>
      <c r="B223" s="28">
        <v>20</v>
      </c>
      <c r="C223" s="31">
        <v>11.6</v>
      </c>
    </row>
    <row r="224" spans="1:3" ht="15.75" thickBot="1" x14ac:dyDescent="0.3">
      <c r="A224" s="30" t="s">
        <v>216</v>
      </c>
      <c r="B224" s="28">
        <v>20</v>
      </c>
      <c r="C224" s="31">
        <v>50</v>
      </c>
    </row>
    <row r="225" spans="1:3" ht="15.75" thickBot="1" x14ac:dyDescent="0.3">
      <c r="A225" s="30" t="s">
        <v>217</v>
      </c>
      <c r="B225" s="28">
        <v>20</v>
      </c>
      <c r="C225" s="31">
        <v>14.4</v>
      </c>
    </row>
    <row r="226" spans="1:3" ht="15.75" thickBot="1" x14ac:dyDescent="0.3">
      <c r="A226" s="30" t="s">
        <v>218</v>
      </c>
      <c r="B226" s="28">
        <v>20</v>
      </c>
      <c r="C226" s="31">
        <v>14.3</v>
      </c>
    </row>
    <row r="227" spans="1:3" ht="15.75" thickBot="1" x14ac:dyDescent="0.3">
      <c r="A227" s="30" t="s">
        <v>219</v>
      </c>
      <c r="B227" s="28">
        <v>20</v>
      </c>
      <c r="C227" s="31">
        <v>66</v>
      </c>
    </row>
    <row r="228" spans="1:3" ht="15.75" thickBot="1" x14ac:dyDescent="0.3">
      <c r="A228" s="30" t="s">
        <v>220</v>
      </c>
      <c r="B228" s="28">
        <v>0</v>
      </c>
      <c r="C228" s="31">
        <v>59</v>
      </c>
    </row>
    <row r="229" spans="1:3" ht="15.75" thickBot="1" x14ac:dyDescent="0.3">
      <c r="A229" s="30" t="s">
        <v>221</v>
      </c>
      <c r="B229" s="28">
        <v>-73</v>
      </c>
      <c r="C229" s="31">
        <v>57.5</v>
      </c>
    </row>
    <row r="230" spans="1:3" ht="15.75" thickBot="1" x14ac:dyDescent="0.3">
      <c r="A230" s="30" t="s">
        <v>129</v>
      </c>
      <c r="B230" s="28">
        <v>0</v>
      </c>
      <c r="C230" s="31">
        <v>57.4</v>
      </c>
    </row>
    <row r="231" spans="1:3" ht="15.75" thickBot="1" x14ac:dyDescent="0.3">
      <c r="A231" s="30" t="s">
        <v>129</v>
      </c>
      <c r="B231" s="28">
        <v>127</v>
      </c>
      <c r="C231" s="31">
        <v>57.8</v>
      </c>
    </row>
    <row r="232" spans="1:3" ht="15.75" thickBot="1" x14ac:dyDescent="0.3">
      <c r="A232" s="30" t="s">
        <v>129</v>
      </c>
      <c r="B232" s="28">
        <v>327</v>
      </c>
      <c r="C232" s="31">
        <v>58.9</v>
      </c>
    </row>
    <row r="233" spans="1:3" ht="15.75" thickBot="1" x14ac:dyDescent="0.3">
      <c r="A233" s="30" t="s">
        <v>129</v>
      </c>
      <c r="B233" s="28">
        <v>527</v>
      </c>
      <c r="C233" s="31">
        <v>59.4</v>
      </c>
    </row>
    <row r="234" spans="1:3" ht="15.75" thickBot="1" x14ac:dyDescent="0.3">
      <c r="A234" s="30" t="s">
        <v>129</v>
      </c>
      <c r="B234" s="28">
        <v>727</v>
      </c>
      <c r="C234" s="31">
        <v>60.2</v>
      </c>
    </row>
    <row r="235" spans="1:3" ht="15.75" thickBot="1" x14ac:dyDescent="0.3">
      <c r="A235" s="30" t="s">
        <v>129</v>
      </c>
      <c r="B235" s="28">
        <v>927</v>
      </c>
      <c r="C235" s="31">
        <v>61</v>
      </c>
    </row>
    <row r="236" spans="1:3" ht="15.75" thickBot="1" x14ac:dyDescent="0.3">
      <c r="A236" s="30" t="s">
        <v>222</v>
      </c>
      <c r="B236" s="28">
        <v>20</v>
      </c>
      <c r="C236" s="31">
        <v>42</v>
      </c>
    </row>
    <row r="237" spans="1:3" ht="15.75" thickBot="1" x14ac:dyDescent="0.3">
      <c r="A237" s="30" t="s">
        <v>223</v>
      </c>
      <c r="B237" s="28">
        <v>-73</v>
      </c>
      <c r="C237" s="31">
        <v>73.3</v>
      </c>
    </row>
    <row r="238" spans="1:3" ht="15.75" thickBot="1" x14ac:dyDescent="0.3">
      <c r="A238" s="30" t="s">
        <v>129</v>
      </c>
      <c r="B238" s="28">
        <v>0</v>
      </c>
      <c r="C238" s="31">
        <v>68.2</v>
      </c>
    </row>
    <row r="239" spans="1:3" ht="15.75" thickBot="1" x14ac:dyDescent="0.3">
      <c r="A239" s="30" t="s">
        <v>129</v>
      </c>
      <c r="B239" s="28">
        <v>127</v>
      </c>
      <c r="C239" s="31">
        <v>62.2</v>
      </c>
    </row>
    <row r="240" spans="1:3" ht="15.75" thickBot="1" x14ac:dyDescent="0.3">
      <c r="A240" s="30" t="s">
        <v>224</v>
      </c>
      <c r="B240" s="28">
        <v>-73</v>
      </c>
      <c r="C240" s="31">
        <v>24.5</v>
      </c>
    </row>
    <row r="241" spans="1:3" ht="15.75" thickBot="1" x14ac:dyDescent="0.3">
      <c r="A241" s="30" t="s">
        <v>129</v>
      </c>
      <c r="B241" s="28">
        <v>0</v>
      </c>
      <c r="C241" s="31">
        <v>22.4</v>
      </c>
    </row>
    <row r="242" spans="1:3" ht="15.75" thickBot="1" x14ac:dyDescent="0.3">
      <c r="A242" s="30" t="s">
        <v>129</v>
      </c>
      <c r="B242" s="28">
        <v>127</v>
      </c>
      <c r="C242" s="31">
        <v>20.399999999999999</v>
      </c>
    </row>
    <row r="243" spans="1:3" ht="15.75" thickBot="1" x14ac:dyDescent="0.3">
      <c r="A243" s="30" t="s">
        <v>129</v>
      </c>
      <c r="B243" s="28">
        <v>327</v>
      </c>
      <c r="C243" s="31">
        <v>19.399999999999999</v>
      </c>
    </row>
    <row r="244" spans="1:3" ht="15.75" thickBot="1" x14ac:dyDescent="0.3">
      <c r="A244" s="30" t="s">
        <v>129</v>
      </c>
      <c r="B244" s="28">
        <v>527</v>
      </c>
      <c r="C244" s="31">
        <v>19.7</v>
      </c>
    </row>
    <row r="245" spans="1:3" ht="15.75" thickBot="1" x14ac:dyDescent="0.3">
      <c r="A245" s="30" t="s">
        <v>129</v>
      </c>
      <c r="B245" s="28">
        <v>727</v>
      </c>
      <c r="C245" s="31">
        <v>20.7</v>
      </c>
    </row>
    <row r="246" spans="1:3" ht="15.75" thickBot="1" x14ac:dyDescent="0.3">
      <c r="A246" s="30" t="s">
        <v>129</v>
      </c>
      <c r="B246" s="28">
        <v>927</v>
      </c>
      <c r="C246" s="31">
        <v>22</v>
      </c>
    </row>
    <row r="247" spans="1:3" ht="15.75" thickBot="1" x14ac:dyDescent="0.3">
      <c r="A247" s="30" t="s">
        <v>225</v>
      </c>
      <c r="B247" s="28">
        <v>-73</v>
      </c>
      <c r="C247" s="31">
        <v>197</v>
      </c>
    </row>
    <row r="248" spans="1:3" ht="15.75" thickBot="1" x14ac:dyDescent="0.3">
      <c r="A248" s="30" t="s">
        <v>129</v>
      </c>
      <c r="B248" s="28">
        <v>0</v>
      </c>
      <c r="C248" s="31">
        <v>182</v>
      </c>
    </row>
    <row r="249" spans="1:3" ht="15.75" thickBot="1" x14ac:dyDescent="0.3">
      <c r="A249" s="30" t="s">
        <v>129</v>
      </c>
      <c r="B249" s="28">
        <v>127</v>
      </c>
      <c r="C249" s="31">
        <v>162</v>
      </c>
    </row>
    <row r="250" spans="1:3" ht="15.75" thickBot="1" x14ac:dyDescent="0.3">
      <c r="A250" s="30" t="s">
        <v>129</v>
      </c>
      <c r="B250" s="28">
        <v>327</v>
      </c>
      <c r="C250" s="31">
        <v>139</v>
      </c>
    </row>
    <row r="251" spans="1:3" ht="15.75" thickBot="1" x14ac:dyDescent="0.3">
      <c r="A251" s="30" t="s">
        <v>129</v>
      </c>
      <c r="B251" s="28">
        <v>527</v>
      </c>
      <c r="C251" s="31">
        <v>128</v>
      </c>
    </row>
    <row r="252" spans="1:3" ht="15.75" thickBot="1" x14ac:dyDescent="0.3">
      <c r="A252" s="30" t="s">
        <v>129</v>
      </c>
      <c r="B252" s="28">
        <v>727</v>
      </c>
      <c r="C252" s="31">
        <v>121</v>
      </c>
    </row>
    <row r="253" spans="1:3" ht="15.75" thickBot="1" x14ac:dyDescent="0.3">
      <c r="A253" s="30" t="s">
        <v>129</v>
      </c>
      <c r="B253" s="28">
        <v>927</v>
      </c>
      <c r="C253" s="31">
        <v>115</v>
      </c>
    </row>
    <row r="254" spans="1:3" ht="15.75" thickBot="1" x14ac:dyDescent="0.3">
      <c r="A254" s="30" t="s">
        <v>226</v>
      </c>
      <c r="B254" s="28">
        <v>-73</v>
      </c>
      <c r="C254" s="31">
        <v>25.1</v>
      </c>
    </row>
    <row r="255" spans="1:3" ht="15.75" thickBot="1" x14ac:dyDescent="0.3">
      <c r="A255" s="30" t="s">
        <v>129</v>
      </c>
      <c r="B255" s="28">
        <v>0</v>
      </c>
      <c r="C255" s="31">
        <v>27</v>
      </c>
    </row>
    <row r="256" spans="1:3" ht="15.75" thickBot="1" x14ac:dyDescent="0.3">
      <c r="A256" s="30" t="s">
        <v>129</v>
      </c>
      <c r="B256" s="28">
        <v>127</v>
      </c>
      <c r="C256" s="31">
        <v>29.6</v>
      </c>
    </row>
    <row r="257" spans="1:3" ht="15.75" thickBot="1" x14ac:dyDescent="0.3">
      <c r="A257" s="30" t="s">
        <v>129</v>
      </c>
      <c r="B257" s="28">
        <v>327</v>
      </c>
      <c r="C257" s="31">
        <v>34</v>
      </c>
    </row>
    <row r="258" spans="1:3" ht="15.75" thickBot="1" x14ac:dyDescent="0.3">
      <c r="A258" s="30" t="s">
        <v>129</v>
      </c>
      <c r="B258" s="28">
        <v>527</v>
      </c>
      <c r="C258" s="31">
        <v>38.799999999999997</v>
      </c>
    </row>
    <row r="259" spans="1:3" ht="15.75" thickBot="1" x14ac:dyDescent="0.3">
      <c r="A259" s="30" t="s">
        <v>129</v>
      </c>
      <c r="B259" s="28">
        <v>727</v>
      </c>
      <c r="C259" s="31">
        <v>43.9</v>
      </c>
    </row>
    <row r="260" spans="1:3" ht="15.75" thickBot="1" x14ac:dyDescent="0.3">
      <c r="A260" s="30" t="s">
        <v>129</v>
      </c>
      <c r="B260" s="28">
        <v>927</v>
      </c>
      <c r="C260" s="31">
        <v>49</v>
      </c>
    </row>
    <row r="261" spans="1:3" ht="15.75" thickBot="1" x14ac:dyDescent="0.3">
      <c r="A261" s="30" t="s">
        <v>227</v>
      </c>
      <c r="B261" s="28">
        <v>-73</v>
      </c>
      <c r="C261" s="31">
        <v>31.5</v>
      </c>
    </row>
    <row r="262" spans="1:3" ht="15.75" thickBot="1" x14ac:dyDescent="0.3">
      <c r="A262" s="30" t="s">
        <v>129</v>
      </c>
      <c r="B262" s="28">
        <v>0</v>
      </c>
      <c r="C262" s="31">
        <v>31.3</v>
      </c>
    </row>
    <row r="263" spans="1:3" ht="15.75" thickBot="1" x14ac:dyDescent="0.3">
      <c r="A263" s="30" t="s">
        <v>129</v>
      </c>
      <c r="B263" s="28">
        <v>427</v>
      </c>
      <c r="C263" s="31">
        <v>32.1</v>
      </c>
    </row>
    <row r="264" spans="1:3" ht="15.75" thickBot="1" x14ac:dyDescent="0.3">
      <c r="A264" s="30" t="s">
        <v>129</v>
      </c>
      <c r="B264" s="28">
        <v>327</v>
      </c>
      <c r="C264" s="31">
        <v>34.200000000000003</v>
      </c>
    </row>
    <row r="265" spans="1:3" ht="15.75" thickBot="1" x14ac:dyDescent="0.3">
      <c r="A265" s="30" t="s">
        <v>129</v>
      </c>
      <c r="B265" s="28">
        <v>527</v>
      </c>
      <c r="C265" s="31">
        <v>36.299999999999997</v>
      </c>
    </row>
    <row r="266" spans="1:3" ht="15.75" thickBot="1" x14ac:dyDescent="0.3">
      <c r="A266" s="30" t="s">
        <v>129</v>
      </c>
      <c r="B266" s="28">
        <v>727</v>
      </c>
      <c r="C266" s="31">
        <v>38.6</v>
      </c>
    </row>
    <row r="267" spans="1:3" ht="15.75" thickBot="1" x14ac:dyDescent="0.3">
      <c r="A267" s="30" t="s">
        <v>129</v>
      </c>
      <c r="B267" s="28">
        <v>927</v>
      </c>
      <c r="C267" s="31">
        <v>41.2</v>
      </c>
    </row>
    <row r="268" spans="1:3" ht="15.75" thickBot="1" x14ac:dyDescent="0.3">
      <c r="A268" s="30" t="s">
        <v>228</v>
      </c>
      <c r="B268" s="28">
        <v>-73</v>
      </c>
      <c r="C268" s="31">
        <v>123</v>
      </c>
    </row>
    <row r="269" spans="1:3" ht="15.75" thickBot="1" x14ac:dyDescent="0.3">
      <c r="A269" s="30" t="s">
        <v>129</v>
      </c>
      <c r="B269" s="28">
        <v>0</v>
      </c>
      <c r="C269" s="31">
        <v>122</v>
      </c>
    </row>
    <row r="270" spans="1:3" ht="15.75" thickBot="1" x14ac:dyDescent="0.3">
      <c r="A270" s="30" t="s">
        <v>129</v>
      </c>
      <c r="B270" s="28">
        <v>127</v>
      </c>
      <c r="C270" s="31">
        <v>116</v>
      </c>
    </row>
    <row r="271" spans="1:3" ht="15.75" thickBot="1" x14ac:dyDescent="0.3">
      <c r="A271" s="30" t="s">
        <v>129</v>
      </c>
      <c r="B271" s="28">
        <v>327</v>
      </c>
      <c r="C271" s="31">
        <v>105</v>
      </c>
    </row>
    <row r="272" spans="1:3" ht="15.75" thickBot="1" x14ac:dyDescent="0.3">
      <c r="A272" s="30" t="s">
        <v>229</v>
      </c>
      <c r="B272" s="28">
        <v>-73</v>
      </c>
      <c r="C272" s="31">
        <v>25.2</v>
      </c>
    </row>
    <row r="273" spans="1:3" ht="15.75" thickBot="1" x14ac:dyDescent="0.3">
      <c r="A273" s="30" t="s">
        <v>129</v>
      </c>
      <c r="B273" s="28">
        <v>0</v>
      </c>
      <c r="C273" s="31">
        <v>23.2</v>
      </c>
    </row>
    <row r="274" spans="1:3" ht="15.75" thickBot="1" x14ac:dyDescent="0.3">
      <c r="A274" s="30" t="s">
        <v>129</v>
      </c>
      <c r="B274" s="28">
        <v>127</v>
      </c>
      <c r="C274" s="31">
        <v>21.6</v>
      </c>
    </row>
    <row r="275" spans="1:3" ht="15.75" thickBot="1" x14ac:dyDescent="0.3">
      <c r="A275" s="30" t="s">
        <v>129</v>
      </c>
      <c r="B275" s="28">
        <v>327</v>
      </c>
      <c r="C275" s="31">
        <v>20.7</v>
      </c>
    </row>
    <row r="276" spans="1:3" ht="15.75" thickBot="1" x14ac:dyDescent="0.3">
      <c r="A276" s="30" t="s">
        <v>129</v>
      </c>
      <c r="B276" s="28">
        <v>527</v>
      </c>
      <c r="C276" s="31">
        <v>21.6</v>
      </c>
    </row>
    <row r="277" spans="1:3" ht="15.75" thickBot="1" x14ac:dyDescent="0.3">
      <c r="A277" s="38" t="s">
        <v>129</v>
      </c>
      <c r="B277" s="34">
        <v>727</v>
      </c>
      <c r="C277" s="39">
        <v>23.7</v>
      </c>
    </row>
    <row r="278" spans="1:3" ht="15.75" thickBot="1" x14ac:dyDescent="0.3">
      <c r="A278" s="40" t="s">
        <v>129</v>
      </c>
      <c r="B278" s="41">
        <v>927</v>
      </c>
      <c r="C278" s="42">
        <v>25.7</v>
      </c>
    </row>
    <row r="279" spans="1:3" ht="15.75" thickTop="1" x14ac:dyDescent="0.25">
      <c r="A279" s="43"/>
    </row>
    <row r="280" spans="1:3" ht="30" x14ac:dyDescent="0.25">
      <c r="A280" s="44" t="s">
        <v>230</v>
      </c>
    </row>
  </sheetData>
  <mergeCells count="1">
    <mergeCell ref="A1:A4"/>
  </mergeCells>
  <hyperlinks>
    <hyperlink ref="A280" r:id="rId1" tooltip="Thermal conductivity - online converter" display="https://www.engineeringtoolbox.com/thermal-conductivity-calculator-d_857.html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 calc</vt:lpstr>
      <vt:lpstr>thermal cond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Tusar Kanti Kole</dc:creator>
  <cp:lastModifiedBy>Tusar Kanti Kole</cp:lastModifiedBy>
  <dcterms:created xsi:type="dcterms:W3CDTF">2019-08-30T07:15:20Z</dcterms:created>
  <dcterms:modified xsi:type="dcterms:W3CDTF">2020-05-05T06:10:15Z</dcterms:modified>
</cp:coreProperties>
</file>