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LTI\LTI\Honda\CCC Reporting\"/>
    </mc:Choice>
  </mc:AlternateContent>
  <xr:revisionPtr revIDLastSave="0" documentId="13_ncr:1_{BD7728AF-EDFD-49EA-9AB2-236CA47AD129}" xr6:coauthVersionLast="46" xr6:coauthVersionMax="47" xr10:uidLastSave="{00000000-0000-0000-0000-000000000000}"/>
  <bookViews>
    <workbookView xWindow="-120" yWindow="-120" windowWidth="20730" windowHeight="11160" tabRatio="681" xr2:uid="{00000000-000D-0000-FFFF-FFFF00000000}"/>
  </bookViews>
  <sheets>
    <sheet name="Volumetric" sheetId="4" r:id="rId1"/>
    <sheet name="YOY Growth" sheetId="8" r:id="rId2"/>
    <sheet name="RedshiftPricing(All Sources)" sheetId="9" r:id="rId3"/>
    <sheet name="RedshiftPricing-USAN" sheetId="11" r:id="rId4"/>
    <sheet name="Supporting Info" sheetId="10" r:id="rId5"/>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1" l="1"/>
  <c r="D15" i="11"/>
  <c r="D29" i="11"/>
  <c r="D18" i="11"/>
  <c r="D27" i="11"/>
  <c r="D21" i="11"/>
  <c r="D14" i="11"/>
  <c r="C5" i="11" l="1"/>
  <c r="I7" i="11"/>
  <c r="H7" i="11"/>
  <c r="H22" i="8"/>
  <c r="H21" i="8"/>
  <c r="H20" i="8"/>
  <c r="H19" i="8"/>
  <c r="H18" i="8"/>
  <c r="H14" i="8"/>
  <c r="H13" i="8"/>
  <c r="H12" i="8"/>
  <c r="H11" i="8"/>
  <c r="I10" i="8"/>
  <c r="H4" i="8"/>
  <c r="C6" i="8"/>
  <c r="D29" i="9"/>
  <c r="C5" i="9"/>
  <c r="D14" i="9"/>
  <c r="D15" i="9"/>
  <c r="D16" i="9"/>
  <c r="D21" i="9"/>
  <c r="D18" i="9"/>
  <c r="D27" i="9"/>
  <c r="G7" i="11" l="1"/>
  <c r="I11" i="8"/>
  <c r="H7" i="9"/>
  <c r="I7" i="9"/>
  <c r="G7" i="9"/>
  <c r="B19" i="10"/>
  <c r="F19" i="10" s="1"/>
  <c r="B17" i="10"/>
  <c r="I12" i="8" l="1"/>
  <c r="I13" i="8" s="1"/>
  <c r="I14" i="8" s="1"/>
  <c r="I18" i="8" s="1"/>
  <c r="I19" i="8" s="1"/>
  <c r="I20" i="8" s="1"/>
  <c r="I21" i="8" s="1"/>
  <c r="I22" i="8" s="1"/>
  <c r="B18" i="10"/>
  <c r="G11" i="4"/>
  <c r="I11" i="4" s="1"/>
  <c r="G16" i="4"/>
  <c r="I16" i="4" s="1"/>
  <c r="G15" i="4"/>
  <c r="I15" i="4" s="1"/>
  <c r="G14" i="4"/>
  <c r="I14" i="4" s="1"/>
  <c r="I4" i="4"/>
  <c r="C4" i="8" s="1"/>
  <c r="G13" i="4"/>
  <c r="I13" i="4" s="1"/>
  <c r="G17" i="4"/>
  <c r="I17" i="4" s="1"/>
  <c r="G4" i="4"/>
  <c r="G12" i="4" l="1"/>
  <c r="I12" i="4" s="1"/>
  <c r="C5" i="8" s="1"/>
  <c r="G6" i="4"/>
  <c r="I6" i="4" s="1"/>
  <c r="G7" i="4"/>
  <c r="I7" i="4" s="1"/>
  <c r="G8" i="4"/>
  <c r="I8" i="4" s="1"/>
  <c r="G9" i="4"/>
  <c r="I9" i="4" s="1"/>
  <c r="G10" i="4"/>
  <c r="I10" i="4" s="1"/>
  <c r="G5" i="4"/>
  <c r="I5" i="4" s="1"/>
  <c r="C7" i="8" l="1"/>
  <c r="C22" i="8"/>
  <c r="C21" i="8"/>
  <c r="C14" i="8"/>
  <c r="C18" i="8"/>
  <c r="C20" i="8"/>
  <c r="C13" i="8"/>
  <c r="C11" i="8"/>
  <c r="C19" i="8"/>
  <c r="C12" i="8"/>
  <c r="I18" i="4"/>
  <c r="I20" i="4" l="1"/>
  <c r="D10" i="8" s="1"/>
  <c r="D11" i="8" s="1"/>
  <c r="D12" i="8" s="1"/>
  <c r="D13" i="8" s="1"/>
  <c r="D14" i="8" s="1"/>
  <c r="D18" i="8" s="1"/>
  <c r="D19" i="8" s="1"/>
  <c r="D20" i="8" s="1"/>
  <c r="D21" i="8" s="1"/>
  <c r="D22" i="8" s="1"/>
  <c r="I21" i="4"/>
  <c r="I22" i="4" s="1"/>
  <c r="I25" i="4" s="1"/>
  <c r="I24" i="4" l="1"/>
</calcChain>
</file>

<file path=xl/sharedStrings.xml><?xml version="1.0" encoding="utf-8"?>
<sst xmlns="http://schemas.openxmlformats.org/spreadsheetml/2006/main" count="297" uniqueCount="169">
  <si>
    <t>Tables</t>
  </si>
  <si>
    <t>How many months of data to be moved to Redshift
(Months)</t>
  </si>
  <si>
    <t>Zone</t>
  </si>
  <si>
    <t>Curated</t>
  </si>
  <si>
    <t>Size of data to be moved to Redshift (in GB)</t>
  </si>
  <si>
    <t>Add 35% free space</t>
  </si>
  <si>
    <t>Remarks 1</t>
  </si>
  <si>
    <t>Remarks 2</t>
  </si>
  <si>
    <t>Volume (GB)</t>
  </si>
  <si>
    <t>Initial</t>
  </si>
  <si>
    <t>Start of Period</t>
  </si>
  <si>
    <t>Production</t>
  </si>
  <si>
    <t>Assuming 60% as non-Prod</t>
  </si>
  <si>
    <t>Non-Production</t>
  </si>
  <si>
    <t>FIS</t>
  </si>
  <si>
    <t>Total # of table ~66</t>
  </si>
  <si>
    <t>Total Data Volume (record counts)</t>
  </si>
  <si>
    <t>Frequency</t>
  </si>
  <si>
    <t>Daily</t>
  </si>
  <si>
    <t>Total Data Volume (in GB)</t>
  </si>
  <si>
    <t>FIS Counts</t>
  </si>
  <si>
    <t>MIB Mapping</t>
  </si>
  <si>
    <t>Data Sources</t>
  </si>
  <si>
    <t>ACAPS</t>
  </si>
  <si>
    <t>AHFC Application</t>
  </si>
  <si>
    <t>Auto Application</t>
  </si>
  <si>
    <t>CASS (AF)</t>
  </si>
  <si>
    <t>FIS (EDW)</t>
  </si>
  <si>
    <t>MC Application</t>
  </si>
  <si>
    <t>Total # of table ~1</t>
  </si>
  <si>
    <t>Total # of table ~5</t>
  </si>
  <si>
    <t>Total # of table ~10</t>
  </si>
  <si>
    <t>Kilobyte</t>
  </si>
  <si>
    <t>8 Records</t>
  </si>
  <si>
    <t>Contracts</t>
  </si>
  <si>
    <t>USAN</t>
  </si>
  <si>
    <t>CTR</t>
  </si>
  <si>
    <t>Ehanced CTR (ECTR)</t>
  </si>
  <si>
    <t>Agent Event</t>
  </si>
  <si>
    <t>Ehanced Agent Event</t>
  </si>
  <si>
    <t>Historical</t>
  </si>
  <si>
    <t>AF</t>
  </si>
  <si>
    <t>Remarketing</t>
  </si>
  <si>
    <t>Total # of table ~2</t>
  </si>
  <si>
    <t>HAL</t>
  </si>
  <si>
    <t>15000  I/O calls per day</t>
  </si>
  <si>
    <t>1500 JSON produced per day; each JSON has size of 8Kbyte</t>
  </si>
  <si>
    <t>12 Months/1 Year</t>
  </si>
  <si>
    <t>Production (TB)</t>
  </si>
  <si>
    <t>Non-Production (TB)</t>
  </si>
  <si>
    <t>Y1</t>
  </si>
  <si>
    <t>Y2</t>
  </si>
  <si>
    <t>Y3</t>
  </si>
  <si>
    <t>Y4</t>
  </si>
  <si>
    <t>Y5</t>
  </si>
  <si>
    <t>Y6</t>
  </si>
  <si>
    <t>Yearly Volume Growth (in GB)</t>
  </si>
  <si>
    <t>Total</t>
  </si>
  <si>
    <t>Volume Growth (in GB)</t>
  </si>
  <si>
    <t>Y7</t>
  </si>
  <si>
    <t>Y8</t>
  </si>
  <si>
    <t>Y9</t>
  </si>
  <si>
    <t>Y10</t>
  </si>
  <si>
    <t>72k files per day/each file has 10 records = 720000 records</t>
  </si>
  <si>
    <t>At the end of Year 5, storage utilisation is estimated to 2.92 TB</t>
  </si>
  <si>
    <t>At the end of Year 10, storage utilisation is estimated to 5.61 TB</t>
  </si>
  <si>
    <t>1 Agent - 10 status changes (10 records);HeartBeat record logged-in (1 record every 120 seconds); 100 agent per day logged in
(2 min = 1 record; 1 hour=30 records; 1 day = 720 records; for 100 agent in 1 day = 72000)</t>
  </si>
  <si>
    <t>Sr</t>
  </si>
  <si>
    <t>Item</t>
  </si>
  <si>
    <t>Specs</t>
  </si>
  <si>
    <t>Cost $/year</t>
  </si>
  <si>
    <t>Rate</t>
  </si>
  <si>
    <t>Volume of data to be moved to Redshift on Day 1 (in GB)</t>
  </si>
  <si>
    <t>Node Type and configuration</t>
  </si>
  <si>
    <t>Notes</t>
  </si>
  <si>
    <t>Type</t>
  </si>
  <si>
    <r>
      <rPr>
        <b/>
        <sz val="12"/>
        <color rgb="FF000000"/>
        <rFont val="Calibri"/>
        <family val="2"/>
      </rPr>
      <t>RA3 node</t>
    </r>
    <r>
      <rPr>
        <sz val="11"/>
        <color rgb="FF000000"/>
        <rFont val="Calibri"/>
        <family val="2"/>
        <charset val="1"/>
      </rPr>
      <t xml:space="preserve"> - Amazon offers managed storage on RA3 nodes. Paid Hourly</t>
    </r>
  </si>
  <si>
    <t>No of nodes</t>
  </si>
  <si>
    <t>It allow to optimize data warehouse by scaling and paying for compute and managed storage independently</t>
  </si>
  <si>
    <t>Compute per node</t>
  </si>
  <si>
    <t>It uses large, high-performance SSDs in each RA3 node for fast local storage (Hot) and S3 for longer-term durable storage (Cold)</t>
  </si>
  <si>
    <t>RAM per node</t>
  </si>
  <si>
    <r>
      <rPr>
        <b/>
        <sz val="11"/>
        <color rgb="FF000000"/>
        <rFont val="Calibri"/>
        <family val="2"/>
      </rPr>
      <t>Redshift managed storage (RMS)</t>
    </r>
    <r>
      <rPr>
        <sz val="11"/>
        <color rgb="FF000000"/>
        <rFont val="Calibri"/>
        <family val="2"/>
        <charset val="1"/>
      </rPr>
      <t xml:space="preserve"> - Managed storage quota per node for ra3.xplus is 32 TB</t>
    </r>
    <r>
      <rPr>
        <sz val="11"/>
        <color rgb="FF000000"/>
        <rFont val="Calibri"/>
        <family val="2"/>
      </rPr>
      <t>.</t>
    </r>
  </si>
  <si>
    <t>Default slices per node</t>
  </si>
  <si>
    <t>For workloads that require ever-growing storage, managed storage automatically scale data warehouse storage capacity without adding and paying for additional nodes</t>
  </si>
  <si>
    <r>
      <rPr>
        <b/>
        <sz val="12"/>
        <color rgb="FF000000"/>
        <rFont val="Calibri"/>
        <family val="2"/>
      </rPr>
      <t>Amazon Redshift Spectrum</t>
    </r>
    <r>
      <rPr>
        <sz val="11"/>
        <color rgb="FF000000"/>
        <rFont val="Calibri"/>
        <family val="2"/>
        <charset val="1"/>
      </rPr>
      <t xml:space="preserve"> - It allows to directly run SQL queries against data in S3. Charges are for the number of bytes scanned by Redshift Spectrum</t>
    </r>
  </si>
  <si>
    <t>Estimated on-demand compute price</t>
  </si>
  <si>
    <t>Example - Scanning 10 GiB = $0.05 and 1 TB = $5</t>
  </si>
  <si>
    <t>Note- Cost can be reduced by upto 90% by storing data in a compressed, partitioned, and columnar data format in S3, so less amount of data is scanned</t>
  </si>
  <si>
    <r>
      <rPr>
        <b/>
        <sz val="11"/>
        <color rgb="FF000000"/>
        <rFont val="Calibri"/>
        <family val="2"/>
      </rPr>
      <t>Snapshots</t>
    </r>
    <r>
      <rPr>
        <sz val="11"/>
        <color rgb="FF000000"/>
        <rFont val="Calibri"/>
        <family val="2"/>
        <charset val="1"/>
      </rPr>
      <t xml:space="preserve"> - They are stored in S3 by using an encrypted Secure Sockets Layer (SSL) connection</t>
    </r>
  </si>
  <si>
    <t xml:space="preserve"> It takes incremental snapshots that track changes to the cluster since the previous automated snapshot.</t>
  </si>
  <si>
    <t>To manage storage charges, evaluate how many days you need to keep automated snapshots and configure the retention period accordingly</t>
  </si>
  <si>
    <t>Snapshots</t>
  </si>
  <si>
    <t>Automated snapshots are deleted at the end of a retention period. The default retention period is one day</t>
  </si>
  <si>
    <t>Data transfer cost between Redshift and S3 in same region</t>
  </si>
  <si>
    <t>Backup storage snapshot size (in GB)</t>
  </si>
  <si>
    <t>Backup storage cost ( S3 )</t>
  </si>
  <si>
    <t>Indicative usage and price</t>
  </si>
  <si>
    <t>Terabyte</t>
  </si>
  <si>
    <t>Gigabyte</t>
  </si>
  <si>
    <t>Megabyte</t>
  </si>
  <si>
    <t>Bn Records</t>
  </si>
  <si>
    <t>ra3.xlplus</t>
  </si>
  <si>
    <t>4 vCPU</t>
  </si>
  <si>
    <t>32 GiB</t>
  </si>
  <si>
    <t>Redshift Spectrum cost - 3 TB x $5 = $15/Month</t>
  </si>
  <si>
    <t>Managed storage capacity ( 3 TB x 1024 GB in a TB = 3072 GB)</t>
  </si>
  <si>
    <t>3,072 GB x $0.024 Price = $73.73/Monthly</t>
  </si>
  <si>
    <t>Automated Snapshot cost (5 TB x 1024 GB in a TB = 5120 GB)</t>
  </si>
  <si>
    <t>1 year Estimated reserved price (No Upfront Payment)</t>
  </si>
  <si>
    <t>3 year Estimated reserved price (No Upfront Payment)</t>
  </si>
  <si>
    <t>3 instance(s) x $0.4725 hourly = $1,034.78/Monthly</t>
  </si>
  <si>
    <t>3 instance(s) x $0.7602 hourly = $1,664.84/Monthly</t>
  </si>
  <si>
    <t>1 yr Reserved cost</t>
  </si>
  <si>
    <t>3 yr Reserved cost</t>
  </si>
  <si>
    <t>3 instance(s) x $1.086 hourly = $2,378.34/Monthly</t>
  </si>
  <si>
    <t>On-Demand cost Link</t>
  </si>
  <si>
    <t>1 Yr Reserved Cost Link</t>
  </si>
  <si>
    <t>3 yr Reserved cost Link</t>
  </si>
  <si>
    <t>Node size</t>
  </si>
  <si>
    <t>vCPU</t>
  </si>
  <si>
    <t>RAM (GiB)</t>
  </si>
  <si>
    <t>Managed storage quota per node</t>
  </si>
  <si>
    <t>Node range with create cluster</t>
  </si>
  <si>
    <t>Total managed storage capacity</t>
  </si>
  <si>
    <t>ra3.4xlarge</t>
  </si>
  <si>
    <t>ra3.16xlarge</t>
  </si>
  <si>
    <t>2–128</t>
  </si>
  <si>
    <t>32 TB</t>
  </si>
  <si>
    <t>128 TB</t>
  </si>
  <si>
    <t>1–16</t>
  </si>
  <si>
    <t>2–32</t>
  </si>
  <si>
    <t>1024 TB</t>
  </si>
  <si>
    <t>8192 TB</t>
  </si>
  <si>
    <t>16,384 TB</t>
  </si>
  <si>
    <t># of Records and Size unit calculation</t>
  </si>
  <si>
    <t>With delivery exprinece,  for large scale volme of data 12 TB of size includes = 99 Bn records</t>
  </si>
  <si>
    <t>Hence 1 Kilobyte will contain 8.25 records</t>
  </si>
  <si>
    <t>1 yr On-Demand instance cost</t>
  </si>
  <si>
    <t>AWS Link</t>
  </si>
  <si>
    <t>RA3 node types</t>
  </si>
  <si>
    <t>Redshift Data Transfer - 2 TB x 1024 GB in a TB = 1024 GB</t>
  </si>
  <si>
    <t>2048 GB x 0.02 Price =  $40.96/Monthly</t>
  </si>
  <si>
    <t>3 TB x $5 Price = $15/Monthly</t>
  </si>
  <si>
    <t>5120 GB x $0.023 Price = $117.76/Monthly</t>
  </si>
  <si>
    <t>At the end of Year 5, storage utilisation is estimated to 0.85 TB</t>
  </si>
  <si>
    <t>At the end of Year 10, storage utilisation is estimated to 1.64 TB</t>
  </si>
  <si>
    <t>Production - YOY Volume Growth (Source - USAN)</t>
  </si>
  <si>
    <t>Production - YOY Volume Growth (Sources - FIS, MIB Mapping, AF, USAN)</t>
  </si>
  <si>
    <t>Redshift Cluster sizing and Price - (Sources - FIS, MIB Mapping, AF, USAN)</t>
  </si>
  <si>
    <t>Redshift Cluster sizing and Price - (Source - USAN)</t>
  </si>
  <si>
    <t>2 instance(s) x $1.086 hourly = $1,585.56/Monthly</t>
  </si>
  <si>
    <t>Automated Snapshot cost (2 TB x 1024 GB in a TB = 2048 GB)</t>
  </si>
  <si>
    <t>2048 GB x $0.023 Price = $47.10/Monthly</t>
  </si>
  <si>
    <t>Redshift Spectrum cost - 1 TB x $5 = $5/Month</t>
  </si>
  <si>
    <t>1 TB x $5 Price = $5/Monthly</t>
  </si>
  <si>
    <t>Managed storage capacity ( 1 TB x 1024 GB in a TB = 1024 GB)</t>
  </si>
  <si>
    <t>1024 GB x $0.024 Price = $24.58/Monthly</t>
  </si>
  <si>
    <t>Redshift Data Transfer - 1 TB x 1024 GB in a TB = 1024 GB</t>
  </si>
  <si>
    <t>1024 GB x 0.02 Price =  $20.48/Monthly</t>
  </si>
  <si>
    <t>2 instance(s) x $0.7602 hourly = $1,109.89/Monthly</t>
  </si>
  <si>
    <t>Redshift instance cost (3 options)</t>
  </si>
  <si>
    <t>2 instance(s) x $0.4725 hourly = $689.85/Monthly</t>
  </si>
  <si>
    <t>Reference Link</t>
  </si>
  <si>
    <r>
      <rPr>
        <b/>
        <sz val="11"/>
        <color rgb="FF000000"/>
        <rFont val="Calibri"/>
        <family val="2"/>
      </rPr>
      <t>Resizing a cluste</t>
    </r>
    <r>
      <rPr>
        <sz val="11"/>
        <color rgb="FF000000"/>
        <rFont val="Calibri"/>
        <family val="2"/>
        <charset val="1"/>
      </rPr>
      <t>r - When you resize a cluster, you specify a number of nodes or node type that is different from the current configuration of the cluster. While the cluster is in the process of resizing, you cannot run any write or read/write queries on the cluster; you can run only read queries.</t>
    </r>
    <r>
      <rPr>
        <sz val="11"/>
        <color rgb="FF000000"/>
        <rFont val="Calibri"/>
        <family val="2"/>
      </rPr>
      <t xml:space="preserve"> Please expect ~1 day business downtime for resizing.</t>
    </r>
  </si>
  <si>
    <t>Notes:</t>
  </si>
  <si>
    <r>
      <rPr>
        <b/>
        <sz val="11"/>
        <color rgb="FF000000"/>
        <rFont val="Calibri"/>
        <family val="2"/>
      </rPr>
      <t>Redshift RA3 Node:</t>
    </r>
    <r>
      <rPr>
        <sz val="11"/>
        <color rgb="FF000000"/>
        <rFont val="Calibri"/>
        <family val="2"/>
      </rPr>
      <t xml:space="preserve"> With the help of the Redshift RA3 Node, users can optimize and scale their Data Warehouse by independently paying for managed storage and computing. With Redshift RA3 Node, users are responsible for choosing and paying for the number of Nodes their business requires based on performance. Companies only pay for the managed storage that they use. It’s best to choose the size of your Redshift RA3 Cluster based on the amount of data your company processes on a day-to-day basis.
</t>
    </r>
    <r>
      <rPr>
        <b/>
        <sz val="11"/>
        <color rgb="FF000000"/>
        <rFont val="Calibri"/>
        <family val="2"/>
      </rPr>
      <t>Redshift DC2 Node:</t>
    </r>
    <r>
      <rPr>
        <sz val="11"/>
        <color rgb="FF000000"/>
        <rFont val="Calibri"/>
        <family val="2"/>
      </rPr>
      <t xml:space="preserve"> Unlike Redshift RA3 Node, the Redshift DC2 Node doesn’t shift extra workload to Amazon S3. DC2 Nodes users can choose the number of Nodes required based on Performance and Data Size. As the data size grows, users have to add more compute Nodes to increase their Cluster’s storage capacity. DC2 Node stores your data locally in local SSD storage for high performance. 
If your dataset is under 1TB uncompressed, the DC2 Node offers the best performance at the lowest price. However, businesses that expect to scale their business and have growing data storage requirements should use Redshift RA3 Nodes as it allows an independent choice of Size, Compute, and Storage. 
</t>
    </r>
    <r>
      <rPr>
        <b/>
        <sz val="11"/>
        <color rgb="FF000000"/>
        <rFont val="Calibri"/>
        <family val="2"/>
      </rPr>
      <t>Redshift DS2 Node</t>
    </r>
    <r>
      <rPr>
        <sz val="11"/>
        <color rgb="FF000000"/>
        <rFont val="Calibri"/>
        <family val="2"/>
      </rPr>
      <t xml:space="preserve">
Redshift DS2 Nodes work on Hard Disk Drives (HDD). However, Redshift recommends using Redshift RA3 Nodes for better Performance and Storage.</t>
    </r>
  </si>
  <si>
    <t>Region</t>
  </si>
  <si>
    <t>US East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</si>
</sst>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rgb="FF000000"/>
      <name val="Calibri"/>
      <family val="2"/>
      <charset val="1"/>
    </font>
    <font>
      <sz val="11"/>
      <color theme="0"/>
      <name val="Calibri"/>
      <family val="2"/>
      <charset val="1"/>
    </font>
    <font>
      <sz val="11"/>
      <color theme="1"/>
      <name val="Calibri"/>
      <family val="2"/>
    </font>
    <font>
      <b/>
      <sz val="11"/>
      <color rgb="FF000000"/>
      <name val="Calibri"/>
      <family val="2"/>
    </font>
    <font>
      <sz val="11"/>
      <color rgb="FF000000"/>
      <name val="Calibri"/>
      <family val="2"/>
    </font>
    <font>
      <u/>
      <sz val="11"/>
      <color theme="10"/>
      <name val="Calibri"/>
      <family val="2"/>
      <charset val="1"/>
    </font>
    <font>
      <sz val="14"/>
      <color theme="0"/>
      <name val="Calibri"/>
      <family val="2"/>
      <charset val="1"/>
    </font>
    <font>
      <b/>
      <sz val="12"/>
      <color rgb="FF000000"/>
      <name val="Calibri"/>
      <family val="2"/>
    </font>
    <font>
      <sz val="8"/>
      <color rgb="FF000000"/>
      <name val="Times New Roman"/>
      <family val="1"/>
    </font>
    <font>
      <b/>
      <sz val="12.35"/>
      <color rgb="FF16191F"/>
      <name val="Roboto"/>
    </font>
    <font>
      <b/>
      <sz val="11"/>
      <color rgb="FF545B64"/>
      <name val="Roboto"/>
    </font>
    <font>
      <sz val="11"/>
      <color rgb="FF16191F"/>
      <name val="Roboto"/>
    </font>
  </fonts>
  <fills count="5">
    <fill>
      <patternFill patternType="none"/>
    </fill>
    <fill>
      <patternFill patternType="gray125"/>
    </fill>
    <fill>
      <patternFill patternType="solid">
        <fgColor theme="3"/>
        <bgColor indexed="64"/>
      </patternFill>
    </fill>
    <fill>
      <patternFill patternType="solid">
        <fgColor rgb="FFFFFFFF"/>
        <bgColor indexed="64"/>
      </patternFill>
    </fill>
    <fill>
      <patternFill patternType="solid">
        <fgColor rgb="FFFAFAFA"/>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69">
    <xf numFmtId="0" fontId="0" fillId="0" borderId="0" xfId="0"/>
    <xf numFmtId="0" fontId="1" fillId="2" borderId="0" xfId="0" applyFont="1" applyFill="1" applyBorder="1" applyAlignment="1">
      <alignment horizontal="center" wrapText="1"/>
    </xf>
    <xf numFmtId="0" fontId="0" fillId="0" borderId="0" xfId="0" applyAlignment="1">
      <alignment wrapText="1"/>
    </xf>
    <xf numFmtId="0" fontId="1" fillId="2" borderId="0" xfId="0" applyFont="1" applyFill="1" applyBorder="1" applyAlignment="1">
      <alignment horizontal="left" wrapText="1"/>
    </xf>
    <xf numFmtId="0" fontId="0" fillId="0" borderId="0" xfId="0" applyAlignment="1">
      <alignment horizontal="left"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1" fillId="2" borderId="0" xfId="0" applyFont="1" applyFill="1" applyBorder="1" applyAlignment="1">
      <alignment horizontal="center" wrapText="1"/>
    </xf>
    <xf numFmtId="0" fontId="0" fillId="0" borderId="1" xfId="0" applyBorder="1"/>
    <xf numFmtId="0" fontId="1" fillId="2" borderId="0" xfId="0" applyFont="1" applyFill="1" applyAlignment="1">
      <alignment horizontal="center" wrapText="1"/>
    </xf>
    <xf numFmtId="0" fontId="0" fillId="0" borderId="1" xfId="0" applyBorder="1" applyAlignment="1">
      <alignment horizontal="right"/>
    </xf>
    <xf numFmtId="0" fontId="0" fillId="0" borderId="2" xfId="0" applyFont="1" applyBorder="1" applyAlignment="1">
      <alignment horizontal="center" vertical="center" wrapText="1"/>
    </xf>
    <xf numFmtId="0" fontId="0" fillId="0" borderId="2" xfId="0" applyFont="1" applyBorder="1" applyAlignment="1">
      <alignment horizontal="left" vertical="center" wrapText="1"/>
    </xf>
    <xf numFmtId="0" fontId="0" fillId="0" borderId="1" xfId="0" applyFill="1" applyBorder="1"/>
    <xf numFmtId="2" fontId="0" fillId="0" borderId="1" xfId="0" applyNumberFormat="1" applyBorder="1"/>
    <xf numFmtId="0" fontId="3" fillId="0" borderId="0" xfId="0" applyFont="1"/>
    <xf numFmtId="0" fontId="3" fillId="0" borderId="0" xfId="0" applyFont="1" applyAlignment="1">
      <alignment wrapText="1"/>
    </xf>
    <xf numFmtId="0" fontId="0" fillId="0" borderId="1" xfId="0" applyBorder="1" applyAlignment="1">
      <alignment wrapText="1"/>
    </xf>
    <xf numFmtId="2" fontId="0" fillId="0" borderId="1" xfId="0" applyNumberFormat="1" applyFont="1" applyBorder="1" applyAlignment="1">
      <alignment horizontal="center" vertical="center" wrapText="1"/>
    </xf>
    <xf numFmtId="2" fontId="0" fillId="0" borderId="1" xfId="0" applyNumberFormat="1" applyBorder="1" applyAlignment="1">
      <alignment wrapText="1"/>
    </xf>
    <xf numFmtId="0" fontId="4" fillId="0" borderId="1" xfId="0" applyFont="1" applyBorder="1" applyAlignment="1">
      <alignment wrapText="1"/>
    </xf>
    <xf numFmtId="0" fontId="2" fillId="0" borderId="1" xfId="0" applyFont="1" applyBorder="1" applyAlignment="1">
      <alignment horizontal="left" vertical="center" wrapText="1"/>
    </xf>
    <xf numFmtId="0" fontId="0" fillId="0" borderId="1" xfId="0" applyFont="1" applyBorder="1" applyAlignment="1">
      <alignment horizontal="right" vertical="center" wrapText="1"/>
    </xf>
    <xf numFmtId="0" fontId="0" fillId="0" borderId="2" xfId="0" applyFont="1" applyBorder="1" applyAlignment="1">
      <alignment horizontal="right" vertical="center" wrapText="1"/>
    </xf>
    <xf numFmtId="2" fontId="0" fillId="0" borderId="0" xfId="0" applyNumberFormat="1" applyAlignment="1">
      <alignment wrapText="1"/>
    </xf>
    <xf numFmtId="2" fontId="1" fillId="2" borderId="0" xfId="0" applyNumberFormat="1" applyFont="1" applyFill="1" applyBorder="1" applyAlignment="1">
      <alignment horizontal="center" wrapText="1"/>
    </xf>
    <xf numFmtId="2" fontId="3" fillId="0" borderId="1" xfId="0" applyNumberFormat="1" applyFont="1" applyBorder="1" applyAlignment="1">
      <alignment horizontal="center" vertical="center" wrapText="1"/>
    </xf>
    <xf numFmtId="0" fontId="5" fillId="0" borderId="0" xfId="1"/>
    <xf numFmtId="4" fontId="0" fillId="0" borderId="0" xfId="0" applyNumberFormat="1"/>
    <xf numFmtId="4" fontId="1" fillId="2" borderId="0" xfId="0" applyNumberFormat="1" applyFont="1" applyFill="1" applyAlignment="1">
      <alignment horizontal="center" wrapText="1"/>
    </xf>
    <xf numFmtId="0" fontId="0" fillId="0" borderId="1" xfId="0" applyBorder="1" applyAlignment="1">
      <alignment horizontal="center" vertical="top"/>
    </xf>
    <xf numFmtId="0" fontId="3" fillId="0" borderId="1" xfId="0" applyFont="1" applyBorder="1"/>
    <xf numFmtId="4" fontId="0" fillId="0" borderId="1" xfId="0" applyNumberFormat="1" applyBorder="1"/>
    <xf numFmtId="0" fontId="0" fillId="0" borderId="1" xfId="0" applyBorder="1" applyAlignment="1">
      <alignment horizontal="left" indent="2"/>
    </xf>
    <xf numFmtId="0" fontId="4" fillId="0" borderId="0" xfId="0" applyFont="1"/>
    <xf numFmtId="0" fontId="0" fillId="0" borderId="1" xfId="0" applyBorder="1" applyAlignment="1">
      <alignment horizontal="center"/>
    </xf>
    <xf numFmtId="0" fontId="3" fillId="0" borderId="1" xfId="0" applyFont="1" applyBorder="1" applyAlignment="1">
      <alignment horizontal="left"/>
    </xf>
    <xf numFmtId="0" fontId="1" fillId="2" borderId="0" xfId="0" applyFont="1" applyFill="1" applyAlignment="1">
      <alignment horizontal="left" wrapText="1"/>
    </xf>
    <xf numFmtId="0" fontId="0" fillId="0" borderId="1" xfId="0" applyBorder="1" applyAlignment="1">
      <alignment horizontal="center" vertical="center"/>
    </xf>
    <xf numFmtId="0" fontId="8" fillId="0" borderId="0" xfId="0" applyFont="1"/>
    <xf numFmtId="164" fontId="0" fillId="0" borderId="1" xfId="0" applyNumberFormat="1" applyBorder="1"/>
    <xf numFmtId="0" fontId="3" fillId="0" borderId="1" xfId="0" applyFont="1" applyBorder="1" applyAlignment="1">
      <alignment horizontal="left" indent="2"/>
    </xf>
    <xf numFmtId="0" fontId="10" fillId="4" borderId="1" xfId="0" applyFont="1" applyFill="1" applyBorder="1" applyAlignment="1">
      <alignment horizontal="left" vertical="top" wrapText="1"/>
    </xf>
    <xf numFmtId="0" fontId="11" fillId="3" borderId="1" xfId="0" applyFont="1" applyFill="1" applyBorder="1" applyAlignment="1">
      <alignment vertical="top" wrapText="1"/>
    </xf>
    <xf numFmtId="0" fontId="5" fillId="0" borderId="0" xfId="1" applyFill="1"/>
    <xf numFmtId="0" fontId="0" fillId="0" borderId="0" xfId="0" applyAlignment="1">
      <alignment vertical="top" wrapText="1"/>
    </xf>
    <xf numFmtId="0" fontId="5" fillId="0" borderId="0" xfId="1" applyAlignment="1">
      <alignment vertical="top" wrapText="1"/>
    </xf>
    <xf numFmtId="4" fontId="0" fillId="0" borderId="1" xfId="0" applyNumberFormat="1" applyBorder="1" applyAlignment="1">
      <alignment horizontal="center"/>
    </xf>
    <xf numFmtId="0" fontId="1" fillId="2" borderId="5" xfId="0" applyFont="1" applyFill="1" applyBorder="1" applyAlignment="1">
      <alignment horizontal="center" wrapText="1"/>
    </xf>
    <xf numFmtId="0" fontId="0" fillId="0" borderId="5" xfId="0" applyBorder="1" applyAlignment="1">
      <alignment horizontal="center" wrapText="1"/>
    </xf>
    <xf numFmtId="0" fontId="0" fillId="0" borderId="2"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4" fillId="0" borderId="0" xfId="0" applyFont="1" applyAlignment="1">
      <alignment vertical="top" wrapText="1"/>
    </xf>
    <xf numFmtId="0" fontId="0" fillId="0" borderId="0" xfId="0" applyAlignment="1">
      <alignment vertical="top" wrapText="1"/>
    </xf>
    <xf numFmtId="0" fontId="0" fillId="0" borderId="0" xfId="0" applyAlignment="1"/>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6" fillId="2" borderId="0" xfId="0" applyFont="1" applyFill="1" applyAlignment="1">
      <alignment horizontal="center" wrapText="1"/>
    </xf>
    <xf numFmtId="0" fontId="0" fillId="0" borderId="0" xfId="0" applyAlignment="1">
      <alignment wrapText="1"/>
    </xf>
    <xf numFmtId="0" fontId="9" fillId="4" borderId="1" xfId="0" applyFont="1" applyFill="1" applyBorder="1" applyAlignment="1">
      <alignment horizontal="left" vertical="center" wrapText="1"/>
    </xf>
    <xf numFmtId="0" fontId="0" fillId="0" borderId="1" xfId="0" applyBorder="1" applyAlignment="1">
      <alignment wrapText="1"/>
    </xf>
    <xf numFmtId="0" fontId="5" fillId="4" borderId="6" xfId="1" applyFill="1" applyBorder="1" applyAlignment="1">
      <alignment horizontal="left" vertical="center" wrapText="1"/>
    </xf>
    <xf numFmtId="0" fontId="5" fillId="0" borderId="7" xfId="1" applyBorder="1" applyAlignment="1">
      <alignment wrapText="1"/>
    </xf>
    <xf numFmtId="0" fontId="5" fillId="0" borderId="8" xfId="1" applyBorder="1" applyAlignment="1">
      <alignment wrapText="1"/>
    </xf>
    <xf numFmtId="0" fontId="9" fillId="4" borderId="6" xfId="0" applyFont="1" applyFill="1" applyBorder="1" applyAlignment="1">
      <alignment horizontal="left" vertical="center" wrapText="1"/>
    </xf>
    <xf numFmtId="0" fontId="0" fillId="0" borderId="8"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alculator.aws/" TargetMode="External"/><Relationship Id="rId2" Type="http://schemas.openxmlformats.org/officeDocument/2006/relationships/hyperlink" Target="https://calculator.aws/" TargetMode="External"/><Relationship Id="rId1" Type="http://schemas.openxmlformats.org/officeDocument/2006/relationships/hyperlink" Target="https://calculator.aws/" TargetMode="External"/><Relationship Id="rId5" Type="http://schemas.openxmlformats.org/officeDocument/2006/relationships/printerSettings" Target="../printerSettings/printerSettings3.bin"/><Relationship Id="rId4" Type="http://schemas.openxmlformats.org/officeDocument/2006/relationships/hyperlink" Target="https://docs.aws.amazon.com/redshift/latest/mgmt/managing-cluster-operation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alculator.aws/" TargetMode="External"/><Relationship Id="rId2" Type="http://schemas.openxmlformats.org/officeDocument/2006/relationships/hyperlink" Target="https://calculator.aws/" TargetMode="External"/><Relationship Id="rId1" Type="http://schemas.openxmlformats.org/officeDocument/2006/relationships/hyperlink" Target="https://calculator.aws/" TargetMode="External"/><Relationship Id="rId5" Type="http://schemas.openxmlformats.org/officeDocument/2006/relationships/printerSettings" Target="../printerSettings/printerSettings4.bin"/><Relationship Id="rId4" Type="http://schemas.openxmlformats.org/officeDocument/2006/relationships/hyperlink" Target="https://docs.aws.amazon.com/redshift/latest/mgmt/managing-cluster-operation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ocs.aws.amazon.com/redshift/latest/mgmt/working-with-clust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tabSelected="1" zoomScale="80" zoomScaleNormal="80" workbookViewId="0">
      <selection activeCell="C1" sqref="C1"/>
    </sheetView>
  </sheetViews>
  <sheetFormatPr defaultRowHeight="15" x14ac:dyDescent="0.25"/>
  <cols>
    <col min="1" max="1" width="14.28515625" style="2" bestFit="1" customWidth="1"/>
    <col min="2" max="2" width="22" style="2" customWidth="1"/>
    <col min="3" max="3" width="20.140625" style="2" bestFit="1" customWidth="1"/>
    <col min="4" max="4" width="10" style="2" customWidth="1"/>
    <col min="5" max="5" width="11" style="2" bestFit="1" customWidth="1"/>
    <col min="6" max="6" width="21.42578125" style="2" customWidth="1"/>
    <col min="7" max="7" width="17.85546875" style="24" customWidth="1"/>
    <col min="8" max="8" width="27.140625" style="2" bestFit="1" customWidth="1"/>
    <col min="9" max="9" width="28.42578125" style="2" bestFit="1" customWidth="1"/>
    <col min="10" max="10" width="30" style="2" bestFit="1" customWidth="1"/>
    <col min="11" max="11" width="117.5703125" style="4" customWidth="1"/>
    <col min="12" max="12" width="60" customWidth="1"/>
  </cols>
  <sheetData>
    <row r="1" spans="1:11" x14ac:dyDescent="0.25">
      <c r="A1" s="2">
        <v>1</v>
      </c>
      <c r="B1" s="7" t="s">
        <v>32</v>
      </c>
      <c r="C1" s="2" t="s">
        <v>33</v>
      </c>
    </row>
    <row r="3" spans="1:11" ht="45" x14ac:dyDescent="0.25">
      <c r="A3" s="48" t="s">
        <v>22</v>
      </c>
      <c r="B3" s="49"/>
      <c r="C3" s="1" t="s">
        <v>0</v>
      </c>
      <c r="D3" s="7" t="s">
        <v>2</v>
      </c>
      <c r="E3" s="7" t="s">
        <v>17</v>
      </c>
      <c r="F3" s="7" t="s">
        <v>16</v>
      </c>
      <c r="G3" s="25" t="s">
        <v>19</v>
      </c>
      <c r="H3" s="1" t="s">
        <v>1</v>
      </c>
      <c r="I3" s="1" t="s">
        <v>4</v>
      </c>
      <c r="J3" s="7" t="s">
        <v>6</v>
      </c>
      <c r="K3" s="3" t="s">
        <v>7</v>
      </c>
    </row>
    <row r="4" spans="1:11" x14ac:dyDescent="0.25">
      <c r="A4" s="6" t="s">
        <v>14</v>
      </c>
      <c r="B4" s="6" t="s">
        <v>20</v>
      </c>
      <c r="C4" s="21" t="s">
        <v>15</v>
      </c>
      <c r="D4" s="5" t="s">
        <v>3</v>
      </c>
      <c r="E4" s="5" t="s">
        <v>18</v>
      </c>
      <c r="F4" s="22">
        <v>2138087</v>
      </c>
      <c r="G4" s="18">
        <f>(F4/8)/1000/1000</f>
        <v>0.26726087500000001</v>
      </c>
      <c r="H4" s="5" t="s">
        <v>47</v>
      </c>
      <c r="I4" s="18">
        <f>G4*365</f>
        <v>97.550219374999998</v>
      </c>
      <c r="J4" s="5"/>
      <c r="K4" s="6"/>
    </row>
    <row r="5" spans="1:11" x14ac:dyDescent="0.25">
      <c r="A5" s="50" t="s">
        <v>21</v>
      </c>
      <c r="B5" s="12" t="s">
        <v>23</v>
      </c>
      <c r="C5" s="21" t="s">
        <v>29</v>
      </c>
      <c r="D5" s="5" t="s">
        <v>3</v>
      </c>
      <c r="E5" s="11" t="s">
        <v>40</v>
      </c>
      <c r="F5" s="23">
        <v>221609</v>
      </c>
      <c r="G5" s="18">
        <f>(F5/8)/1000/1000</f>
        <v>2.7701125E-2</v>
      </c>
      <c r="H5" s="11" t="s">
        <v>40</v>
      </c>
      <c r="I5" s="18">
        <f>G5</f>
        <v>2.7701125E-2</v>
      </c>
      <c r="J5" s="5"/>
      <c r="K5" s="6"/>
    </row>
    <row r="6" spans="1:11" x14ac:dyDescent="0.25">
      <c r="A6" s="51"/>
      <c r="B6" s="12" t="s">
        <v>24</v>
      </c>
      <c r="C6" s="21" t="s">
        <v>29</v>
      </c>
      <c r="D6" s="5" t="s">
        <v>3</v>
      </c>
      <c r="E6" s="11" t="s">
        <v>40</v>
      </c>
      <c r="F6" s="23">
        <v>3781801</v>
      </c>
      <c r="G6" s="18">
        <f t="shared" ref="G6:G12" si="0">(F6/8)/1000/1000</f>
        <v>0.47272512499999997</v>
      </c>
      <c r="H6" s="11" t="s">
        <v>40</v>
      </c>
      <c r="I6" s="18">
        <f t="shared" ref="I6:I10" si="1">G6</f>
        <v>0.47272512499999997</v>
      </c>
      <c r="J6" s="5"/>
      <c r="K6" s="6"/>
    </row>
    <row r="7" spans="1:11" x14ac:dyDescent="0.25">
      <c r="A7" s="51"/>
      <c r="B7" s="12" t="s">
        <v>25</v>
      </c>
      <c r="C7" s="21" t="s">
        <v>30</v>
      </c>
      <c r="D7" s="5" t="s">
        <v>3</v>
      </c>
      <c r="E7" s="11" t="s">
        <v>40</v>
      </c>
      <c r="F7" s="23">
        <v>14927678</v>
      </c>
      <c r="G7" s="18">
        <f t="shared" si="0"/>
        <v>1.86595975</v>
      </c>
      <c r="H7" s="11" t="s">
        <v>40</v>
      </c>
      <c r="I7" s="18">
        <f t="shared" si="1"/>
        <v>1.86595975</v>
      </c>
      <c r="J7" s="5"/>
      <c r="K7" s="6"/>
    </row>
    <row r="8" spans="1:11" x14ac:dyDescent="0.25">
      <c r="A8" s="51"/>
      <c r="B8" s="12" t="s">
        <v>26</v>
      </c>
      <c r="C8" s="21" t="s">
        <v>31</v>
      </c>
      <c r="D8" s="5" t="s">
        <v>3</v>
      </c>
      <c r="E8" s="11" t="s">
        <v>40</v>
      </c>
      <c r="F8" s="23">
        <v>164553075</v>
      </c>
      <c r="G8" s="18">
        <f t="shared" si="0"/>
        <v>20.569134375000001</v>
      </c>
      <c r="H8" s="11" t="s">
        <v>40</v>
      </c>
      <c r="I8" s="18">
        <f t="shared" si="1"/>
        <v>20.569134375000001</v>
      </c>
      <c r="J8" s="5"/>
      <c r="K8" s="6"/>
    </row>
    <row r="9" spans="1:11" x14ac:dyDescent="0.25">
      <c r="A9" s="51"/>
      <c r="B9" s="12" t="s">
        <v>27</v>
      </c>
      <c r="C9" s="21" t="s">
        <v>29</v>
      </c>
      <c r="D9" s="5" t="s">
        <v>3</v>
      </c>
      <c r="E9" s="11" t="s">
        <v>40</v>
      </c>
      <c r="F9" s="23">
        <v>38351739</v>
      </c>
      <c r="G9" s="18">
        <f t="shared" si="0"/>
        <v>4.7939673750000003</v>
      </c>
      <c r="H9" s="11" t="s">
        <v>40</v>
      </c>
      <c r="I9" s="18">
        <f t="shared" si="1"/>
        <v>4.7939673750000003</v>
      </c>
      <c r="J9" s="5"/>
      <c r="K9" s="6"/>
    </row>
    <row r="10" spans="1:11" x14ac:dyDescent="0.25">
      <c r="A10" s="52"/>
      <c r="B10" s="12" t="s">
        <v>28</v>
      </c>
      <c r="C10" s="21" t="s">
        <v>29</v>
      </c>
      <c r="D10" s="5" t="s">
        <v>3</v>
      </c>
      <c r="E10" s="11" t="s">
        <v>40</v>
      </c>
      <c r="F10" s="23">
        <v>1046410</v>
      </c>
      <c r="G10" s="18">
        <f t="shared" si="0"/>
        <v>0.13080125000000001</v>
      </c>
      <c r="H10" s="11" t="s">
        <v>40</v>
      </c>
      <c r="I10" s="18">
        <f t="shared" si="1"/>
        <v>0.13080125000000001</v>
      </c>
      <c r="J10" s="5"/>
      <c r="K10" s="6"/>
    </row>
    <row r="11" spans="1:11" x14ac:dyDescent="0.25">
      <c r="A11" s="53" t="s">
        <v>41</v>
      </c>
      <c r="B11" s="12" t="s">
        <v>42</v>
      </c>
      <c r="C11" s="21" t="s">
        <v>30</v>
      </c>
      <c r="D11" s="5" t="s">
        <v>3</v>
      </c>
      <c r="E11" s="11" t="s">
        <v>18</v>
      </c>
      <c r="F11" s="23">
        <v>3536287</v>
      </c>
      <c r="G11" s="18">
        <f t="shared" si="0"/>
        <v>0.44203587499999997</v>
      </c>
      <c r="H11" s="5" t="s">
        <v>47</v>
      </c>
      <c r="I11" s="18">
        <f t="shared" ref="I11:I17" si="2">G11*365</f>
        <v>161.34309437499999</v>
      </c>
      <c r="J11" s="5"/>
      <c r="K11" s="6"/>
    </row>
    <row r="12" spans="1:11" x14ac:dyDescent="0.25">
      <c r="A12" s="52"/>
      <c r="B12" s="6" t="s">
        <v>34</v>
      </c>
      <c r="C12" s="21" t="s">
        <v>43</v>
      </c>
      <c r="D12" s="5" t="s">
        <v>3</v>
      </c>
      <c r="E12" s="5" t="s">
        <v>18</v>
      </c>
      <c r="F12" s="23">
        <v>2657980</v>
      </c>
      <c r="G12" s="18">
        <f t="shared" si="0"/>
        <v>0.33224750000000003</v>
      </c>
      <c r="H12" s="5" t="s">
        <v>47</v>
      </c>
      <c r="I12" s="18">
        <f t="shared" si="2"/>
        <v>121.27033750000001</v>
      </c>
      <c r="J12" s="5"/>
      <c r="K12" s="6"/>
    </row>
    <row r="13" spans="1:11" x14ac:dyDescent="0.25">
      <c r="A13" s="50" t="s">
        <v>35</v>
      </c>
      <c r="B13" s="6" t="s">
        <v>36</v>
      </c>
      <c r="C13" s="21" t="s">
        <v>29</v>
      </c>
      <c r="D13" s="5" t="s">
        <v>3</v>
      </c>
      <c r="E13" s="5" t="s">
        <v>18</v>
      </c>
      <c r="F13" s="23" t="s">
        <v>45</v>
      </c>
      <c r="G13" s="18">
        <f>(8*15000)/1000/1000</f>
        <v>0.12</v>
      </c>
      <c r="H13" s="5" t="s">
        <v>47</v>
      </c>
      <c r="I13" s="18">
        <f t="shared" si="2"/>
        <v>43.8</v>
      </c>
      <c r="J13" s="5"/>
      <c r="K13" s="6" t="s">
        <v>46</v>
      </c>
    </row>
    <row r="14" spans="1:11" x14ac:dyDescent="0.25">
      <c r="A14" s="51"/>
      <c r="B14" s="6" t="s">
        <v>37</v>
      </c>
      <c r="C14" s="21" t="s">
        <v>29</v>
      </c>
      <c r="D14" s="5" t="s">
        <v>3</v>
      </c>
      <c r="E14" s="5" t="s">
        <v>18</v>
      </c>
      <c r="F14" s="23" t="s">
        <v>45</v>
      </c>
      <c r="G14" s="18">
        <f>(8*15000)/1000/1000</f>
        <v>0.12</v>
      </c>
      <c r="H14" s="5" t="s">
        <v>47</v>
      </c>
      <c r="I14" s="18">
        <f t="shared" si="2"/>
        <v>43.8</v>
      </c>
      <c r="J14" s="5"/>
      <c r="K14" s="6" t="s">
        <v>46</v>
      </c>
    </row>
    <row r="15" spans="1:11" ht="45" x14ac:dyDescent="0.25">
      <c r="A15" s="51"/>
      <c r="B15" s="6" t="s">
        <v>38</v>
      </c>
      <c r="C15" s="21" t="s">
        <v>29</v>
      </c>
      <c r="D15" s="5" t="s">
        <v>3</v>
      </c>
      <c r="E15" s="5" t="s">
        <v>18</v>
      </c>
      <c r="F15" s="23" t="s">
        <v>63</v>
      </c>
      <c r="G15" s="18">
        <f>(720000/8)/1000/1000</f>
        <v>0.09</v>
      </c>
      <c r="H15" s="5" t="s">
        <v>47</v>
      </c>
      <c r="I15" s="18">
        <f t="shared" si="2"/>
        <v>32.85</v>
      </c>
      <c r="J15" s="5"/>
      <c r="K15" s="6" t="s">
        <v>66</v>
      </c>
    </row>
    <row r="16" spans="1:11" ht="45" x14ac:dyDescent="0.25">
      <c r="A16" s="51"/>
      <c r="B16" s="6" t="s">
        <v>39</v>
      </c>
      <c r="C16" s="21" t="s">
        <v>29</v>
      </c>
      <c r="D16" s="5" t="s">
        <v>3</v>
      </c>
      <c r="E16" s="5" t="s">
        <v>18</v>
      </c>
      <c r="F16" s="23" t="s">
        <v>63</v>
      </c>
      <c r="G16" s="18">
        <f>(720000/8)/1000/1000</f>
        <v>0.09</v>
      </c>
      <c r="H16" s="5" t="s">
        <v>47</v>
      </c>
      <c r="I16" s="18">
        <f t="shared" si="2"/>
        <v>32.85</v>
      </c>
      <c r="J16" s="5"/>
      <c r="K16" s="6" t="s">
        <v>66</v>
      </c>
    </row>
    <row r="17" spans="1:11" x14ac:dyDescent="0.25">
      <c r="A17" s="52"/>
      <c r="B17" s="6" t="s">
        <v>44</v>
      </c>
      <c r="C17" s="21" t="s">
        <v>29</v>
      </c>
      <c r="D17" s="5" t="s">
        <v>3</v>
      </c>
      <c r="E17" s="5" t="s">
        <v>18</v>
      </c>
      <c r="F17" s="22">
        <v>100000</v>
      </c>
      <c r="G17" s="18">
        <f t="shared" ref="G17" si="3">(F17/8)/1000/1000</f>
        <v>1.2500000000000001E-2</v>
      </c>
      <c r="H17" s="5" t="s">
        <v>47</v>
      </c>
      <c r="I17" s="18">
        <f t="shared" si="2"/>
        <v>4.5625</v>
      </c>
      <c r="J17" s="5"/>
      <c r="K17" s="6"/>
    </row>
    <row r="18" spans="1:11" x14ac:dyDescent="0.25">
      <c r="I18" s="18">
        <f>SUM(I4:I17)</f>
        <v>565.88644025000008</v>
      </c>
    </row>
    <row r="19" spans="1:11" x14ac:dyDescent="0.25">
      <c r="I19" s="19"/>
      <c r="J19" s="17"/>
    </row>
    <row r="20" spans="1:11" x14ac:dyDescent="0.25">
      <c r="H20" s="16" t="s">
        <v>11</v>
      </c>
      <c r="I20" s="26">
        <f>I18+(I18*35%)</f>
        <v>763.94669433750005</v>
      </c>
      <c r="J20" s="20" t="s">
        <v>5</v>
      </c>
    </row>
    <row r="21" spans="1:11" x14ac:dyDescent="0.25">
      <c r="I21" s="18">
        <f>I18*60%</f>
        <v>339.53186415000005</v>
      </c>
      <c r="J21" s="17" t="s">
        <v>12</v>
      </c>
    </row>
    <row r="22" spans="1:11" x14ac:dyDescent="0.25">
      <c r="H22" s="16" t="s">
        <v>13</v>
      </c>
      <c r="I22" s="26">
        <f>I21+(I21*35%)</f>
        <v>458.36801660250006</v>
      </c>
      <c r="J22" s="20" t="s">
        <v>5</v>
      </c>
    </row>
    <row r="24" spans="1:11" x14ac:dyDescent="0.25">
      <c r="H24" s="16" t="s">
        <v>48</v>
      </c>
      <c r="I24" s="26">
        <f>I20/1000</f>
        <v>0.76394669433750007</v>
      </c>
    </row>
    <row r="25" spans="1:11" x14ac:dyDescent="0.25">
      <c r="H25" s="16" t="s">
        <v>49</v>
      </c>
      <c r="I25" s="26">
        <f>I22/1000</f>
        <v>0.45836801660250004</v>
      </c>
    </row>
  </sheetData>
  <mergeCells count="4">
    <mergeCell ref="A3:B3"/>
    <mergeCell ref="A5:A10"/>
    <mergeCell ref="A13:A17"/>
    <mergeCell ref="A11:A1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12DD-2DD3-493F-9714-584BE2D3007A}">
  <dimension ref="B1:I25"/>
  <sheetViews>
    <sheetView topLeftCell="A6" zoomScaleNormal="100" workbookViewId="0">
      <selection activeCell="G23" sqref="G23"/>
    </sheetView>
  </sheetViews>
  <sheetFormatPr defaultRowHeight="15" x14ac:dyDescent="0.25"/>
  <cols>
    <col min="2" max="2" width="28.85546875" bestFit="1" customWidth="1"/>
    <col min="3" max="3" width="24.85546875" customWidth="1"/>
    <col min="4" max="4" width="22" bestFit="1" customWidth="1"/>
    <col min="7" max="7" width="28.85546875" bestFit="1" customWidth="1"/>
    <col min="8" max="8" width="24.85546875" customWidth="1"/>
    <col min="9" max="9" width="22" bestFit="1" customWidth="1"/>
  </cols>
  <sheetData>
    <row r="1" spans="2:9" x14ac:dyDescent="0.25">
      <c r="B1" s="15" t="s">
        <v>148</v>
      </c>
      <c r="G1" s="15" t="s">
        <v>147</v>
      </c>
    </row>
    <row r="3" spans="2:9" ht="30" x14ac:dyDescent="0.25">
      <c r="B3" s="9" t="s">
        <v>22</v>
      </c>
      <c r="C3" s="9" t="s">
        <v>56</v>
      </c>
      <c r="G3" s="9" t="s">
        <v>22</v>
      </c>
      <c r="H3" s="9" t="s">
        <v>56</v>
      </c>
    </row>
    <row r="4" spans="2:9" x14ac:dyDescent="0.25">
      <c r="B4" s="8" t="s">
        <v>14</v>
      </c>
      <c r="C4" s="14">
        <f>Volumetric!I4</f>
        <v>97.550219374999998</v>
      </c>
      <c r="G4" s="8" t="s">
        <v>35</v>
      </c>
      <c r="H4" s="14">
        <f>SUM(Volumetric!I13+Volumetric!I14+Volumetric!I15+Volumetric!I16+Volumetric!I17)</f>
        <v>157.86249999999998</v>
      </c>
    </row>
    <row r="5" spans="2:9" x14ac:dyDescent="0.25">
      <c r="B5" s="8" t="s">
        <v>41</v>
      </c>
      <c r="C5" s="14">
        <f>SUM(Volumetric!I11+Volumetric!I12)</f>
        <v>282.613431875</v>
      </c>
    </row>
    <row r="6" spans="2:9" x14ac:dyDescent="0.25">
      <c r="B6" s="8" t="s">
        <v>35</v>
      </c>
      <c r="C6" s="14">
        <f>SUM(Volumetric!I13+Volumetric!I14+Volumetric!I15+Volumetric!I16+Volumetric!I17)</f>
        <v>157.86249999999998</v>
      </c>
    </row>
    <row r="7" spans="2:9" x14ac:dyDescent="0.25">
      <c r="B7" s="10" t="s">
        <v>57</v>
      </c>
      <c r="C7" s="14">
        <f>SUM(C4:C6)</f>
        <v>538.02615125</v>
      </c>
    </row>
    <row r="9" spans="2:9" x14ac:dyDescent="0.25">
      <c r="B9" s="9" t="s">
        <v>10</v>
      </c>
      <c r="C9" s="9" t="s">
        <v>58</v>
      </c>
      <c r="D9" s="9" t="s">
        <v>8</v>
      </c>
      <c r="G9" s="9" t="s">
        <v>10</v>
      </c>
      <c r="H9" s="9" t="s">
        <v>58</v>
      </c>
      <c r="I9" s="9" t="s">
        <v>8</v>
      </c>
    </row>
    <row r="10" spans="2:9" x14ac:dyDescent="0.25">
      <c r="B10" s="8" t="s">
        <v>50</v>
      </c>
      <c r="C10" s="8" t="s">
        <v>9</v>
      </c>
      <c r="D10" s="14">
        <f>Volumetric!I20</f>
        <v>763.94669433750005</v>
      </c>
      <c r="G10" s="8" t="s">
        <v>50</v>
      </c>
      <c r="H10" s="8" t="s">
        <v>9</v>
      </c>
      <c r="I10" s="14">
        <f>H4+(H4*35%)</f>
        <v>213.11437499999997</v>
      </c>
    </row>
    <row r="11" spans="2:9" x14ac:dyDescent="0.25">
      <c r="B11" s="8" t="s">
        <v>51</v>
      </c>
      <c r="C11" s="14">
        <f>C7</f>
        <v>538.02615125</v>
      </c>
      <c r="D11" s="14">
        <f>D10+C11</f>
        <v>1301.9728455875002</v>
      </c>
      <c r="G11" s="8" t="s">
        <v>51</v>
      </c>
      <c r="H11" s="14">
        <f>H4</f>
        <v>157.86249999999998</v>
      </c>
      <c r="I11" s="14">
        <f>I10+H11</f>
        <v>370.97687499999995</v>
      </c>
    </row>
    <row r="12" spans="2:9" x14ac:dyDescent="0.25">
      <c r="B12" s="13" t="s">
        <v>52</v>
      </c>
      <c r="C12" s="14">
        <f>C7</f>
        <v>538.02615125</v>
      </c>
      <c r="D12" s="14">
        <f>C12+D11</f>
        <v>1839.9989968375003</v>
      </c>
      <c r="G12" s="13" t="s">
        <v>52</v>
      </c>
      <c r="H12" s="14">
        <f>H4</f>
        <v>157.86249999999998</v>
      </c>
      <c r="I12" s="14">
        <f>H12+I11</f>
        <v>528.8393749999999</v>
      </c>
    </row>
    <row r="13" spans="2:9" x14ac:dyDescent="0.25">
      <c r="B13" s="13" t="s">
        <v>53</v>
      </c>
      <c r="C13" s="14">
        <f>C7</f>
        <v>538.02615125</v>
      </c>
      <c r="D13" s="14">
        <f>C13+D12</f>
        <v>2378.0251480875004</v>
      </c>
      <c r="G13" s="13" t="s">
        <v>53</v>
      </c>
      <c r="H13" s="14">
        <f>H4</f>
        <v>157.86249999999998</v>
      </c>
      <c r="I13" s="14">
        <f>H13+I12</f>
        <v>686.70187499999986</v>
      </c>
    </row>
    <row r="14" spans="2:9" x14ac:dyDescent="0.25">
      <c r="B14" s="13" t="s">
        <v>54</v>
      </c>
      <c r="C14" s="14">
        <f>C7</f>
        <v>538.02615125</v>
      </c>
      <c r="D14" s="14">
        <f>C14+D13</f>
        <v>2916.0512993375005</v>
      </c>
      <c r="G14" s="13" t="s">
        <v>54</v>
      </c>
      <c r="H14" s="14">
        <f>H4</f>
        <v>157.86249999999998</v>
      </c>
      <c r="I14" s="14">
        <f>H14+I13</f>
        <v>844.56437499999981</v>
      </c>
    </row>
    <row r="15" spans="2:9" x14ac:dyDescent="0.25">
      <c r="B15" s="15" t="s">
        <v>64</v>
      </c>
      <c r="G15" s="15" t="s">
        <v>145</v>
      </c>
    </row>
    <row r="17" spans="2:9" x14ac:dyDescent="0.25">
      <c r="B17" s="9" t="s">
        <v>10</v>
      </c>
      <c r="C17" s="9" t="s">
        <v>58</v>
      </c>
      <c r="D17" s="9" t="s">
        <v>8</v>
      </c>
      <c r="G17" s="9" t="s">
        <v>10</v>
      </c>
      <c r="H17" s="9" t="s">
        <v>58</v>
      </c>
      <c r="I17" s="9" t="s">
        <v>8</v>
      </c>
    </row>
    <row r="18" spans="2:9" x14ac:dyDescent="0.25">
      <c r="B18" s="8" t="s">
        <v>55</v>
      </c>
      <c r="C18" s="14">
        <f>C7</f>
        <v>538.02615125</v>
      </c>
      <c r="D18" s="14">
        <f>C18+D14</f>
        <v>3454.0774505875006</v>
      </c>
      <c r="G18" s="8" t="s">
        <v>55</v>
      </c>
      <c r="H18" s="14">
        <f>H4</f>
        <v>157.86249999999998</v>
      </c>
      <c r="I18" s="14">
        <f>H18+I14</f>
        <v>1002.4268749999998</v>
      </c>
    </row>
    <row r="19" spans="2:9" x14ac:dyDescent="0.25">
      <c r="B19" s="8" t="s">
        <v>59</v>
      </c>
      <c r="C19" s="14">
        <f>C7</f>
        <v>538.02615125</v>
      </c>
      <c r="D19" s="14">
        <f>D18+C19</f>
        <v>3992.1036018375007</v>
      </c>
      <c r="G19" s="8" t="s">
        <v>59</v>
      </c>
      <c r="H19" s="14">
        <f>H4</f>
        <v>157.86249999999998</v>
      </c>
      <c r="I19" s="14">
        <f>I18+H19</f>
        <v>1160.2893749999998</v>
      </c>
    </row>
    <row r="20" spans="2:9" x14ac:dyDescent="0.25">
      <c r="B20" s="13" t="s">
        <v>60</v>
      </c>
      <c r="C20" s="14">
        <f>C7</f>
        <v>538.02615125</v>
      </c>
      <c r="D20" s="14">
        <f>C20+D19</f>
        <v>4530.1297530875008</v>
      </c>
      <c r="G20" s="13" t="s">
        <v>60</v>
      </c>
      <c r="H20" s="14">
        <f>H4</f>
        <v>157.86249999999998</v>
      </c>
      <c r="I20" s="14">
        <f>H20+I19</f>
        <v>1318.1518749999998</v>
      </c>
    </row>
    <row r="21" spans="2:9" x14ac:dyDescent="0.25">
      <c r="B21" s="13" t="s">
        <v>61</v>
      </c>
      <c r="C21" s="14">
        <f>C7</f>
        <v>538.02615125</v>
      </c>
      <c r="D21" s="14">
        <f>C21+D20</f>
        <v>5068.1559043375009</v>
      </c>
      <c r="G21" s="13" t="s">
        <v>61</v>
      </c>
      <c r="H21" s="14">
        <f>H4</f>
        <v>157.86249999999998</v>
      </c>
      <c r="I21" s="14">
        <f>H21+I20</f>
        <v>1476.0143749999997</v>
      </c>
    </row>
    <row r="22" spans="2:9" x14ac:dyDescent="0.25">
      <c r="B22" s="13" t="s">
        <v>62</v>
      </c>
      <c r="C22" s="14">
        <f>C7</f>
        <v>538.02615125</v>
      </c>
      <c r="D22" s="14">
        <f>C22+D21</f>
        <v>5606.1820555875011</v>
      </c>
      <c r="G22" s="13" t="s">
        <v>62</v>
      </c>
      <c r="H22" s="14">
        <f>H4</f>
        <v>157.86249999999998</v>
      </c>
      <c r="I22" s="14">
        <f>H22+I21</f>
        <v>1633.8768749999997</v>
      </c>
    </row>
    <row r="23" spans="2:9" x14ac:dyDescent="0.25">
      <c r="B23" s="15" t="s">
        <v>65</v>
      </c>
      <c r="G23" s="15" t="s">
        <v>146</v>
      </c>
    </row>
    <row r="25" spans="2:9" x14ac:dyDescent="0.25">
      <c r="B25" s="27"/>
      <c r="G25" s="27"/>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BD67-1489-4E41-9BB4-D0262F27FD60}">
  <dimension ref="A1:I42"/>
  <sheetViews>
    <sheetView zoomScale="90" zoomScaleNormal="90" workbookViewId="0">
      <selection activeCell="A6" sqref="A6:A11"/>
    </sheetView>
  </sheetViews>
  <sheetFormatPr defaultRowHeight="15" x14ac:dyDescent="0.25"/>
  <cols>
    <col min="1" max="1" width="5.140625" customWidth="1"/>
    <col min="2" max="2" width="57.42578125" bestFit="1" customWidth="1"/>
    <col min="3" max="3" width="12.5703125" customWidth="1"/>
    <col min="4" max="4" width="12.5703125" style="28" customWidth="1"/>
    <col min="5" max="5" width="50.28515625" bestFit="1" customWidth="1"/>
    <col min="7" max="7" width="29.7109375" customWidth="1"/>
    <col min="8" max="8" width="23.7109375" bestFit="1" customWidth="1"/>
    <col min="9" max="9" width="23.42578125" bestFit="1" customWidth="1"/>
  </cols>
  <sheetData>
    <row r="1" spans="1:9" ht="18.75" x14ac:dyDescent="0.3">
      <c r="A1" s="60" t="s">
        <v>149</v>
      </c>
      <c r="B1" s="60"/>
      <c r="C1" s="61"/>
      <c r="D1" s="61"/>
      <c r="G1" s="9" t="s">
        <v>167</v>
      </c>
    </row>
    <row r="2" spans="1:9" x14ac:dyDescent="0.25">
      <c r="G2" s="47" t="s">
        <v>168</v>
      </c>
    </row>
    <row r="4" spans="1:9" x14ac:dyDescent="0.25">
      <c r="A4" s="9" t="s">
        <v>67</v>
      </c>
      <c r="B4" s="9" t="s">
        <v>68</v>
      </c>
      <c r="C4" s="9" t="s">
        <v>69</v>
      </c>
      <c r="D4" s="29" t="s">
        <v>70</v>
      </c>
      <c r="E4" s="9" t="s">
        <v>71</v>
      </c>
    </row>
    <row r="5" spans="1:9" x14ac:dyDescent="0.25">
      <c r="A5" s="30">
        <v>1</v>
      </c>
      <c r="B5" s="31" t="s">
        <v>72</v>
      </c>
      <c r="C5" s="14">
        <f>'YOY Growth'!D10</f>
        <v>763.94669433750005</v>
      </c>
      <c r="D5" s="32"/>
      <c r="E5" s="8"/>
    </row>
    <row r="6" spans="1:9" x14ac:dyDescent="0.25">
      <c r="A6" s="57">
        <v>2</v>
      </c>
      <c r="B6" s="31" t="s">
        <v>73</v>
      </c>
      <c r="C6" s="8"/>
      <c r="D6" s="32"/>
      <c r="E6" s="8"/>
      <c r="G6" s="9" t="s">
        <v>138</v>
      </c>
      <c r="H6" s="9" t="s">
        <v>113</v>
      </c>
      <c r="I6" s="9" t="s">
        <v>114</v>
      </c>
    </row>
    <row r="7" spans="1:9" x14ac:dyDescent="0.25">
      <c r="A7" s="58"/>
      <c r="B7" s="33" t="s">
        <v>75</v>
      </c>
      <c r="C7" s="8" t="s">
        <v>102</v>
      </c>
      <c r="D7" s="32"/>
      <c r="E7" s="8"/>
      <c r="G7" s="32">
        <f>D14+D18+D21+D27+D29</f>
        <v>31509.48</v>
      </c>
      <c r="H7" s="32">
        <f>D15+D18+D21+D27+D29</f>
        <v>22947.479999999996</v>
      </c>
      <c r="I7" s="32">
        <f>D16+D18+D21+D27+D29</f>
        <v>15386.760000000002</v>
      </c>
    </row>
    <row r="8" spans="1:9" x14ac:dyDescent="0.25">
      <c r="A8" s="58"/>
      <c r="B8" s="33" t="s">
        <v>77</v>
      </c>
      <c r="C8" s="8">
        <v>3</v>
      </c>
      <c r="D8" s="32"/>
      <c r="E8" s="8"/>
      <c r="G8" s="44" t="s">
        <v>116</v>
      </c>
      <c r="H8" s="44" t="s">
        <v>117</v>
      </c>
      <c r="I8" s="44" t="s">
        <v>118</v>
      </c>
    </row>
    <row r="9" spans="1:9" x14ac:dyDescent="0.25">
      <c r="A9" s="58"/>
      <c r="B9" s="33" t="s">
        <v>79</v>
      </c>
      <c r="C9" s="8" t="s">
        <v>103</v>
      </c>
      <c r="D9" s="32"/>
      <c r="E9" s="8"/>
    </row>
    <row r="10" spans="1:9" x14ac:dyDescent="0.25">
      <c r="A10" s="58"/>
      <c r="B10" s="33" t="s">
        <v>81</v>
      </c>
      <c r="C10" s="8" t="s">
        <v>104</v>
      </c>
      <c r="D10" s="32"/>
      <c r="E10" s="8"/>
    </row>
    <row r="11" spans="1:9" x14ac:dyDescent="0.25">
      <c r="A11" s="59"/>
      <c r="B11" s="33" t="s">
        <v>83</v>
      </c>
      <c r="C11" s="8">
        <v>2</v>
      </c>
      <c r="D11" s="32"/>
      <c r="E11" s="8"/>
      <c r="G11" s="15" t="s">
        <v>165</v>
      </c>
    </row>
    <row r="12" spans="1:9" x14ac:dyDescent="0.25">
      <c r="A12" s="35"/>
      <c r="B12" s="10"/>
      <c r="C12" s="8"/>
      <c r="D12" s="32"/>
      <c r="E12" s="8"/>
      <c r="G12" s="54" t="s">
        <v>164</v>
      </c>
      <c r="H12" s="55"/>
      <c r="I12" s="55"/>
    </row>
    <row r="13" spans="1:9" x14ac:dyDescent="0.25">
      <c r="A13" s="57">
        <v>4</v>
      </c>
      <c r="B13" s="36" t="s">
        <v>161</v>
      </c>
      <c r="C13" s="8"/>
      <c r="D13" s="32"/>
      <c r="E13" s="8"/>
      <c r="G13" s="55"/>
      <c r="H13" s="55"/>
      <c r="I13" s="55"/>
    </row>
    <row r="14" spans="1:9" x14ac:dyDescent="0.25">
      <c r="A14" s="58"/>
      <c r="B14" s="41" t="s">
        <v>86</v>
      </c>
      <c r="C14" s="32"/>
      <c r="D14" s="40">
        <f>2378.34*12</f>
        <v>28540.080000000002</v>
      </c>
      <c r="E14" s="32" t="s">
        <v>115</v>
      </c>
      <c r="G14" s="55"/>
      <c r="H14" s="55"/>
      <c r="I14" s="55"/>
    </row>
    <row r="15" spans="1:9" x14ac:dyDescent="0.25">
      <c r="A15" s="58"/>
      <c r="B15" s="41" t="s">
        <v>109</v>
      </c>
      <c r="C15" s="32"/>
      <c r="D15" s="40">
        <f>1664.84*12</f>
        <v>19978.079999999998</v>
      </c>
      <c r="E15" s="32" t="s">
        <v>112</v>
      </c>
      <c r="G15" s="55"/>
      <c r="H15" s="55"/>
      <c r="I15" s="55"/>
    </row>
    <row r="16" spans="1:9" ht="15" customHeight="1" x14ac:dyDescent="0.25">
      <c r="A16" s="59"/>
      <c r="B16" s="41" t="s">
        <v>110</v>
      </c>
      <c r="C16" s="32"/>
      <c r="D16" s="40">
        <f>1034.78*12</f>
        <v>12417.36</v>
      </c>
      <c r="E16" s="32" t="s">
        <v>111</v>
      </c>
      <c r="G16" s="55"/>
      <c r="H16" s="55"/>
      <c r="I16" s="55"/>
    </row>
    <row r="17" spans="1:9" x14ac:dyDescent="0.25">
      <c r="A17" s="35"/>
      <c r="B17" s="8"/>
      <c r="C17" s="8"/>
      <c r="D17" s="32"/>
      <c r="E17" s="8"/>
      <c r="G17" s="46" t="s">
        <v>163</v>
      </c>
      <c r="H17" s="45"/>
      <c r="I17" s="45"/>
    </row>
    <row r="18" spans="1:9" x14ac:dyDescent="0.25">
      <c r="A18" s="35">
        <v>5</v>
      </c>
      <c r="B18" s="36" t="s">
        <v>106</v>
      </c>
      <c r="C18" s="32"/>
      <c r="D18" s="40">
        <f>73.73*12</f>
        <v>884.76</v>
      </c>
      <c r="E18" s="32" t="s">
        <v>107</v>
      </c>
    </row>
    <row r="19" spans="1:9" x14ac:dyDescent="0.25">
      <c r="A19" s="35"/>
      <c r="B19" s="8"/>
      <c r="C19" s="8"/>
      <c r="D19" s="32"/>
      <c r="E19" s="8"/>
      <c r="G19" s="54" t="s">
        <v>166</v>
      </c>
      <c r="H19" s="56"/>
      <c r="I19" s="56"/>
    </row>
    <row r="20" spans="1:9" x14ac:dyDescent="0.25">
      <c r="A20" s="57">
        <v>6</v>
      </c>
      <c r="B20" s="31" t="s">
        <v>92</v>
      </c>
      <c r="C20" s="8"/>
      <c r="D20" s="32"/>
      <c r="E20" s="8"/>
      <c r="G20" s="56"/>
      <c r="H20" s="56"/>
      <c r="I20" s="56"/>
    </row>
    <row r="21" spans="1:9" x14ac:dyDescent="0.25">
      <c r="A21" s="58"/>
      <c r="B21" s="41" t="s">
        <v>108</v>
      </c>
      <c r="C21" s="8"/>
      <c r="D21" s="40">
        <f>117.76*12</f>
        <v>1413.1200000000001</v>
      </c>
      <c r="E21" s="8" t="s">
        <v>144</v>
      </c>
      <c r="G21" s="56"/>
      <c r="H21" s="56"/>
      <c r="I21" s="56"/>
    </row>
    <row r="22" spans="1:9" x14ac:dyDescent="0.25">
      <c r="A22" s="58"/>
      <c r="B22" s="33" t="s">
        <v>94</v>
      </c>
      <c r="C22" s="8"/>
      <c r="D22" s="32"/>
      <c r="E22" s="8"/>
      <c r="G22" s="56"/>
      <c r="H22" s="56"/>
      <c r="I22" s="56"/>
    </row>
    <row r="23" spans="1:9" ht="15" customHeight="1" x14ac:dyDescent="0.25">
      <c r="A23" s="58"/>
      <c r="B23" s="33" t="s">
        <v>95</v>
      </c>
      <c r="C23" s="14"/>
      <c r="D23" s="32"/>
      <c r="E23" s="8"/>
      <c r="G23" s="56"/>
      <c r="H23" s="56"/>
      <c r="I23" s="56"/>
    </row>
    <row r="24" spans="1:9" x14ac:dyDescent="0.25">
      <c r="A24" s="59"/>
      <c r="B24" s="33" t="s">
        <v>96</v>
      </c>
      <c r="C24" s="8"/>
      <c r="D24" s="32"/>
      <c r="E24" s="8"/>
      <c r="G24" s="56"/>
      <c r="H24" s="56"/>
      <c r="I24" s="56"/>
    </row>
    <row r="25" spans="1:9" x14ac:dyDescent="0.25">
      <c r="A25" s="8"/>
      <c r="B25" s="8"/>
      <c r="C25" s="8"/>
      <c r="D25" s="32"/>
      <c r="E25" s="8"/>
      <c r="G25" s="56"/>
      <c r="H25" s="56"/>
      <c r="I25" s="56"/>
    </row>
    <row r="26" spans="1:9" x14ac:dyDescent="0.25">
      <c r="A26" s="8"/>
      <c r="B26" s="37" t="s">
        <v>97</v>
      </c>
      <c r="C26" s="8"/>
      <c r="D26" s="32"/>
      <c r="E26" s="8"/>
      <c r="G26" s="56"/>
      <c r="H26" s="56"/>
      <c r="I26" s="56"/>
    </row>
    <row r="27" spans="1:9" x14ac:dyDescent="0.25">
      <c r="A27" s="35">
        <v>7</v>
      </c>
      <c r="B27" s="31" t="s">
        <v>105</v>
      </c>
      <c r="C27" s="8"/>
      <c r="D27" s="40">
        <f>15*12</f>
        <v>180</v>
      </c>
      <c r="E27" s="32" t="s">
        <v>143</v>
      </c>
      <c r="G27" s="56"/>
      <c r="H27" s="56"/>
      <c r="I27" s="56"/>
    </row>
    <row r="28" spans="1:9" x14ac:dyDescent="0.25">
      <c r="A28" s="8"/>
      <c r="B28" s="8"/>
      <c r="C28" s="8"/>
      <c r="D28" s="32"/>
      <c r="E28" s="8"/>
      <c r="G28" s="56"/>
      <c r="H28" s="56"/>
      <c r="I28" s="56"/>
    </row>
    <row r="29" spans="1:9" x14ac:dyDescent="0.25">
      <c r="A29" s="38">
        <v>8</v>
      </c>
      <c r="B29" s="31" t="s">
        <v>141</v>
      </c>
      <c r="C29" s="8"/>
      <c r="D29" s="40">
        <f>40.96*12</f>
        <v>491.52</v>
      </c>
      <c r="E29" s="8" t="s">
        <v>142</v>
      </c>
      <c r="G29" s="56"/>
      <c r="H29" s="56"/>
      <c r="I29" s="56"/>
    </row>
    <row r="30" spans="1:9" x14ac:dyDescent="0.25">
      <c r="A30" s="8"/>
      <c r="B30" s="8"/>
      <c r="C30" s="8"/>
      <c r="D30" s="32"/>
      <c r="E30" s="8"/>
      <c r="G30" s="56"/>
      <c r="H30" s="56"/>
      <c r="I30" s="56"/>
    </row>
    <row r="31" spans="1:9" x14ac:dyDescent="0.25">
      <c r="A31" s="8"/>
      <c r="B31" s="8"/>
      <c r="C31" s="8"/>
      <c r="D31" s="32"/>
      <c r="E31" s="8"/>
      <c r="G31" s="56"/>
      <c r="H31" s="56"/>
      <c r="I31" s="56"/>
    </row>
    <row r="32" spans="1:9" x14ac:dyDescent="0.25">
      <c r="G32" s="56"/>
      <c r="H32" s="56"/>
      <c r="I32" s="56"/>
    </row>
    <row r="33" spans="2:9" x14ac:dyDescent="0.25">
      <c r="B33" s="27"/>
      <c r="G33" s="56"/>
      <c r="H33" s="56"/>
      <c r="I33" s="56"/>
    </row>
    <row r="34" spans="2:9" x14ac:dyDescent="0.25">
      <c r="B34" s="39"/>
      <c r="G34" s="56"/>
      <c r="H34" s="56"/>
      <c r="I34" s="56"/>
    </row>
    <row r="35" spans="2:9" x14ac:dyDescent="0.25">
      <c r="G35" s="56"/>
      <c r="H35" s="56"/>
      <c r="I35" s="56"/>
    </row>
    <row r="36" spans="2:9" x14ac:dyDescent="0.25">
      <c r="G36" s="56"/>
      <c r="H36" s="56"/>
      <c r="I36" s="56"/>
    </row>
    <row r="37" spans="2:9" x14ac:dyDescent="0.25">
      <c r="G37" s="56"/>
      <c r="H37" s="56"/>
      <c r="I37" s="56"/>
    </row>
    <row r="38" spans="2:9" x14ac:dyDescent="0.25">
      <c r="G38" s="56"/>
      <c r="H38" s="56"/>
      <c r="I38" s="56"/>
    </row>
    <row r="39" spans="2:9" x14ac:dyDescent="0.25">
      <c r="G39" s="56"/>
      <c r="H39" s="56"/>
      <c r="I39" s="56"/>
    </row>
    <row r="40" spans="2:9" x14ac:dyDescent="0.25">
      <c r="G40" s="56"/>
      <c r="H40" s="56"/>
      <c r="I40" s="56"/>
    </row>
    <row r="41" spans="2:9" x14ac:dyDescent="0.25">
      <c r="G41" s="56"/>
      <c r="H41" s="56"/>
      <c r="I41" s="56"/>
    </row>
    <row r="42" spans="2:9" x14ac:dyDescent="0.25">
      <c r="G42" s="56"/>
      <c r="H42" s="56"/>
      <c r="I42" s="56"/>
    </row>
  </sheetData>
  <mergeCells count="6">
    <mergeCell ref="G12:I16"/>
    <mergeCell ref="G19:I42"/>
    <mergeCell ref="A6:A11"/>
    <mergeCell ref="A20:A24"/>
    <mergeCell ref="A1:D1"/>
    <mergeCell ref="A13:A16"/>
  </mergeCells>
  <hyperlinks>
    <hyperlink ref="G8" r:id="rId1" location="/estimate?id=3428624b86f3bc3c2bf142168cb6828272b4c60b" xr:uid="{FCA0020E-CE44-465B-8A5A-39786A63F7AD}"/>
    <hyperlink ref="H8" r:id="rId2" location="/estimate?id=0011b97252ed8095bb26dee7d484b0a6736ec548" xr:uid="{95644D1E-066B-41D3-AFD8-C6763AAAC7D7}"/>
    <hyperlink ref="I8" r:id="rId3" location="/estimate?id=8bf7a2e06f3b3f1db4454c54f50ba4e2ba45243c" xr:uid="{E7A0AF66-073F-4E06-942D-67F1F1EDD4CF}"/>
    <hyperlink ref="G17" r:id="rId4" location="rs-resize-tutorial" xr:uid="{3B31AC47-0DFB-4323-AFE9-0138CE571AE9}"/>
  </hyperlinks>
  <pageMargins left="0.7" right="0.7" top="0.75" bottom="0.75" header="0.3" footer="0.3"/>
  <pageSetup orientation="portrait" horizontalDpi="90" verticalDpi="9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6D3F-ECF3-4202-B969-374BC3AABA79}">
  <dimension ref="A1:I42"/>
  <sheetViews>
    <sheetView topLeftCell="B1" zoomScaleNormal="100" workbookViewId="0">
      <selection activeCell="B7" sqref="B7"/>
    </sheetView>
  </sheetViews>
  <sheetFormatPr defaultRowHeight="15" x14ac:dyDescent="0.25"/>
  <cols>
    <col min="1" max="1" width="5.140625" customWidth="1"/>
    <col min="2" max="2" width="57.42578125" bestFit="1" customWidth="1"/>
    <col min="3" max="3" width="12.5703125" customWidth="1"/>
    <col min="4" max="4" width="12.5703125" style="28" customWidth="1"/>
    <col min="5" max="5" width="50.28515625" bestFit="1" customWidth="1"/>
    <col min="7" max="7" width="29.7109375" customWidth="1"/>
    <col min="8" max="8" width="23.7109375" bestFit="1" customWidth="1"/>
    <col min="9" max="9" width="23.42578125" bestFit="1" customWidth="1"/>
  </cols>
  <sheetData>
    <row r="1" spans="1:9" ht="18.75" x14ac:dyDescent="0.3">
      <c r="A1" s="60" t="s">
        <v>150</v>
      </c>
      <c r="B1" s="60"/>
      <c r="C1" s="61"/>
      <c r="D1" s="61"/>
      <c r="G1" s="9" t="s">
        <v>167</v>
      </c>
    </row>
    <row r="2" spans="1:9" x14ac:dyDescent="0.25">
      <c r="G2" s="47" t="s">
        <v>168</v>
      </c>
    </row>
    <row r="4" spans="1:9" x14ac:dyDescent="0.25">
      <c r="A4" s="9" t="s">
        <v>67</v>
      </c>
      <c r="B4" s="9" t="s">
        <v>68</v>
      </c>
      <c r="C4" s="9" t="s">
        <v>69</v>
      </c>
      <c r="D4" s="29" t="s">
        <v>70</v>
      </c>
      <c r="E4" s="9" t="s">
        <v>71</v>
      </c>
    </row>
    <row r="5" spans="1:9" x14ac:dyDescent="0.25">
      <c r="A5" s="30">
        <v>1</v>
      </c>
      <c r="B5" s="31" t="s">
        <v>72</v>
      </c>
      <c r="C5" s="14">
        <f>'YOY Growth'!I10</f>
        <v>213.11437499999997</v>
      </c>
      <c r="D5" s="32"/>
      <c r="E5" s="8"/>
    </row>
    <row r="6" spans="1:9" x14ac:dyDescent="0.25">
      <c r="A6" s="57">
        <v>2</v>
      </c>
      <c r="B6" s="31" t="s">
        <v>73</v>
      </c>
      <c r="C6" s="8"/>
      <c r="D6" s="32"/>
      <c r="E6" s="8"/>
      <c r="G6" s="9" t="s">
        <v>138</v>
      </c>
      <c r="H6" s="9" t="s">
        <v>113</v>
      </c>
      <c r="I6" s="9" t="s">
        <v>114</v>
      </c>
    </row>
    <row r="7" spans="1:9" x14ac:dyDescent="0.25">
      <c r="A7" s="58"/>
      <c r="B7" s="33" t="s">
        <v>75</v>
      </c>
      <c r="C7" s="8" t="s">
        <v>102</v>
      </c>
      <c r="D7" s="32"/>
      <c r="E7" s="8"/>
      <c r="G7" s="32">
        <f>D14+D18+D21+D27+D29</f>
        <v>20192.64</v>
      </c>
      <c r="H7" s="32">
        <f>D15+D18+D21+D27+D29</f>
        <v>14484.6</v>
      </c>
      <c r="I7" s="32">
        <f>D16+D18+D21+D27+D29</f>
        <v>9444.1200000000008</v>
      </c>
    </row>
    <row r="8" spans="1:9" x14ac:dyDescent="0.25">
      <c r="A8" s="58"/>
      <c r="B8" s="33" t="s">
        <v>77</v>
      </c>
      <c r="C8" s="8">
        <v>2</v>
      </c>
      <c r="D8" s="32"/>
      <c r="E8" s="8"/>
      <c r="G8" s="44" t="s">
        <v>116</v>
      </c>
      <c r="H8" s="44" t="s">
        <v>117</v>
      </c>
      <c r="I8" s="44" t="s">
        <v>118</v>
      </c>
    </row>
    <row r="9" spans="1:9" x14ac:dyDescent="0.25">
      <c r="A9" s="58"/>
      <c r="B9" s="33" t="s">
        <v>79</v>
      </c>
      <c r="C9" s="8" t="s">
        <v>103</v>
      </c>
      <c r="D9" s="32"/>
      <c r="E9" s="8"/>
    </row>
    <row r="10" spans="1:9" x14ac:dyDescent="0.25">
      <c r="A10" s="58"/>
      <c r="B10" s="33" t="s">
        <v>81</v>
      </c>
      <c r="C10" s="8" t="s">
        <v>104</v>
      </c>
      <c r="D10" s="32"/>
      <c r="E10" s="8"/>
    </row>
    <row r="11" spans="1:9" x14ac:dyDescent="0.25">
      <c r="A11" s="59"/>
      <c r="B11" s="33" t="s">
        <v>83</v>
      </c>
      <c r="C11" s="8">
        <v>2</v>
      </c>
      <c r="D11" s="32"/>
      <c r="E11" s="8"/>
      <c r="G11" s="15" t="s">
        <v>165</v>
      </c>
    </row>
    <row r="12" spans="1:9" x14ac:dyDescent="0.25">
      <c r="A12" s="35"/>
      <c r="B12" s="10"/>
      <c r="C12" s="8"/>
      <c r="D12" s="32"/>
      <c r="E12" s="8"/>
      <c r="G12" s="54" t="s">
        <v>164</v>
      </c>
      <c r="H12" s="55"/>
      <c r="I12" s="55"/>
    </row>
    <row r="13" spans="1:9" x14ac:dyDescent="0.25">
      <c r="A13" s="57">
        <v>4</v>
      </c>
      <c r="B13" s="36" t="s">
        <v>161</v>
      </c>
      <c r="C13" s="8"/>
      <c r="D13" s="32"/>
      <c r="E13" s="8"/>
      <c r="G13" s="55"/>
      <c r="H13" s="55"/>
      <c r="I13" s="55"/>
    </row>
    <row r="14" spans="1:9" x14ac:dyDescent="0.25">
      <c r="A14" s="58"/>
      <c r="B14" s="41" t="s">
        <v>86</v>
      </c>
      <c r="C14" s="32"/>
      <c r="D14" s="40">
        <f>1585.56*12</f>
        <v>19026.72</v>
      </c>
      <c r="E14" s="32" t="s">
        <v>151</v>
      </c>
      <c r="G14" s="55"/>
      <c r="H14" s="55"/>
      <c r="I14" s="55"/>
    </row>
    <row r="15" spans="1:9" x14ac:dyDescent="0.25">
      <c r="A15" s="58"/>
      <c r="B15" s="41" t="s">
        <v>109</v>
      </c>
      <c r="C15" s="32"/>
      <c r="D15" s="40">
        <f>1109.89*12</f>
        <v>13318.68</v>
      </c>
      <c r="E15" s="32" t="s">
        <v>160</v>
      </c>
      <c r="G15" s="55"/>
      <c r="H15" s="55"/>
      <c r="I15" s="55"/>
    </row>
    <row r="16" spans="1:9" x14ac:dyDescent="0.25">
      <c r="A16" s="59"/>
      <c r="B16" s="41" t="s">
        <v>110</v>
      </c>
      <c r="C16" s="32"/>
      <c r="D16" s="40">
        <f>689.85*12</f>
        <v>8278.2000000000007</v>
      </c>
      <c r="E16" s="32" t="s">
        <v>162</v>
      </c>
      <c r="G16" s="55"/>
      <c r="H16" s="55"/>
      <c r="I16" s="55"/>
    </row>
    <row r="17" spans="1:9" x14ac:dyDescent="0.25">
      <c r="A17" s="35"/>
      <c r="B17" s="8"/>
      <c r="C17" s="8"/>
      <c r="D17" s="32"/>
      <c r="E17" s="8"/>
      <c r="G17" s="46" t="s">
        <v>163</v>
      </c>
      <c r="H17" s="45"/>
      <c r="I17" s="45"/>
    </row>
    <row r="18" spans="1:9" x14ac:dyDescent="0.25">
      <c r="A18" s="35">
        <v>5</v>
      </c>
      <c r="B18" s="36" t="s">
        <v>156</v>
      </c>
      <c r="C18" s="32"/>
      <c r="D18" s="40">
        <f>24.58*12</f>
        <v>294.95999999999998</v>
      </c>
      <c r="E18" s="32" t="s">
        <v>157</v>
      </c>
    </row>
    <row r="19" spans="1:9" x14ac:dyDescent="0.25">
      <c r="A19" s="35"/>
      <c r="B19" s="8"/>
      <c r="C19" s="8"/>
      <c r="D19" s="32"/>
      <c r="E19" s="8"/>
      <c r="G19" s="54" t="s">
        <v>166</v>
      </c>
      <c r="H19" s="56"/>
      <c r="I19" s="56"/>
    </row>
    <row r="20" spans="1:9" x14ac:dyDescent="0.25">
      <c r="A20" s="57">
        <v>6</v>
      </c>
      <c r="B20" s="31" t="s">
        <v>92</v>
      </c>
      <c r="C20" s="8"/>
      <c r="D20" s="32"/>
      <c r="E20" s="8"/>
      <c r="G20" s="56"/>
      <c r="H20" s="56"/>
      <c r="I20" s="56"/>
    </row>
    <row r="21" spans="1:9" x14ac:dyDescent="0.25">
      <c r="A21" s="58"/>
      <c r="B21" s="41" t="s">
        <v>152</v>
      </c>
      <c r="C21" s="8"/>
      <c r="D21" s="40">
        <f>47.1*12</f>
        <v>565.20000000000005</v>
      </c>
      <c r="E21" s="8" t="s">
        <v>153</v>
      </c>
      <c r="G21" s="56"/>
      <c r="H21" s="56"/>
      <c r="I21" s="56"/>
    </row>
    <row r="22" spans="1:9" x14ac:dyDescent="0.25">
      <c r="A22" s="58"/>
      <c r="B22" s="33" t="s">
        <v>94</v>
      </c>
      <c r="C22" s="8"/>
      <c r="D22" s="32"/>
      <c r="E22" s="8"/>
      <c r="G22" s="56"/>
      <c r="H22" s="56"/>
      <c r="I22" s="56"/>
    </row>
    <row r="23" spans="1:9" x14ac:dyDescent="0.25">
      <c r="A23" s="58"/>
      <c r="B23" s="33" t="s">
        <v>95</v>
      </c>
      <c r="C23" s="14"/>
      <c r="D23" s="32"/>
      <c r="E23" s="8"/>
      <c r="G23" s="56"/>
      <c r="H23" s="56"/>
      <c r="I23" s="56"/>
    </row>
    <row r="24" spans="1:9" x14ac:dyDescent="0.25">
      <c r="A24" s="59"/>
      <c r="B24" s="33" t="s">
        <v>96</v>
      </c>
      <c r="C24" s="8"/>
      <c r="D24" s="32"/>
      <c r="E24" s="8"/>
      <c r="G24" s="56"/>
      <c r="H24" s="56"/>
      <c r="I24" s="56"/>
    </row>
    <row r="25" spans="1:9" x14ac:dyDescent="0.25">
      <c r="A25" s="8"/>
      <c r="B25" s="8"/>
      <c r="C25" s="8"/>
      <c r="D25" s="32"/>
      <c r="E25" s="8"/>
      <c r="G25" s="56"/>
      <c r="H25" s="56"/>
      <c r="I25" s="56"/>
    </row>
    <row r="26" spans="1:9" x14ac:dyDescent="0.25">
      <c r="A26" s="8"/>
      <c r="B26" s="37" t="s">
        <v>97</v>
      </c>
      <c r="C26" s="8"/>
      <c r="D26" s="32"/>
      <c r="E26" s="8"/>
      <c r="G26" s="56"/>
      <c r="H26" s="56"/>
      <c r="I26" s="56"/>
    </row>
    <row r="27" spans="1:9" x14ac:dyDescent="0.25">
      <c r="A27" s="35">
        <v>7</v>
      </c>
      <c r="B27" s="31" t="s">
        <v>154</v>
      </c>
      <c r="C27" s="8"/>
      <c r="D27" s="40">
        <f>5*12</f>
        <v>60</v>
      </c>
      <c r="E27" s="32" t="s">
        <v>155</v>
      </c>
      <c r="G27" s="56"/>
      <c r="H27" s="56"/>
      <c r="I27" s="56"/>
    </row>
    <row r="28" spans="1:9" x14ac:dyDescent="0.25">
      <c r="A28" s="8"/>
      <c r="B28" s="8"/>
      <c r="C28" s="8"/>
      <c r="D28" s="32"/>
      <c r="E28" s="8"/>
      <c r="G28" s="56"/>
      <c r="H28" s="56"/>
      <c r="I28" s="56"/>
    </row>
    <row r="29" spans="1:9" x14ac:dyDescent="0.25">
      <c r="A29" s="38">
        <v>8</v>
      </c>
      <c r="B29" s="31" t="s">
        <v>158</v>
      </c>
      <c r="C29" s="8"/>
      <c r="D29" s="40">
        <f>20.48*12</f>
        <v>245.76</v>
      </c>
      <c r="E29" s="8" t="s">
        <v>159</v>
      </c>
      <c r="G29" s="56"/>
      <c r="H29" s="56"/>
      <c r="I29" s="56"/>
    </row>
    <row r="30" spans="1:9" x14ac:dyDescent="0.25">
      <c r="A30" s="8"/>
      <c r="B30" s="8"/>
      <c r="C30" s="8"/>
      <c r="D30" s="32"/>
      <c r="E30" s="8"/>
      <c r="G30" s="56"/>
      <c r="H30" s="56"/>
      <c r="I30" s="56"/>
    </row>
    <row r="31" spans="1:9" x14ac:dyDescent="0.25">
      <c r="A31" s="8"/>
      <c r="B31" s="8"/>
      <c r="C31" s="8"/>
      <c r="D31" s="32"/>
      <c r="E31" s="8"/>
      <c r="G31" s="56"/>
      <c r="H31" s="56"/>
      <c r="I31" s="56"/>
    </row>
    <row r="32" spans="1:9" x14ac:dyDescent="0.25">
      <c r="G32" s="56"/>
      <c r="H32" s="56"/>
      <c r="I32" s="56"/>
    </row>
    <row r="33" spans="2:9" x14ac:dyDescent="0.25">
      <c r="B33" s="27"/>
      <c r="G33" s="56"/>
      <c r="H33" s="56"/>
      <c r="I33" s="56"/>
    </row>
    <row r="34" spans="2:9" x14ac:dyDescent="0.25">
      <c r="B34" s="39"/>
      <c r="G34" s="56"/>
      <c r="H34" s="56"/>
      <c r="I34" s="56"/>
    </row>
    <row r="35" spans="2:9" x14ac:dyDescent="0.25">
      <c r="G35" s="56"/>
      <c r="H35" s="56"/>
      <c r="I35" s="56"/>
    </row>
    <row r="36" spans="2:9" x14ac:dyDescent="0.25">
      <c r="G36" s="56"/>
      <c r="H36" s="56"/>
      <c r="I36" s="56"/>
    </row>
    <row r="37" spans="2:9" x14ac:dyDescent="0.25">
      <c r="G37" s="56"/>
      <c r="H37" s="56"/>
      <c r="I37" s="56"/>
    </row>
    <row r="38" spans="2:9" x14ac:dyDescent="0.25">
      <c r="G38" s="56"/>
      <c r="H38" s="56"/>
      <c r="I38" s="56"/>
    </row>
    <row r="39" spans="2:9" x14ac:dyDescent="0.25">
      <c r="G39" s="56"/>
      <c r="H39" s="56"/>
      <c r="I39" s="56"/>
    </row>
    <row r="40" spans="2:9" x14ac:dyDescent="0.25">
      <c r="G40" s="56"/>
      <c r="H40" s="56"/>
      <c r="I40" s="56"/>
    </row>
    <row r="41" spans="2:9" x14ac:dyDescent="0.25">
      <c r="G41" s="56"/>
      <c r="H41" s="56"/>
      <c r="I41" s="56"/>
    </row>
    <row r="42" spans="2:9" x14ac:dyDescent="0.25">
      <c r="G42" s="56"/>
      <c r="H42" s="56"/>
      <c r="I42" s="56"/>
    </row>
  </sheetData>
  <mergeCells count="6">
    <mergeCell ref="A1:D1"/>
    <mergeCell ref="A6:A11"/>
    <mergeCell ref="A20:A24"/>
    <mergeCell ref="A13:A16"/>
    <mergeCell ref="G12:I16"/>
    <mergeCell ref="G19:I42"/>
  </mergeCells>
  <hyperlinks>
    <hyperlink ref="G8" r:id="rId1" location="/estimate?id=db768e3adc1caa8b1616ec10ee4bf8a2fb45aa45" xr:uid="{91DF9B2F-7B46-4E70-9975-3FFDD63C7908}"/>
    <hyperlink ref="H8" r:id="rId2" location="/estimate?id=25827ff7790dba927dc5ebf50d29ba3296327c2b" xr:uid="{320D8585-0995-411C-A91C-9F8D16397C13}"/>
    <hyperlink ref="I8" r:id="rId3" location="/estimate?id=317d141847df56948d9b68adbf02c93029851fe6" xr:uid="{04DE34C3-35A0-48D2-9BFE-0AE5B7443475}"/>
    <hyperlink ref="G17" r:id="rId4" location="rs-resize-tutorial" xr:uid="{30344C06-17A3-4081-855C-5D4E4E42B336}"/>
  </hyperlinks>
  <pageMargins left="0.7" right="0.7" top="0.75" bottom="0.75" header="0.3" footer="0.3"/>
  <pageSetup orientation="portrait" horizontalDpi="90" verticalDpi="9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8F42-86F9-42E3-B555-00AB74DCA065}">
  <dimension ref="B2:L20"/>
  <sheetViews>
    <sheetView zoomScale="80" zoomScaleNormal="80" workbookViewId="0">
      <selection activeCell="B4" sqref="B4"/>
    </sheetView>
  </sheetViews>
  <sheetFormatPr defaultRowHeight="15" x14ac:dyDescent="0.25"/>
  <cols>
    <col min="2" max="2" width="15.140625" style="2" bestFit="1" customWidth="1"/>
    <col min="3" max="3" width="10.7109375" style="2" customWidth="1"/>
    <col min="4" max="4" width="15.140625" style="2" bestFit="1" customWidth="1"/>
    <col min="5" max="6" width="12" style="2" bestFit="1" customWidth="1"/>
    <col min="7" max="7" width="21.42578125" style="2" customWidth="1"/>
    <col min="8" max="8" width="19.42578125" style="2" customWidth="1"/>
    <col min="9" max="9" width="8" style="2" customWidth="1"/>
    <col min="10" max="10" width="28.42578125" style="2" bestFit="1" customWidth="1"/>
    <col min="11" max="11" width="30" style="2" bestFit="1" customWidth="1"/>
    <col min="12" max="12" width="117.5703125" style="4" customWidth="1"/>
    <col min="13" max="13" width="60" customWidth="1"/>
  </cols>
  <sheetData>
    <row r="2" spans="2:10" x14ac:dyDescent="0.25">
      <c r="B2" s="67" t="s">
        <v>140</v>
      </c>
      <c r="C2" s="68"/>
      <c r="D2" s="64" t="s">
        <v>139</v>
      </c>
      <c r="E2" s="65"/>
      <c r="F2" s="65"/>
      <c r="G2" s="65"/>
      <c r="H2" s="66"/>
    </row>
    <row r="3" spans="2:10" ht="60" x14ac:dyDescent="0.25">
      <c r="B3" s="42" t="s">
        <v>119</v>
      </c>
      <c r="C3" s="42" t="s">
        <v>120</v>
      </c>
      <c r="D3" s="42" t="s">
        <v>121</v>
      </c>
      <c r="E3" s="42" t="s">
        <v>83</v>
      </c>
      <c r="F3" s="42" t="s">
        <v>122</v>
      </c>
      <c r="G3" s="42" t="s">
        <v>123</v>
      </c>
      <c r="H3" s="42" t="s">
        <v>124</v>
      </c>
    </row>
    <row r="4" spans="2:10" x14ac:dyDescent="0.25">
      <c r="B4" s="43" t="s">
        <v>102</v>
      </c>
      <c r="C4" s="43">
        <v>4</v>
      </c>
      <c r="D4" s="43">
        <v>32</v>
      </c>
      <c r="E4" s="43">
        <v>2</v>
      </c>
      <c r="F4" s="43" t="s">
        <v>128</v>
      </c>
      <c r="G4" s="43" t="s">
        <v>130</v>
      </c>
      <c r="H4" s="43" t="s">
        <v>132</v>
      </c>
      <c r="J4" t="s">
        <v>74</v>
      </c>
    </row>
    <row r="5" spans="2:10" ht="15.75" x14ac:dyDescent="0.25">
      <c r="B5" s="43" t="s">
        <v>125</v>
      </c>
      <c r="C5" s="43">
        <v>12</v>
      </c>
      <c r="D5" s="43">
        <v>96</v>
      </c>
      <c r="E5" s="43">
        <v>4</v>
      </c>
      <c r="F5" s="43" t="s">
        <v>129</v>
      </c>
      <c r="G5" s="43" t="s">
        <v>131</v>
      </c>
      <c r="H5" s="43" t="s">
        <v>133</v>
      </c>
      <c r="J5" t="s">
        <v>76</v>
      </c>
    </row>
    <row r="6" spans="2:10" x14ac:dyDescent="0.25">
      <c r="B6" s="43" t="s">
        <v>126</v>
      </c>
      <c r="C6" s="43">
        <v>48</v>
      </c>
      <c r="D6" s="43">
        <v>384</v>
      </c>
      <c r="E6" s="43">
        <v>16</v>
      </c>
      <c r="F6" s="43" t="s">
        <v>129</v>
      </c>
      <c r="G6" s="43" t="s">
        <v>127</v>
      </c>
      <c r="H6" s="43" t="s">
        <v>134</v>
      </c>
      <c r="J6" t="s">
        <v>78</v>
      </c>
    </row>
    <row r="7" spans="2:10" x14ac:dyDescent="0.25">
      <c r="J7" t="s">
        <v>80</v>
      </c>
    </row>
    <row r="8" spans="2:10" x14ac:dyDescent="0.25">
      <c r="J8" s="34" t="s">
        <v>82</v>
      </c>
    </row>
    <row r="9" spans="2:10" x14ac:dyDescent="0.25">
      <c r="J9" t="s">
        <v>84</v>
      </c>
    </row>
    <row r="10" spans="2:10" ht="15.75" x14ac:dyDescent="0.25">
      <c r="B10" s="62" t="s">
        <v>135</v>
      </c>
      <c r="C10" s="63"/>
      <c r="D10" s="63"/>
      <c r="E10" s="63"/>
      <c r="F10" s="63"/>
      <c r="G10" s="63"/>
      <c r="H10" s="63"/>
      <c r="J10" s="34" t="s">
        <v>85</v>
      </c>
    </row>
    <row r="11" spans="2:10" x14ac:dyDescent="0.25">
      <c r="B11" s="43">
        <v>1</v>
      </c>
      <c r="C11" s="9" t="s">
        <v>98</v>
      </c>
      <c r="D11" s="43">
        <v>1000</v>
      </c>
      <c r="E11" s="9" t="s">
        <v>99</v>
      </c>
      <c r="J11" t="s">
        <v>87</v>
      </c>
    </row>
    <row r="12" spans="2:10" x14ac:dyDescent="0.25">
      <c r="B12" s="43">
        <v>1</v>
      </c>
      <c r="C12" s="9" t="s">
        <v>99</v>
      </c>
      <c r="D12" s="43">
        <v>1000</v>
      </c>
      <c r="E12" s="9" t="s">
        <v>100</v>
      </c>
      <c r="J12" t="s">
        <v>88</v>
      </c>
    </row>
    <row r="13" spans="2:10" x14ac:dyDescent="0.25">
      <c r="B13" s="43">
        <v>1</v>
      </c>
      <c r="C13" s="9" t="s">
        <v>100</v>
      </c>
      <c r="D13" s="43">
        <v>1000</v>
      </c>
      <c r="E13" s="9" t="s">
        <v>32</v>
      </c>
      <c r="J13"/>
    </row>
    <row r="14" spans="2:10" x14ac:dyDescent="0.25">
      <c r="J14" s="34" t="s">
        <v>89</v>
      </c>
    </row>
    <row r="15" spans="2:10" x14ac:dyDescent="0.25">
      <c r="B15" s="62" t="s">
        <v>136</v>
      </c>
      <c r="C15" s="63"/>
      <c r="D15" s="63"/>
      <c r="E15" s="63"/>
      <c r="F15" s="63"/>
      <c r="G15" s="63"/>
      <c r="H15" s="63"/>
      <c r="J15" t="s">
        <v>90</v>
      </c>
    </row>
    <row r="16" spans="2:10" x14ac:dyDescent="0.25">
      <c r="B16" s="43">
        <v>12</v>
      </c>
      <c r="C16" s="9" t="s">
        <v>98</v>
      </c>
      <c r="D16" s="43">
        <v>99000000000</v>
      </c>
      <c r="E16" s="43" t="s">
        <v>101</v>
      </c>
      <c r="J16" t="s">
        <v>91</v>
      </c>
    </row>
    <row r="17" spans="2:10" x14ac:dyDescent="0.25">
      <c r="B17" s="43">
        <f>B16*D11</f>
        <v>12000</v>
      </c>
      <c r="C17" s="9" t="s">
        <v>99</v>
      </c>
      <c r="D17" s="43">
        <v>99000000000</v>
      </c>
      <c r="E17" s="43" t="s">
        <v>101</v>
      </c>
      <c r="J17" t="s">
        <v>93</v>
      </c>
    </row>
    <row r="18" spans="2:10" x14ac:dyDescent="0.25">
      <c r="B18" s="43">
        <f>B17*D12</f>
        <v>12000000</v>
      </c>
      <c r="C18" s="9" t="s">
        <v>100</v>
      </c>
      <c r="D18" s="43">
        <v>99000000000</v>
      </c>
      <c r="E18" s="43" t="s">
        <v>101</v>
      </c>
    </row>
    <row r="19" spans="2:10" x14ac:dyDescent="0.25">
      <c r="B19" s="43">
        <f>B16*D11*D12*D13</f>
        <v>12000000000</v>
      </c>
      <c r="C19" s="9" t="s">
        <v>32</v>
      </c>
      <c r="D19" s="43">
        <v>99000000000</v>
      </c>
      <c r="E19" s="43" t="s">
        <v>101</v>
      </c>
      <c r="F19" s="2">
        <f>D19/B19</f>
        <v>8.25</v>
      </c>
    </row>
    <row r="20" spans="2:10" x14ac:dyDescent="0.25">
      <c r="B20" s="62" t="s">
        <v>137</v>
      </c>
      <c r="C20" s="63"/>
      <c r="D20" s="63"/>
      <c r="E20" s="63"/>
      <c r="F20" s="63"/>
      <c r="G20" s="63"/>
      <c r="H20" s="63"/>
    </row>
  </sheetData>
  <mergeCells count="5">
    <mergeCell ref="B10:H10"/>
    <mergeCell ref="B15:H15"/>
    <mergeCell ref="B20:H20"/>
    <mergeCell ref="D2:H2"/>
    <mergeCell ref="B2:C2"/>
  </mergeCells>
  <hyperlinks>
    <hyperlink ref="D2:H2" r:id="rId1" display="AWS Link" xr:uid="{BD0FB3E5-5361-4872-8794-66732856F9AB}"/>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Volumetric</vt:lpstr>
      <vt:lpstr>YOY Growth</vt:lpstr>
      <vt:lpstr>RedshiftPricing(All Sources)</vt:lpstr>
      <vt:lpstr>RedshiftPricing-USAN</vt:lpstr>
      <vt:lpstr>Supporting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Shivaji Murkute</cp:lastModifiedBy>
  <cp:revision>2</cp:revision>
  <dcterms:created xsi:type="dcterms:W3CDTF">2020-12-29T07:57:02Z</dcterms:created>
  <dcterms:modified xsi:type="dcterms:W3CDTF">2022-03-31T16:22:50Z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0x01010079057DD083277A4D97A5AB39CEC41C00</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