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Desktop/"/>
    </mc:Choice>
  </mc:AlternateContent>
  <xr:revisionPtr revIDLastSave="0" documentId="13_ncr:1_{4178A495-2EC2-E241-82F0-E04300E3AA98}" xr6:coauthVersionLast="47" xr6:coauthVersionMax="47" xr10:uidLastSave="{00000000-0000-0000-0000-000000000000}"/>
  <bookViews>
    <workbookView xWindow="0" yWindow="0" windowWidth="28800" windowHeight="18000" xr2:uid="{4563D64E-9856-9443-BC59-437BA95263E5}"/>
  </bookViews>
  <sheets>
    <sheet name="LB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O117" i="1"/>
  <c r="O118" i="1" s="1"/>
  <c r="O116" i="1"/>
  <c r="J106" i="1"/>
  <c r="K103" i="1" s="1"/>
  <c r="K104" i="1" s="1"/>
  <c r="J100" i="1"/>
  <c r="K97" i="1" s="1"/>
  <c r="K98" i="1" s="1"/>
  <c r="J94" i="1"/>
  <c r="K91" i="1" s="1"/>
  <c r="K89" i="1"/>
  <c r="L89" i="1" s="1"/>
  <c r="M89" i="1" s="1"/>
  <c r="N89" i="1" s="1"/>
  <c r="O89" i="1" s="1"/>
  <c r="J63" i="1"/>
  <c r="K63" i="1" s="1"/>
  <c r="L63" i="1" s="1"/>
  <c r="M63" i="1" s="1"/>
  <c r="N63" i="1" s="1"/>
  <c r="O63" i="1" s="1"/>
  <c r="K80" i="1"/>
  <c r="L80" i="1" s="1"/>
  <c r="M80" i="1" s="1"/>
  <c r="N80" i="1" s="1"/>
  <c r="O80" i="1" s="1"/>
  <c r="J77" i="1"/>
  <c r="J78" i="1" s="1"/>
  <c r="K78" i="1" s="1"/>
  <c r="L78" i="1" s="1"/>
  <c r="M78" i="1" s="1"/>
  <c r="N78" i="1" s="1"/>
  <c r="O78" i="1" s="1"/>
  <c r="J73" i="1"/>
  <c r="K69" i="1"/>
  <c r="L69" i="1" s="1"/>
  <c r="M69" i="1" s="1"/>
  <c r="N69" i="1" s="1"/>
  <c r="O69" i="1" s="1"/>
  <c r="M25" i="1"/>
  <c r="M22" i="1"/>
  <c r="E22" i="1" a="1"/>
  <c r="E22" i="1" s="1"/>
  <c r="E25" i="1" s="1"/>
  <c r="B22" i="1" a="1"/>
  <c r="B22" i="1" s="1"/>
  <c r="J51" i="1"/>
  <c r="J70" i="1" s="1"/>
  <c r="J45" i="1"/>
  <c r="J39" i="1"/>
  <c r="K37" i="1"/>
  <c r="N37" i="1" s="1"/>
  <c r="J36" i="1"/>
  <c r="K35" i="1"/>
  <c r="L35" i="1" s="1"/>
  <c r="M35" i="1" s="1"/>
  <c r="N35" i="1" s="1"/>
  <c r="O35" i="1" s="1"/>
  <c r="K92" i="1" l="1"/>
  <c r="K110" i="1" s="1"/>
  <c r="K57" i="1" s="1"/>
  <c r="K109" i="1"/>
  <c r="J112" i="1"/>
  <c r="J74" i="1"/>
  <c r="K74" i="1" s="1"/>
  <c r="L74" i="1"/>
  <c r="J42" i="1"/>
  <c r="J43" i="1" s="1"/>
  <c r="J46" i="1"/>
  <c r="K46" i="1" s="1"/>
  <c r="L46" i="1" s="1"/>
  <c r="M46" i="1" s="1"/>
  <c r="N46" i="1" s="1"/>
  <c r="O46" i="1" s="1"/>
  <c r="J40" i="1"/>
  <c r="J52" i="1"/>
  <c r="O37" i="1"/>
  <c r="K36" i="1"/>
  <c r="K77" i="1" s="1"/>
  <c r="K83" i="1" s="1"/>
  <c r="L37" i="1"/>
  <c r="M37" i="1"/>
  <c r="K73" i="1" l="1"/>
  <c r="K75" i="1" s="1"/>
  <c r="K84" i="1" s="1"/>
  <c r="J48" i="1"/>
  <c r="J59" i="1" s="1"/>
  <c r="M74" i="1"/>
  <c r="J62" i="1"/>
  <c r="J65" i="1" s="1"/>
  <c r="J66" i="1" s="1"/>
  <c r="J60" i="1"/>
  <c r="K52" i="1"/>
  <c r="J71" i="1"/>
  <c r="K51" i="1"/>
  <c r="K70" i="1" s="1"/>
  <c r="K82" i="1" s="1"/>
  <c r="K39" i="1"/>
  <c r="K45" i="1"/>
  <c r="L36" i="1"/>
  <c r="K42" i="1"/>
  <c r="J54" i="1" l="1"/>
  <c r="I5" i="1" s="1"/>
  <c r="J49" i="1"/>
  <c r="L52" i="1"/>
  <c r="K71" i="1"/>
  <c r="L51" i="1"/>
  <c r="L70" i="1" s="1"/>
  <c r="L82" i="1" s="1"/>
  <c r="L77" i="1"/>
  <c r="L83" i="1" s="1"/>
  <c r="L73" i="1"/>
  <c r="L75" i="1" s="1"/>
  <c r="L84" i="1" s="1"/>
  <c r="N74" i="1"/>
  <c r="J55" i="1"/>
  <c r="K48" i="1"/>
  <c r="K59" i="1" s="1"/>
  <c r="K43" i="1"/>
  <c r="M36" i="1"/>
  <c r="M73" i="1" s="1"/>
  <c r="L45" i="1"/>
  <c r="L39" i="1"/>
  <c r="L42" i="1" s="1"/>
  <c r="M75" i="1" l="1"/>
  <c r="M84" i="1" s="1"/>
  <c r="O74" i="1"/>
  <c r="M51" i="1"/>
  <c r="M70" i="1" s="1"/>
  <c r="M82" i="1" s="1"/>
  <c r="M77" i="1"/>
  <c r="M83" i="1" s="1"/>
  <c r="K60" i="1"/>
  <c r="K62" i="1"/>
  <c r="K65" i="1" s="1"/>
  <c r="N25" i="1"/>
  <c r="N22" i="1"/>
  <c r="M52" i="1"/>
  <c r="L71" i="1"/>
  <c r="I7" i="1"/>
  <c r="I9" i="1" s="1"/>
  <c r="M23" i="1" s="1"/>
  <c r="F22" i="1"/>
  <c r="F23" i="1"/>
  <c r="F24" i="1"/>
  <c r="K49" i="1"/>
  <c r="K54" i="1"/>
  <c r="K55" i="1" s="1"/>
  <c r="L48" i="1"/>
  <c r="L43" i="1"/>
  <c r="N36" i="1"/>
  <c r="N73" i="1" s="1"/>
  <c r="N75" i="1" s="1"/>
  <c r="N84" i="1" s="1"/>
  <c r="M45" i="1"/>
  <c r="M39" i="1"/>
  <c r="M42" i="1" s="1"/>
  <c r="N23" i="1" l="1"/>
  <c r="M29" i="1"/>
  <c r="K66" i="1"/>
  <c r="K81" i="1"/>
  <c r="K85" i="1" s="1"/>
  <c r="N77" i="1"/>
  <c r="N83" i="1" s="1"/>
  <c r="N52" i="1"/>
  <c r="M71" i="1"/>
  <c r="N29" i="1"/>
  <c r="F25" i="1"/>
  <c r="L49" i="1"/>
  <c r="L54" i="1"/>
  <c r="L55" i="1" s="1"/>
  <c r="M48" i="1"/>
  <c r="M43" i="1"/>
  <c r="O36" i="1"/>
  <c r="O73" i="1" s="1"/>
  <c r="O75" i="1" s="1"/>
  <c r="O84" i="1" s="1"/>
  <c r="N39" i="1"/>
  <c r="N42" i="1" s="1"/>
  <c r="N45" i="1"/>
  <c r="K93" i="1" l="1"/>
  <c r="K99" i="1" s="1"/>
  <c r="K100" i="1" s="1"/>
  <c r="L97" i="1" s="1"/>
  <c r="O77" i="1"/>
  <c r="O83" i="1" s="1"/>
  <c r="O52" i="1"/>
  <c r="O71" i="1" s="1"/>
  <c r="N71" i="1"/>
  <c r="E29" i="1"/>
  <c r="O25" i="1"/>
  <c r="O22" i="1"/>
  <c r="O23" i="1"/>
  <c r="N51" i="1"/>
  <c r="N70" i="1" s="1"/>
  <c r="N82" i="1" s="1"/>
  <c r="M49" i="1"/>
  <c r="M54" i="1"/>
  <c r="M55" i="1" s="1"/>
  <c r="N48" i="1"/>
  <c r="N43" i="1"/>
  <c r="O39" i="1"/>
  <c r="O42" i="1" s="1"/>
  <c r="O45" i="1"/>
  <c r="L98" i="1" l="1"/>
  <c r="K105" i="1"/>
  <c r="K106" i="1" s="1"/>
  <c r="L103" i="1" s="1"/>
  <c r="K94" i="1"/>
  <c r="O51" i="1"/>
  <c r="O70" i="1" s="1"/>
  <c r="O82" i="1" s="1"/>
  <c r="F29" i="1"/>
  <c r="E27" i="1"/>
  <c r="O122" i="1" s="1"/>
  <c r="G24" i="1"/>
  <c r="G23" i="1"/>
  <c r="G22" i="1"/>
  <c r="O29" i="1"/>
  <c r="N49" i="1"/>
  <c r="N54" i="1"/>
  <c r="N55" i="1" s="1"/>
  <c r="O48" i="1"/>
  <c r="O43" i="1"/>
  <c r="K111" i="1" l="1"/>
  <c r="G25" i="1"/>
  <c r="L91" i="1"/>
  <c r="K112" i="1"/>
  <c r="L104" i="1"/>
  <c r="F27" i="1"/>
  <c r="G27" i="1"/>
  <c r="O49" i="1"/>
  <c r="O54" i="1"/>
  <c r="O55" i="1" s="1"/>
  <c r="G29" i="1" l="1"/>
  <c r="L109" i="1"/>
  <c r="L92" i="1"/>
  <c r="L110" i="1" s="1"/>
  <c r="L57" i="1" s="1"/>
  <c r="L59" i="1" s="1"/>
  <c r="L60" i="1" l="1"/>
  <c r="L62" i="1"/>
  <c r="L65" i="1" s="1"/>
  <c r="L66" i="1" l="1"/>
  <c r="L81" i="1"/>
  <c r="L85" i="1" s="1"/>
  <c r="L93" i="1" l="1"/>
  <c r="L94" i="1" s="1"/>
  <c r="M91" i="1" s="1"/>
  <c r="L99" i="1" l="1"/>
  <c r="L100" i="1" s="1"/>
  <c r="M97" i="1" s="1"/>
  <c r="M98" i="1" s="1"/>
  <c r="M92" i="1"/>
  <c r="L105" i="1" l="1"/>
  <c r="L106" i="1" s="1"/>
  <c r="L111" i="1" l="1"/>
  <c r="M103" i="1"/>
  <c r="L112" i="1"/>
  <c r="M104" i="1" l="1"/>
  <c r="M110" i="1" s="1"/>
  <c r="M57" i="1" s="1"/>
  <c r="M59" i="1" s="1"/>
  <c r="M109" i="1"/>
  <c r="M60" i="1" l="1"/>
  <c r="M62" i="1"/>
  <c r="M65" i="1" s="1"/>
  <c r="M66" i="1" l="1"/>
  <c r="M81" i="1"/>
  <c r="M85" i="1" s="1"/>
  <c r="M93" i="1" l="1"/>
  <c r="M99" i="1" s="1"/>
  <c r="M100" i="1" l="1"/>
  <c r="N97" i="1" s="1"/>
  <c r="N98" i="1" s="1"/>
  <c r="M105" i="1"/>
  <c r="M106" i="1" s="1"/>
  <c r="N103" i="1" s="1"/>
  <c r="N104" i="1" s="1"/>
  <c r="M94" i="1"/>
  <c r="M111" i="1" l="1"/>
  <c r="N91" i="1"/>
  <c r="M112" i="1"/>
  <c r="N109" i="1" l="1"/>
  <c r="N92" i="1"/>
  <c r="N110" i="1" s="1"/>
  <c r="N57" i="1" s="1"/>
  <c r="N59" i="1" s="1"/>
  <c r="N60" i="1" l="1"/>
  <c r="N62" i="1"/>
  <c r="N65" i="1"/>
  <c r="N66" i="1" l="1"/>
  <c r="N81" i="1"/>
  <c r="N85" i="1" s="1"/>
  <c r="N93" i="1" l="1"/>
  <c r="N99" i="1" s="1"/>
  <c r="N100" i="1" s="1"/>
  <c r="O97" i="1" s="1"/>
  <c r="O98" i="1" s="1"/>
  <c r="N105" i="1" l="1"/>
  <c r="N106" i="1" s="1"/>
  <c r="O103" i="1" s="1"/>
  <c r="O104" i="1" s="1"/>
  <c r="N94" i="1"/>
  <c r="N111" i="1" l="1"/>
  <c r="O91" i="1"/>
  <c r="N112" i="1"/>
  <c r="O109" i="1" l="1"/>
  <c r="O92" i="1"/>
  <c r="O110" i="1" s="1"/>
  <c r="O57" i="1" s="1"/>
  <c r="O59" i="1" s="1"/>
  <c r="O62" i="1" l="1"/>
  <c r="O60" i="1"/>
  <c r="O65" i="1"/>
  <c r="O81" i="1" l="1"/>
  <c r="O85" i="1" s="1"/>
  <c r="O66" i="1"/>
  <c r="O93" i="1" l="1"/>
  <c r="O99" i="1" s="1"/>
  <c r="O100" i="1" s="1"/>
  <c r="O105" i="1" l="1"/>
  <c r="O106" i="1" s="1"/>
  <c r="O94" i="1"/>
  <c r="O112" i="1" l="1"/>
  <c r="O119" i="1" s="1"/>
  <c r="O120" i="1" s="1"/>
  <c r="O124" i="1" s="1"/>
  <c r="O10" i="1" s="1"/>
  <c r="O111" i="1"/>
  <c r="O125" i="1" l="1"/>
  <c r="O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<sst xmlns="http://schemas.openxmlformats.org/spreadsheetml/2006/main" count="120" uniqueCount="71">
  <si>
    <t>ASSUMPTIONS</t>
  </si>
  <si>
    <t>FINANCIALS</t>
  </si>
  <si>
    <t>LTM</t>
  </si>
  <si>
    <t>Revenue</t>
  </si>
  <si>
    <t>COGS</t>
  </si>
  <si>
    <t>OPEX</t>
  </si>
  <si>
    <t>D&amp;A</t>
  </si>
  <si>
    <t>NWC</t>
  </si>
  <si>
    <t>CapEx</t>
  </si>
  <si>
    <t>Operating Assumptions</t>
  </si>
  <si>
    <t>Revenue Growth</t>
  </si>
  <si>
    <t>Tax Rate</t>
  </si>
  <si>
    <t>x</t>
  </si>
  <si>
    <t>ENTRY</t>
  </si>
  <si>
    <t>EV</t>
  </si>
  <si>
    <t>NET DEBT</t>
  </si>
  <si>
    <t>EQUITY VALUE</t>
  </si>
  <si>
    <t>EBITDA</t>
  </si>
  <si>
    <t>FEES &amp; EXPENSES</t>
  </si>
  <si>
    <t>EXIT</t>
  </si>
  <si>
    <t>ENTRY MULTIPLE</t>
  </si>
  <si>
    <t>EXIT MULTIPLE</t>
  </si>
  <si>
    <t>CAPITAL STRUCTURE</t>
  </si>
  <si>
    <t>Revolver</t>
  </si>
  <si>
    <t>BANK LOAN</t>
  </si>
  <si>
    <t>REVOLVER</t>
  </si>
  <si>
    <t>AMOUNT</t>
  </si>
  <si>
    <t>INTEREST</t>
  </si>
  <si>
    <t>SENIOR NOTES</t>
  </si>
  <si>
    <t>SOURCES &amp; USES</t>
  </si>
  <si>
    <t>Operating Model</t>
  </si>
  <si>
    <t>% Growth</t>
  </si>
  <si>
    <t>% Sales</t>
  </si>
  <si>
    <t>Gross Profit</t>
  </si>
  <si>
    <t>OpEx</t>
  </si>
  <si>
    <t>EBIT</t>
  </si>
  <si>
    <t>EBT</t>
  </si>
  <si>
    <t>Net Income</t>
  </si>
  <si>
    <t>Taxes</t>
  </si>
  <si>
    <t>% Tax Rate</t>
  </si>
  <si>
    <t>Interest</t>
  </si>
  <si>
    <t>SOURCES</t>
  </si>
  <si>
    <t>USES</t>
  </si>
  <si>
    <t>Amount</t>
  </si>
  <si>
    <t>xEBITDA</t>
  </si>
  <si>
    <t>Total</t>
  </si>
  <si>
    <t>Sponsor Equity</t>
  </si>
  <si>
    <t>Total Sources</t>
  </si>
  <si>
    <t>Debt Financing</t>
  </si>
  <si>
    <t>Equity Payment</t>
  </si>
  <si>
    <t>Fees &amp; Expenses</t>
  </si>
  <si>
    <t>Total Uses</t>
  </si>
  <si>
    <t>Cash Flow Items</t>
  </si>
  <si>
    <t>Change in WC</t>
  </si>
  <si>
    <t>% Capital</t>
  </si>
  <si>
    <t>LEVERED FCF</t>
  </si>
  <si>
    <t>Leveraged FCF</t>
  </si>
  <si>
    <t>DEBT SCHEDULE</t>
  </si>
  <si>
    <t>Beg. Balance</t>
  </si>
  <si>
    <t>Paydown</t>
  </si>
  <si>
    <t>End Balance</t>
  </si>
  <si>
    <t>Bank Debt</t>
  </si>
  <si>
    <t>Senior Notes</t>
  </si>
  <si>
    <t>Total Debt</t>
  </si>
  <si>
    <t>IRR</t>
  </si>
  <si>
    <t>LTM EBITDA at Exit</t>
  </si>
  <si>
    <t>Exit Multiple</t>
  </si>
  <si>
    <t>Net Debt</t>
  </si>
  <si>
    <t>Equity Value</t>
  </si>
  <si>
    <t>Equity at Entry</t>
  </si>
  <si>
    <t>MOIC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</si>
</sst>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7" formatCode="0.0\x"/>
    <numFmt numFmtId="169" formatCode="&quot;Year&quot;\ 0"/>
  </numFmts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3C6FC6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1E4E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3" xfId="0" applyBorder="1"/>
    <xf numFmtId="0" fontId="0" fillId="0" borderId="0" xfId="0" applyFill="1" applyBorder="1"/>
    <xf numFmtId="169" fontId="1" fillId="2" borderId="0" xfId="0" applyNumberFormat="1" applyFont="1" applyFill="1"/>
    <xf numFmtId="37" fontId="5" fillId="0" borderId="0" xfId="0" applyNumberFormat="1" applyFont="1"/>
    <xf numFmtId="1" fontId="2" fillId="0" borderId="0" xfId="0" applyNumberFormat="1" applyFont="1"/>
    <xf numFmtId="0" fontId="7" fillId="5" borderId="0" xfId="0" applyFont="1" applyFill="1"/>
    <xf numFmtId="0" fontId="8" fillId="5" borderId="0" xfId="0" applyFont="1" applyFill="1"/>
    <xf numFmtId="3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37" fontId="5" fillId="0" borderId="0" xfId="0" applyNumberFormat="1" applyFont="1" applyAlignment="1">
      <alignment horizontal="center"/>
    </xf>
    <xf numFmtId="37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left" indent="1"/>
    </xf>
    <xf numFmtId="37" fontId="0" fillId="0" borderId="3" xfId="0" applyNumberForma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67" fontId="5" fillId="0" borderId="0" xfId="0" applyNumberFormat="1" applyFont="1"/>
    <xf numFmtId="0" fontId="2" fillId="7" borderId="4" xfId="0" applyFont="1" applyFill="1" applyBorder="1"/>
    <xf numFmtId="0" fontId="0" fillId="7" borderId="1" xfId="0" applyFill="1" applyBorder="1"/>
    <xf numFmtId="0" fontId="2" fillId="7" borderId="6" xfId="0" applyFont="1" applyFill="1" applyBorder="1"/>
    <xf numFmtId="0" fontId="0" fillId="7" borderId="3" xfId="0" applyFill="1" applyBorder="1"/>
    <xf numFmtId="0" fontId="2" fillId="7" borderId="0" xfId="0" applyFont="1" applyFill="1"/>
    <xf numFmtId="0" fontId="0" fillId="7" borderId="0" xfId="0" applyFill="1"/>
    <xf numFmtId="37" fontId="2" fillId="7" borderId="0" xfId="0" applyNumberFormat="1" applyFont="1" applyFill="1" applyAlignment="1">
      <alignment horizontal="center"/>
    </xf>
    <xf numFmtId="167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37" fontId="5" fillId="7" borderId="0" xfId="0" applyNumberFormat="1" applyFont="1" applyFill="1" applyAlignment="1">
      <alignment horizontal="center"/>
    </xf>
    <xf numFmtId="167" fontId="0" fillId="7" borderId="0" xfId="0" applyNumberFormat="1" applyFill="1" applyBorder="1" applyAlignment="1">
      <alignment horizontal="center"/>
    </xf>
    <xf numFmtId="164" fontId="10" fillId="7" borderId="7" xfId="0" applyNumberFormat="1" applyFont="1" applyFill="1" applyBorder="1"/>
    <xf numFmtId="37" fontId="2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6" fillId="0" borderId="0" xfId="0" applyNumberFormat="1" applyFont="1" applyAlignment="1">
      <alignment horizontal="center"/>
    </xf>
    <xf numFmtId="37" fontId="5" fillId="6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9" fontId="1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7" borderId="0" xfId="0" applyFill="1" applyAlignment="1">
      <alignment horizontal="center"/>
    </xf>
    <xf numFmtId="37" fontId="9" fillId="7" borderId="0" xfId="0" applyNumberFormat="1" applyFont="1" applyFill="1" applyAlignment="1">
      <alignment horizontal="center"/>
    </xf>
    <xf numFmtId="37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167" fontId="4" fillId="4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7" fontId="2" fillId="7" borderId="5" xfId="0" applyNumberFormat="1" applyFont="1" applyFill="1" applyBorder="1"/>
    <xf numFmtId="167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E4E4"/>
      <color rgb="FFD7D9D9"/>
      <color rgb="FFD9D9D9"/>
      <color rgb="FFE6E9E9"/>
      <color rgb="FF3C6FC6"/>
      <color rgb="FF467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1F4D-A2EC-DE48-8996-24D91992EE81}">
  <dimension ref="A2:O125"/>
  <sheetViews>
    <sheetView tabSelected="1" topLeftCell="A53" zoomScale="125" workbookViewId="0">
      <selection activeCell="O7" sqref="O7"/>
    </sheetView>
  </sheetViews>
  <sheetFormatPr baseColWidth="10" defaultRowHeight="16" x14ac:dyDescent="0.2"/>
  <cols>
    <col min="1" max="1" width="2.33203125" customWidth="1"/>
  </cols>
  <sheetData>
    <row r="2" spans="1:15" x14ac:dyDescent="0.2">
      <c r="A2" t="s">
        <v>12</v>
      </c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5" customHeight="1" x14ac:dyDescent="0.2"/>
    <row r="4" spans="1:15" x14ac:dyDescent="0.2">
      <c r="B4" s="3" t="s">
        <v>1</v>
      </c>
      <c r="C4" s="2"/>
      <c r="D4" s="2"/>
      <c r="E4" s="2"/>
      <c r="F4" s="8"/>
      <c r="G4" s="3" t="s">
        <v>13</v>
      </c>
      <c r="H4" s="2"/>
      <c r="I4" s="2"/>
      <c r="J4" s="8"/>
      <c r="K4" s="3" t="s">
        <v>22</v>
      </c>
      <c r="L4" s="2"/>
      <c r="M4" s="2"/>
      <c r="N4" s="3" t="s">
        <v>26</v>
      </c>
      <c r="O4" s="3" t="s">
        <v>27</v>
      </c>
    </row>
    <row r="5" spans="1:15" x14ac:dyDescent="0.2">
      <c r="B5" s="7" t="s">
        <v>2</v>
      </c>
      <c r="G5" s="6" t="s">
        <v>17</v>
      </c>
      <c r="I5" s="23">
        <f>J54</f>
        <v>700</v>
      </c>
      <c r="J5" s="8"/>
      <c r="K5" t="s">
        <v>25</v>
      </c>
      <c r="N5" s="66">
        <v>200</v>
      </c>
      <c r="O5" s="67">
        <v>7.4999999999999997E-2</v>
      </c>
    </row>
    <row r="6" spans="1:15" x14ac:dyDescent="0.2">
      <c r="B6" t="s">
        <v>3</v>
      </c>
      <c r="E6" s="66">
        <v>2000</v>
      </c>
      <c r="G6" s="9" t="s">
        <v>20</v>
      </c>
      <c r="H6" s="9"/>
      <c r="I6" s="68">
        <v>10</v>
      </c>
      <c r="J6" s="10"/>
      <c r="K6" t="s">
        <v>24</v>
      </c>
      <c r="N6" s="66">
        <v>2500</v>
      </c>
      <c r="O6" s="67">
        <v>9.5000000000000001E-2</v>
      </c>
    </row>
    <row r="7" spans="1:15" x14ac:dyDescent="0.2">
      <c r="B7" t="s">
        <v>4</v>
      </c>
      <c r="E7" s="66">
        <v>900</v>
      </c>
      <c r="G7" s="6" t="s">
        <v>14</v>
      </c>
      <c r="I7" s="69">
        <f>I5*I6</f>
        <v>7000</v>
      </c>
      <c r="J7" s="10"/>
      <c r="K7" t="s">
        <v>28</v>
      </c>
      <c r="N7" s="66">
        <v>1500</v>
      </c>
      <c r="O7" s="67">
        <v>0.125</v>
      </c>
    </row>
    <row r="8" spans="1:15" x14ac:dyDescent="0.2">
      <c r="B8" t="s">
        <v>5</v>
      </c>
      <c r="E8" s="66">
        <v>500</v>
      </c>
      <c r="G8" s="9" t="s">
        <v>15</v>
      </c>
      <c r="H8" s="9"/>
      <c r="I8" s="66">
        <v>1000</v>
      </c>
      <c r="J8" s="10"/>
    </row>
    <row r="9" spans="1:15" x14ac:dyDescent="0.2">
      <c r="B9" t="s">
        <v>6</v>
      </c>
      <c r="E9" s="66">
        <v>100</v>
      </c>
      <c r="G9" s="6" t="s">
        <v>16</v>
      </c>
      <c r="I9" s="21">
        <f>I7-I8</f>
        <v>6000</v>
      </c>
      <c r="J9" s="8"/>
      <c r="K9" s="3" t="s">
        <v>64</v>
      </c>
      <c r="L9" s="2"/>
      <c r="M9" s="2"/>
      <c r="N9" s="3"/>
      <c r="O9" s="3"/>
    </row>
    <row r="10" spans="1:15" x14ac:dyDescent="0.2">
      <c r="B10" t="s">
        <v>7</v>
      </c>
      <c r="E10" s="66">
        <v>200</v>
      </c>
      <c r="I10" s="18"/>
      <c r="J10" s="8"/>
      <c r="K10" s="6" t="s">
        <v>70</v>
      </c>
      <c r="O10" s="72">
        <f>O124</f>
        <v>2.8420395749121585</v>
      </c>
    </row>
    <row r="11" spans="1:15" x14ac:dyDescent="0.2">
      <c r="B11" t="s">
        <v>8</v>
      </c>
      <c r="E11" s="66">
        <v>140</v>
      </c>
      <c r="G11" s="6" t="s">
        <v>18</v>
      </c>
      <c r="I11" s="66">
        <v>100</v>
      </c>
      <c r="J11" s="8"/>
      <c r="K11" s="6" t="s">
        <v>64</v>
      </c>
      <c r="O11" s="54">
        <f>O125</f>
        <v>0.23232717123052216</v>
      </c>
    </row>
    <row r="12" spans="1:15" x14ac:dyDescent="0.2">
      <c r="E12" s="18"/>
      <c r="I12" s="18"/>
    </row>
    <row r="13" spans="1:15" x14ac:dyDescent="0.2">
      <c r="B13" s="7" t="s">
        <v>9</v>
      </c>
      <c r="E13" s="18"/>
      <c r="G13" s="3" t="s">
        <v>19</v>
      </c>
      <c r="H13" s="2"/>
      <c r="I13" s="70"/>
    </row>
    <row r="14" spans="1:15" x14ac:dyDescent="0.2">
      <c r="B14" t="s">
        <v>10</v>
      </c>
      <c r="E14" s="67">
        <v>0.1</v>
      </c>
      <c r="G14" t="s">
        <v>21</v>
      </c>
      <c r="I14" s="68">
        <f>I6</f>
        <v>10</v>
      </c>
    </row>
    <row r="15" spans="1:15" x14ac:dyDescent="0.2">
      <c r="B15" t="s">
        <v>11</v>
      </c>
      <c r="E15" s="67">
        <v>0.21</v>
      </c>
    </row>
    <row r="18" spans="1:15" x14ac:dyDescent="0.2">
      <c r="A18" t="s">
        <v>12</v>
      </c>
      <c r="B18" s="4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5" customHeight="1" x14ac:dyDescent="0.2"/>
    <row r="20" spans="1:15" x14ac:dyDescent="0.2">
      <c r="B20" s="14" t="s">
        <v>41</v>
      </c>
      <c r="C20" s="15"/>
      <c r="D20" s="15"/>
      <c r="E20" s="15"/>
      <c r="F20" s="15"/>
      <c r="G20" s="15"/>
      <c r="K20" s="14" t="s">
        <v>42</v>
      </c>
      <c r="L20" s="15"/>
      <c r="M20" s="15"/>
      <c r="N20" s="15"/>
      <c r="O20" s="15"/>
    </row>
    <row r="21" spans="1:15" x14ac:dyDescent="0.2">
      <c r="E21" s="7" t="s">
        <v>43</v>
      </c>
      <c r="F21" s="7" t="s">
        <v>44</v>
      </c>
      <c r="G21" s="7" t="s">
        <v>54</v>
      </c>
      <c r="M21" s="7" t="s">
        <v>43</v>
      </c>
      <c r="N21" s="7" t="s">
        <v>44</v>
      </c>
      <c r="O21" s="7" t="s">
        <v>54</v>
      </c>
    </row>
    <row r="22" spans="1:15" x14ac:dyDescent="0.2">
      <c r="B22" t="str" cm="1">
        <f t="array" ref="B22:B24">K5:K7</f>
        <v>REVOLVER</v>
      </c>
      <c r="E22" s="24" cm="1">
        <f t="array" ref="E22:E24">N5:N7</f>
        <v>200</v>
      </c>
      <c r="F22" s="17">
        <f>E22/$I$5</f>
        <v>0.2857142857142857</v>
      </c>
      <c r="G22" s="26">
        <f>E22/$E$29</f>
        <v>2.8169014084507043E-2</v>
      </c>
      <c r="K22" t="s">
        <v>48</v>
      </c>
      <c r="M22" s="24">
        <f>I8</f>
        <v>1000</v>
      </c>
      <c r="N22" s="17">
        <f>M22/$I$5</f>
        <v>1.4285714285714286</v>
      </c>
      <c r="O22" s="26">
        <f>M22/$M$29</f>
        <v>0.14084507042253522</v>
      </c>
    </row>
    <row r="23" spans="1:15" x14ac:dyDescent="0.2">
      <c r="B23" t="str">
        <v>BANK LOAN</v>
      </c>
      <c r="E23" s="31">
        <v>2500</v>
      </c>
      <c r="F23" s="17">
        <f t="shared" ref="F23:F24" si="0">E23/$I$5</f>
        <v>3.5714285714285716</v>
      </c>
      <c r="G23" s="26">
        <f t="shared" ref="G23:G24" si="1">E23/$E$29</f>
        <v>0.352112676056338</v>
      </c>
      <c r="K23" t="s">
        <v>49</v>
      </c>
      <c r="M23" s="24">
        <f>I9</f>
        <v>6000</v>
      </c>
      <c r="N23" s="17">
        <f t="shared" ref="N23:N25" si="2">M23/$I$5</f>
        <v>8.5714285714285712</v>
      </c>
      <c r="O23" s="26">
        <f t="shared" ref="O23:O25" si="3">M23/$M$29</f>
        <v>0.84507042253521125</v>
      </c>
    </row>
    <row r="24" spans="1:15" x14ac:dyDescent="0.2">
      <c r="B24" s="9" t="str">
        <v>SENIOR NOTES</v>
      </c>
      <c r="C24" s="9"/>
      <c r="E24" s="32">
        <v>1500</v>
      </c>
      <c r="F24" s="20">
        <f t="shared" si="0"/>
        <v>2.1428571428571428</v>
      </c>
      <c r="G24" s="26">
        <f t="shared" si="1"/>
        <v>0.21126760563380281</v>
      </c>
      <c r="M24" s="25"/>
      <c r="N24" s="17"/>
      <c r="O24" s="26"/>
    </row>
    <row r="25" spans="1:15" x14ac:dyDescent="0.2">
      <c r="B25" s="6" t="s">
        <v>45</v>
      </c>
      <c r="D25" s="1"/>
      <c r="E25" s="21">
        <f>SUM(_xlfn.ANCHORARRAY(E22))</f>
        <v>4200</v>
      </c>
      <c r="F25" s="22">
        <f>SUM(F22:F24)</f>
        <v>6</v>
      </c>
      <c r="G25" s="27">
        <f>SUM(G22:G24)</f>
        <v>0.59154929577464788</v>
      </c>
      <c r="K25" t="s">
        <v>50</v>
      </c>
      <c r="M25" s="24">
        <f>I11</f>
        <v>100</v>
      </c>
      <c r="N25" s="17">
        <f t="shared" si="2"/>
        <v>0.14285714285714285</v>
      </c>
      <c r="O25" s="26">
        <f t="shared" si="3"/>
        <v>1.4084507042253521E-2</v>
      </c>
    </row>
    <row r="26" spans="1:15" x14ac:dyDescent="0.2">
      <c r="G26" s="18"/>
    </row>
    <row r="27" spans="1:15" x14ac:dyDescent="0.2">
      <c r="B27" t="s">
        <v>46</v>
      </c>
      <c r="E27" s="21">
        <f>E29-E25</f>
        <v>2900</v>
      </c>
      <c r="F27" s="28">
        <f t="shared" ref="F27:F29" si="4">E27/$I$5</f>
        <v>4.1428571428571432</v>
      </c>
      <c r="G27" s="26">
        <f t="shared" ref="G27" si="5">E27/$E$29</f>
        <v>0.40845070422535212</v>
      </c>
    </row>
    <row r="28" spans="1:15" x14ac:dyDescent="0.2">
      <c r="E28" s="18"/>
      <c r="G28" s="18"/>
    </row>
    <row r="29" spans="1:15" x14ac:dyDescent="0.2">
      <c r="B29" s="45" t="s">
        <v>47</v>
      </c>
      <c r="C29" s="46"/>
      <c r="D29" s="46"/>
      <c r="E29" s="50">
        <f>M29</f>
        <v>7100</v>
      </c>
      <c r="F29" s="51">
        <f t="shared" si="4"/>
        <v>10.142857142857142</v>
      </c>
      <c r="G29" s="49">
        <f>G27+G25</f>
        <v>1</v>
      </c>
      <c r="K29" s="45" t="s">
        <v>51</v>
      </c>
      <c r="L29" s="46"/>
      <c r="M29" s="47">
        <f>SUM(M22:M25)</f>
        <v>7100</v>
      </c>
      <c r="N29" s="48">
        <f>SUM(N22:N25)</f>
        <v>10.142857142857142</v>
      </c>
      <c r="O29" s="49">
        <f>SUM(O22:O25)</f>
        <v>1</v>
      </c>
    </row>
    <row r="33" spans="1:15" x14ac:dyDescent="0.2">
      <c r="A33" t="s">
        <v>12</v>
      </c>
      <c r="B33" s="4" t="s">
        <v>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5" customHeight="1" x14ac:dyDescent="0.2"/>
    <row r="35" spans="1:15" x14ac:dyDescent="0.2">
      <c r="B35" s="3" t="s">
        <v>30</v>
      </c>
      <c r="C35" s="2"/>
      <c r="D35" s="2"/>
      <c r="E35" s="2"/>
      <c r="F35" s="2"/>
      <c r="G35" s="2"/>
      <c r="H35" s="2"/>
      <c r="I35" s="2"/>
      <c r="J35" s="11">
        <v>0</v>
      </c>
      <c r="K35" s="11">
        <f>J35+1</f>
        <v>1</v>
      </c>
      <c r="L35" s="11">
        <f t="shared" ref="L35:N35" si="6">K35+1</f>
        <v>2</v>
      </c>
      <c r="M35" s="11">
        <f t="shared" si="6"/>
        <v>3</v>
      </c>
      <c r="N35" s="11">
        <f t="shared" si="6"/>
        <v>4</v>
      </c>
      <c r="O35" s="11">
        <f>N35+1</f>
        <v>5</v>
      </c>
    </row>
    <row r="36" spans="1:15" x14ac:dyDescent="0.2">
      <c r="B36" t="s">
        <v>3</v>
      </c>
      <c r="J36" s="23">
        <f>E6</f>
        <v>2000</v>
      </c>
      <c r="K36" s="21">
        <f>J36*(1+K37)</f>
        <v>2200</v>
      </c>
      <c r="L36" s="21">
        <f t="shared" ref="L36:O36" si="7">K36*(1+L37)</f>
        <v>2420</v>
      </c>
      <c r="M36" s="21">
        <f t="shared" si="7"/>
        <v>2662</v>
      </c>
      <c r="N36" s="21">
        <f t="shared" si="7"/>
        <v>2928.2000000000003</v>
      </c>
      <c r="O36" s="21">
        <f t="shared" si="7"/>
        <v>3221.0200000000004</v>
      </c>
    </row>
    <row r="37" spans="1:15" x14ac:dyDescent="0.2">
      <c r="B37" t="s">
        <v>31</v>
      </c>
      <c r="J37" s="18"/>
      <c r="K37" s="54">
        <f>E14</f>
        <v>0.1</v>
      </c>
      <c r="L37" s="54">
        <f>$K37</f>
        <v>0.1</v>
      </c>
      <c r="M37" s="54">
        <f>$K37</f>
        <v>0.1</v>
      </c>
      <c r="N37" s="54">
        <f>$K37</f>
        <v>0.1</v>
      </c>
      <c r="O37" s="54">
        <f>$K37</f>
        <v>0.1</v>
      </c>
    </row>
    <row r="38" spans="1:15" x14ac:dyDescent="0.2">
      <c r="J38" s="18"/>
      <c r="K38" s="18"/>
      <c r="L38" s="18"/>
      <c r="M38" s="18"/>
      <c r="N38" s="18"/>
      <c r="O38" s="18"/>
    </row>
    <row r="39" spans="1:15" x14ac:dyDescent="0.2">
      <c r="B39" t="s">
        <v>4</v>
      </c>
      <c r="J39" s="55">
        <f>E7</f>
        <v>900</v>
      </c>
      <c r="K39" s="55">
        <f>K36*K40</f>
        <v>990</v>
      </c>
      <c r="L39" s="55">
        <f t="shared" ref="L39:O39" si="8">L36*L40</f>
        <v>1089</v>
      </c>
      <c r="M39" s="55">
        <f t="shared" si="8"/>
        <v>1197.9000000000001</v>
      </c>
      <c r="N39" s="55">
        <f t="shared" si="8"/>
        <v>1317.69</v>
      </c>
      <c r="O39" s="55">
        <f t="shared" si="8"/>
        <v>1449.4590000000003</v>
      </c>
    </row>
    <row r="40" spans="1:15" x14ac:dyDescent="0.2">
      <c r="B40" t="s">
        <v>32</v>
      </c>
      <c r="J40" s="56">
        <f>J39/J36</f>
        <v>0.45</v>
      </c>
      <c r="K40" s="57">
        <v>0.45</v>
      </c>
      <c r="L40" s="57">
        <v>0.45</v>
      </c>
      <c r="M40" s="57">
        <v>0.45</v>
      </c>
      <c r="N40" s="57">
        <v>0.45</v>
      </c>
      <c r="O40" s="57">
        <v>0.45</v>
      </c>
    </row>
    <row r="41" spans="1:15" x14ac:dyDescent="0.2">
      <c r="J41" s="18"/>
      <c r="K41" s="18"/>
      <c r="L41" s="18"/>
      <c r="M41" s="18"/>
      <c r="N41" s="18"/>
      <c r="O41" s="18"/>
    </row>
    <row r="42" spans="1:15" x14ac:dyDescent="0.2">
      <c r="B42" t="s">
        <v>33</v>
      </c>
      <c r="J42" s="21">
        <f>J36-J39</f>
        <v>1100</v>
      </c>
      <c r="K42" s="21">
        <f t="shared" ref="K42:O42" si="9">K36-K39</f>
        <v>1210</v>
      </c>
      <c r="L42" s="21">
        <f t="shared" si="9"/>
        <v>1331</v>
      </c>
      <c r="M42" s="21">
        <f t="shared" si="9"/>
        <v>1464.1</v>
      </c>
      <c r="N42" s="21">
        <f t="shared" si="9"/>
        <v>1610.5100000000002</v>
      </c>
      <c r="O42" s="21">
        <f t="shared" si="9"/>
        <v>1771.5610000000001</v>
      </c>
    </row>
    <row r="43" spans="1:15" x14ac:dyDescent="0.2">
      <c r="B43" t="s">
        <v>32</v>
      </c>
      <c r="J43" s="56">
        <f>J42/J36</f>
        <v>0.55000000000000004</v>
      </c>
      <c r="K43" s="56">
        <f t="shared" ref="K43:O43" si="10">K42/K36</f>
        <v>0.55000000000000004</v>
      </c>
      <c r="L43" s="56">
        <f t="shared" si="10"/>
        <v>0.55000000000000004</v>
      </c>
      <c r="M43" s="56">
        <f t="shared" si="10"/>
        <v>0.54999999999999993</v>
      </c>
      <c r="N43" s="56">
        <f t="shared" si="10"/>
        <v>0.55000000000000004</v>
      </c>
      <c r="O43" s="56">
        <f t="shared" si="10"/>
        <v>0.54999999999999993</v>
      </c>
    </row>
    <row r="44" spans="1:15" x14ac:dyDescent="0.2">
      <c r="J44" s="18"/>
      <c r="K44" s="18"/>
      <c r="L44" s="18"/>
      <c r="M44" s="18"/>
      <c r="N44" s="18"/>
      <c r="O44" s="18"/>
    </row>
    <row r="45" spans="1:15" x14ac:dyDescent="0.2">
      <c r="B45" t="s">
        <v>34</v>
      </c>
      <c r="J45" s="23">
        <f>E8</f>
        <v>500</v>
      </c>
      <c r="K45" s="55">
        <f>K36*K46</f>
        <v>550</v>
      </c>
      <c r="L45" s="55">
        <f t="shared" ref="L45:O45" si="11">L36*L46</f>
        <v>605</v>
      </c>
      <c r="M45" s="55">
        <f t="shared" si="11"/>
        <v>665.5</v>
      </c>
      <c r="N45" s="55">
        <f t="shared" si="11"/>
        <v>732.05000000000007</v>
      </c>
      <c r="O45" s="55">
        <f t="shared" si="11"/>
        <v>805.25500000000011</v>
      </c>
    </row>
    <row r="46" spans="1:15" x14ac:dyDescent="0.2">
      <c r="B46" t="s">
        <v>32</v>
      </c>
      <c r="J46" s="56">
        <f>J45/J36</f>
        <v>0.25</v>
      </c>
      <c r="K46" s="57">
        <f>J46</f>
        <v>0.25</v>
      </c>
      <c r="L46" s="57">
        <f t="shared" ref="L46:O46" si="12">K46</f>
        <v>0.25</v>
      </c>
      <c r="M46" s="57">
        <f t="shared" si="12"/>
        <v>0.25</v>
      </c>
      <c r="N46" s="57">
        <f t="shared" si="12"/>
        <v>0.25</v>
      </c>
      <c r="O46" s="57">
        <f t="shared" si="12"/>
        <v>0.25</v>
      </c>
    </row>
    <row r="47" spans="1:15" x14ac:dyDescent="0.2">
      <c r="J47" s="18"/>
      <c r="K47" s="18"/>
      <c r="L47" s="18"/>
      <c r="M47" s="18"/>
      <c r="N47" s="18"/>
      <c r="O47" s="18"/>
    </row>
    <row r="48" spans="1:15" x14ac:dyDescent="0.2">
      <c r="B48" t="s">
        <v>35</v>
      </c>
      <c r="J48" s="21">
        <f>J42-J45</f>
        <v>600</v>
      </c>
      <c r="K48" s="21">
        <f t="shared" ref="K48:O48" si="13">K42-K45</f>
        <v>660</v>
      </c>
      <c r="L48" s="21">
        <f t="shared" si="13"/>
        <v>726</v>
      </c>
      <c r="M48" s="21">
        <f t="shared" si="13"/>
        <v>798.59999999999991</v>
      </c>
      <c r="N48" s="21">
        <f t="shared" si="13"/>
        <v>878.46000000000015</v>
      </c>
      <c r="O48" s="21">
        <f t="shared" si="13"/>
        <v>966.30600000000004</v>
      </c>
    </row>
    <row r="49" spans="2:15" x14ac:dyDescent="0.2">
      <c r="B49" t="s">
        <v>32</v>
      </c>
      <c r="J49" s="56">
        <f>J48/J36</f>
        <v>0.3</v>
      </c>
      <c r="K49" s="56">
        <f t="shared" ref="K49:O49" si="14">K48/K36</f>
        <v>0.3</v>
      </c>
      <c r="L49" s="56">
        <f t="shared" si="14"/>
        <v>0.3</v>
      </c>
      <c r="M49" s="56">
        <f t="shared" si="14"/>
        <v>0.3</v>
      </c>
      <c r="N49" s="56">
        <f t="shared" si="14"/>
        <v>0.30000000000000004</v>
      </c>
      <c r="O49" s="56">
        <f t="shared" si="14"/>
        <v>0.3</v>
      </c>
    </row>
    <row r="50" spans="2:15" x14ac:dyDescent="0.2">
      <c r="J50" s="18"/>
      <c r="K50" s="18"/>
      <c r="L50" s="18"/>
      <c r="M50" s="18"/>
      <c r="N50" s="18"/>
      <c r="O50" s="18"/>
    </row>
    <row r="51" spans="2:15" x14ac:dyDescent="0.2">
      <c r="B51" t="s">
        <v>6</v>
      </c>
      <c r="J51" s="23">
        <f>E9</f>
        <v>100</v>
      </c>
      <c r="K51" s="21">
        <f>K36*K52</f>
        <v>110</v>
      </c>
      <c r="L51" s="21">
        <f t="shared" ref="L51:O51" si="15">L36*L52</f>
        <v>121</v>
      </c>
      <c r="M51" s="21">
        <f t="shared" si="15"/>
        <v>133.1</v>
      </c>
      <c r="N51" s="21">
        <f t="shared" si="15"/>
        <v>146.41000000000003</v>
      </c>
      <c r="O51" s="21">
        <f t="shared" si="15"/>
        <v>161.05100000000004</v>
      </c>
    </row>
    <row r="52" spans="2:15" x14ac:dyDescent="0.2">
      <c r="B52" t="s">
        <v>32</v>
      </c>
      <c r="J52" s="56">
        <f>J51/J36</f>
        <v>0.05</v>
      </c>
      <c r="K52" s="57">
        <f>J52</f>
        <v>0.05</v>
      </c>
      <c r="L52" s="57">
        <f t="shared" ref="L52:O52" si="16">K52</f>
        <v>0.05</v>
      </c>
      <c r="M52" s="57">
        <f t="shared" si="16"/>
        <v>0.05</v>
      </c>
      <c r="N52" s="57">
        <f t="shared" si="16"/>
        <v>0.05</v>
      </c>
      <c r="O52" s="57">
        <f t="shared" si="16"/>
        <v>0.05</v>
      </c>
    </row>
    <row r="53" spans="2:15" x14ac:dyDescent="0.2">
      <c r="J53" s="18"/>
      <c r="K53" s="18"/>
      <c r="L53" s="18"/>
      <c r="M53" s="18"/>
      <c r="N53" s="18"/>
      <c r="O53" s="18"/>
    </row>
    <row r="54" spans="2:15" x14ac:dyDescent="0.2">
      <c r="B54" t="s">
        <v>17</v>
      </c>
      <c r="J54" s="21">
        <f>J48+J51</f>
        <v>700</v>
      </c>
      <c r="K54" s="21">
        <f t="shared" ref="K54:O54" si="17">K48+K51</f>
        <v>770</v>
      </c>
      <c r="L54" s="21">
        <f t="shared" si="17"/>
        <v>847</v>
      </c>
      <c r="M54" s="21">
        <f t="shared" si="17"/>
        <v>931.69999999999993</v>
      </c>
      <c r="N54" s="21">
        <f t="shared" si="17"/>
        <v>1024.8700000000001</v>
      </c>
      <c r="O54" s="21">
        <f t="shared" si="17"/>
        <v>1127.357</v>
      </c>
    </row>
    <row r="55" spans="2:15" x14ac:dyDescent="0.2">
      <c r="B55" t="s">
        <v>32</v>
      </c>
      <c r="J55" s="56">
        <f>J54/J36</f>
        <v>0.35</v>
      </c>
      <c r="K55" s="56">
        <f t="shared" ref="K55:O55" si="18">K54/K36</f>
        <v>0.35</v>
      </c>
      <c r="L55" s="56">
        <f t="shared" si="18"/>
        <v>0.35</v>
      </c>
      <c r="M55" s="56">
        <f t="shared" si="18"/>
        <v>0.35</v>
      </c>
      <c r="N55" s="56">
        <f t="shared" si="18"/>
        <v>0.35000000000000003</v>
      </c>
      <c r="O55" s="56">
        <f t="shared" si="18"/>
        <v>0.34999999999999992</v>
      </c>
    </row>
    <row r="56" spans="2:15" x14ac:dyDescent="0.2">
      <c r="J56" s="18"/>
      <c r="K56" s="18"/>
      <c r="L56" s="18"/>
      <c r="M56" s="18"/>
      <c r="N56" s="18"/>
      <c r="O56" s="18"/>
    </row>
    <row r="57" spans="2:15" x14ac:dyDescent="0.2">
      <c r="B57" t="s">
        <v>40</v>
      </c>
      <c r="J57" s="18"/>
      <c r="K57" s="58">
        <f>K110</f>
        <v>440</v>
      </c>
      <c r="L57" s="58">
        <f t="shared" ref="L57:O57" si="19">L110</f>
        <v>431.76499999999999</v>
      </c>
      <c r="M57" s="58">
        <f t="shared" si="19"/>
        <v>418.17466324999998</v>
      </c>
      <c r="N57" s="58">
        <f t="shared" si="19"/>
        <v>396.98054172691252</v>
      </c>
      <c r="O57" s="58">
        <f t="shared" si="19"/>
        <v>368.93798838351728</v>
      </c>
    </row>
    <row r="58" spans="2:15" x14ac:dyDescent="0.2">
      <c r="J58" s="18"/>
      <c r="K58" s="18"/>
      <c r="L58" s="18"/>
      <c r="M58" s="18"/>
      <c r="N58" s="18"/>
      <c r="O58" s="18"/>
    </row>
    <row r="59" spans="2:15" x14ac:dyDescent="0.2">
      <c r="B59" t="s">
        <v>36</v>
      </c>
      <c r="J59" s="21">
        <f>J48-J57</f>
        <v>600</v>
      </c>
      <c r="K59" s="21">
        <f t="shared" ref="K59:O59" si="20">K48-K57</f>
        <v>220</v>
      </c>
      <c r="L59" s="21">
        <f t="shared" si="20"/>
        <v>294.23500000000001</v>
      </c>
      <c r="M59" s="21">
        <f t="shared" si="20"/>
        <v>380.42533674999993</v>
      </c>
      <c r="N59" s="21">
        <f t="shared" si="20"/>
        <v>481.47945827308763</v>
      </c>
      <c r="O59" s="21">
        <f t="shared" si="20"/>
        <v>597.36801161648282</v>
      </c>
    </row>
    <row r="60" spans="2:15" x14ac:dyDescent="0.2">
      <c r="B60" t="s">
        <v>32</v>
      </c>
      <c r="J60" s="56">
        <f>J59/J36</f>
        <v>0.3</v>
      </c>
      <c r="K60" s="56">
        <f t="shared" ref="K60:O60" si="21">K59/K36</f>
        <v>0.1</v>
      </c>
      <c r="L60" s="56">
        <f t="shared" si="21"/>
        <v>0.12158471074380166</v>
      </c>
      <c r="M60" s="56">
        <f t="shared" si="21"/>
        <v>0.14290959306912093</v>
      </c>
      <c r="N60" s="56">
        <f t="shared" si="21"/>
        <v>0.16442847424120197</v>
      </c>
      <c r="O60" s="56">
        <f t="shared" si="21"/>
        <v>0.18545926806306162</v>
      </c>
    </row>
    <row r="61" spans="2:15" x14ac:dyDescent="0.2">
      <c r="J61" s="18"/>
      <c r="K61" s="18"/>
      <c r="L61" s="18"/>
      <c r="M61" s="18"/>
      <c r="N61" s="18"/>
      <c r="O61" s="18"/>
    </row>
    <row r="62" spans="2:15" x14ac:dyDescent="0.2">
      <c r="B62" t="s">
        <v>38</v>
      </c>
      <c r="J62" s="59">
        <f>J59*J63</f>
        <v>126</v>
      </c>
      <c r="K62" s="59">
        <f t="shared" ref="K62:O62" si="22">K59*K63</f>
        <v>46.199999999999996</v>
      </c>
      <c r="L62" s="59">
        <f t="shared" si="22"/>
        <v>61.789349999999999</v>
      </c>
      <c r="M62" s="59">
        <f t="shared" si="22"/>
        <v>79.889320717499984</v>
      </c>
      <c r="N62" s="59">
        <f t="shared" si="22"/>
        <v>101.1106862373484</v>
      </c>
      <c r="O62" s="59">
        <f t="shared" si="22"/>
        <v>125.44728243946139</v>
      </c>
    </row>
    <row r="63" spans="2:15" x14ac:dyDescent="0.2">
      <c r="B63" t="s">
        <v>39</v>
      </c>
      <c r="J63" s="60">
        <f>E15</f>
        <v>0.21</v>
      </c>
      <c r="K63" s="60">
        <f>J63</f>
        <v>0.21</v>
      </c>
      <c r="L63" s="60">
        <f t="shared" ref="L63:O63" si="23">K63</f>
        <v>0.21</v>
      </c>
      <c r="M63" s="60">
        <f t="shared" si="23"/>
        <v>0.21</v>
      </c>
      <c r="N63" s="60">
        <f t="shared" si="23"/>
        <v>0.21</v>
      </c>
      <c r="O63" s="60">
        <f t="shared" si="23"/>
        <v>0.21</v>
      </c>
    </row>
    <row r="64" spans="2:15" x14ac:dyDescent="0.2">
      <c r="J64" s="18"/>
      <c r="K64" s="18"/>
      <c r="L64" s="18"/>
      <c r="M64" s="18"/>
      <c r="N64" s="18"/>
      <c r="O64" s="18"/>
    </row>
    <row r="65" spans="1:15" x14ac:dyDescent="0.2">
      <c r="B65" t="s">
        <v>37</v>
      </c>
      <c r="J65" s="21">
        <f>J59-J62</f>
        <v>474</v>
      </c>
      <c r="K65" s="21">
        <f t="shared" ref="K65:O65" si="24">K59-K62</f>
        <v>173.8</v>
      </c>
      <c r="L65" s="21">
        <f t="shared" si="24"/>
        <v>232.44565</v>
      </c>
      <c r="M65" s="21">
        <f t="shared" si="24"/>
        <v>300.53601603249996</v>
      </c>
      <c r="N65" s="21">
        <f t="shared" si="24"/>
        <v>380.3687720357392</v>
      </c>
      <c r="O65" s="21">
        <f t="shared" si="24"/>
        <v>471.92072917702143</v>
      </c>
    </row>
    <row r="66" spans="1:15" x14ac:dyDescent="0.2">
      <c r="B66" t="s">
        <v>32</v>
      </c>
      <c r="J66" s="56">
        <f>J65/J36</f>
        <v>0.23699999999999999</v>
      </c>
      <c r="K66" s="56">
        <f t="shared" ref="K66:O66" si="25">K65/K36</f>
        <v>7.9000000000000001E-2</v>
      </c>
      <c r="L66" s="56">
        <f t="shared" si="25"/>
        <v>9.6051921487603303E-2</v>
      </c>
      <c r="M66" s="56">
        <f t="shared" si="25"/>
        <v>0.11289857852460554</v>
      </c>
      <c r="N66" s="56">
        <f t="shared" si="25"/>
        <v>0.12989849465054953</v>
      </c>
      <c r="O66" s="56">
        <f t="shared" si="25"/>
        <v>0.14651282176981867</v>
      </c>
    </row>
    <row r="67" spans="1:15" x14ac:dyDescent="0.2">
      <c r="J67" s="18"/>
      <c r="K67" s="18"/>
      <c r="L67" s="18"/>
      <c r="M67" s="18"/>
      <c r="N67" s="18"/>
      <c r="O67" s="18"/>
    </row>
    <row r="68" spans="1:15" x14ac:dyDescent="0.2">
      <c r="J68" s="18"/>
      <c r="K68" s="18"/>
      <c r="L68" s="18"/>
      <c r="M68" s="18"/>
      <c r="N68" s="18"/>
      <c r="O68" s="18"/>
    </row>
    <row r="69" spans="1:15" x14ac:dyDescent="0.2">
      <c r="A69" t="s">
        <v>12</v>
      </c>
      <c r="B69" s="3" t="s">
        <v>52</v>
      </c>
      <c r="C69" s="2"/>
      <c r="D69" s="2"/>
      <c r="E69" s="2"/>
      <c r="F69" s="2"/>
      <c r="G69" s="2"/>
      <c r="H69" s="2"/>
      <c r="I69" s="2"/>
      <c r="J69" s="61">
        <v>0</v>
      </c>
      <c r="K69" s="61">
        <f>J69+1</f>
        <v>1</v>
      </c>
      <c r="L69" s="61">
        <f t="shared" ref="L69:N69" si="26">K69+1</f>
        <v>2</v>
      </c>
      <c r="M69" s="61">
        <f t="shared" si="26"/>
        <v>3</v>
      </c>
      <c r="N69" s="61">
        <f t="shared" si="26"/>
        <v>4</v>
      </c>
      <c r="O69" s="61">
        <f>N69+1</f>
        <v>5</v>
      </c>
    </row>
    <row r="70" spans="1:15" x14ac:dyDescent="0.2">
      <c r="B70" t="s">
        <v>6</v>
      </c>
      <c r="J70" s="23">
        <f>J51</f>
        <v>100</v>
      </c>
      <c r="K70" s="23">
        <f t="shared" ref="K70:O70" si="27">K51</f>
        <v>110</v>
      </c>
      <c r="L70" s="23">
        <f t="shared" si="27"/>
        <v>121</v>
      </c>
      <c r="M70" s="23">
        <f t="shared" si="27"/>
        <v>133.1</v>
      </c>
      <c r="N70" s="23">
        <f t="shared" si="27"/>
        <v>146.41000000000003</v>
      </c>
      <c r="O70" s="23">
        <f t="shared" si="27"/>
        <v>161.05100000000004</v>
      </c>
    </row>
    <row r="71" spans="1:15" x14ac:dyDescent="0.2">
      <c r="B71" t="s">
        <v>32</v>
      </c>
      <c r="J71" s="57">
        <f>J52</f>
        <v>0.05</v>
      </c>
      <c r="K71" s="57">
        <f t="shared" ref="K71:O71" si="28">K52</f>
        <v>0.05</v>
      </c>
      <c r="L71" s="57">
        <f t="shared" si="28"/>
        <v>0.05</v>
      </c>
      <c r="M71" s="57">
        <f t="shared" si="28"/>
        <v>0.05</v>
      </c>
      <c r="N71" s="57">
        <f t="shared" si="28"/>
        <v>0.05</v>
      </c>
      <c r="O71" s="57">
        <f t="shared" si="28"/>
        <v>0.05</v>
      </c>
    </row>
    <row r="72" spans="1:15" x14ac:dyDescent="0.2">
      <c r="J72" s="18"/>
      <c r="K72" s="18"/>
      <c r="L72" s="18"/>
      <c r="M72" s="18"/>
      <c r="N72" s="18"/>
      <c r="O72" s="18"/>
    </row>
    <row r="73" spans="1:15" x14ac:dyDescent="0.2">
      <c r="B73" t="s">
        <v>7</v>
      </c>
      <c r="J73" s="23">
        <f>E10</f>
        <v>200</v>
      </c>
      <c r="K73" s="59">
        <f>K74*K36</f>
        <v>220</v>
      </c>
      <c r="L73" s="59">
        <f t="shared" ref="L73:O73" si="29">L74*L36</f>
        <v>242</v>
      </c>
      <c r="M73" s="59">
        <f t="shared" si="29"/>
        <v>266.2</v>
      </c>
      <c r="N73" s="59">
        <f t="shared" si="29"/>
        <v>292.82000000000005</v>
      </c>
      <c r="O73" s="59">
        <f t="shared" si="29"/>
        <v>322.10200000000009</v>
      </c>
    </row>
    <row r="74" spans="1:15" x14ac:dyDescent="0.2">
      <c r="B74" t="s">
        <v>32</v>
      </c>
      <c r="J74" s="56">
        <f>J73/J36</f>
        <v>0.1</v>
      </c>
      <c r="K74" s="57">
        <f>J74</f>
        <v>0.1</v>
      </c>
      <c r="L74" s="57">
        <f t="shared" ref="L74:O74" si="30">K74</f>
        <v>0.1</v>
      </c>
      <c r="M74" s="57">
        <f t="shared" si="30"/>
        <v>0.1</v>
      </c>
      <c r="N74" s="57">
        <f t="shared" si="30"/>
        <v>0.1</v>
      </c>
      <c r="O74" s="57">
        <f t="shared" si="30"/>
        <v>0.1</v>
      </c>
    </row>
    <row r="75" spans="1:15" x14ac:dyDescent="0.2">
      <c r="B75" t="s">
        <v>53</v>
      </c>
      <c r="J75" s="18"/>
      <c r="K75" s="62">
        <f>K73-J73</f>
        <v>20</v>
      </c>
      <c r="L75" s="62">
        <f t="shared" ref="L75:O75" si="31">L73-K73</f>
        <v>22</v>
      </c>
      <c r="M75" s="62">
        <f t="shared" si="31"/>
        <v>24.199999999999989</v>
      </c>
      <c r="N75" s="62">
        <f t="shared" si="31"/>
        <v>26.620000000000061</v>
      </c>
      <c r="O75" s="62">
        <f t="shared" si="31"/>
        <v>29.282000000000039</v>
      </c>
    </row>
    <row r="76" spans="1:15" x14ac:dyDescent="0.2">
      <c r="J76" s="18"/>
      <c r="K76" s="18"/>
      <c r="L76" s="18"/>
      <c r="M76" s="18"/>
      <c r="N76" s="18"/>
      <c r="O76" s="18"/>
    </row>
    <row r="77" spans="1:15" x14ac:dyDescent="0.2">
      <c r="B77" t="s">
        <v>8</v>
      </c>
      <c r="J77" s="23">
        <f>E11</f>
        <v>140</v>
      </c>
      <c r="K77" s="55">
        <f>K36*K78</f>
        <v>154.00000000000003</v>
      </c>
      <c r="L77" s="55">
        <f t="shared" ref="L77:O77" si="32">L36*L78</f>
        <v>169.4</v>
      </c>
      <c r="M77" s="55">
        <f t="shared" si="32"/>
        <v>186.34000000000003</v>
      </c>
      <c r="N77" s="55">
        <f t="shared" si="32"/>
        <v>204.97400000000005</v>
      </c>
      <c r="O77" s="55">
        <f t="shared" si="32"/>
        <v>225.47140000000005</v>
      </c>
    </row>
    <row r="78" spans="1:15" x14ac:dyDescent="0.2">
      <c r="B78" t="s">
        <v>32</v>
      </c>
      <c r="J78" s="56">
        <f>J77/J36</f>
        <v>7.0000000000000007E-2</v>
      </c>
      <c r="K78" s="57">
        <f>J78</f>
        <v>7.0000000000000007E-2</v>
      </c>
      <c r="L78" s="57">
        <f t="shared" ref="L78:O78" si="33">K78</f>
        <v>7.0000000000000007E-2</v>
      </c>
      <c r="M78" s="57">
        <f t="shared" si="33"/>
        <v>7.0000000000000007E-2</v>
      </c>
      <c r="N78" s="57">
        <f t="shared" si="33"/>
        <v>7.0000000000000007E-2</v>
      </c>
      <c r="O78" s="57">
        <f t="shared" si="33"/>
        <v>7.0000000000000007E-2</v>
      </c>
    </row>
    <row r="79" spans="1:15" x14ac:dyDescent="0.2">
      <c r="J79" s="18"/>
      <c r="K79" s="18"/>
      <c r="L79" s="18"/>
      <c r="M79" s="18"/>
      <c r="N79" s="18"/>
      <c r="O79" s="18"/>
    </row>
    <row r="80" spans="1:15" x14ac:dyDescent="0.2">
      <c r="A80" t="s">
        <v>12</v>
      </c>
      <c r="B80" s="3" t="s">
        <v>55</v>
      </c>
      <c r="C80" s="2"/>
      <c r="D80" s="2"/>
      <c r="E80" s="2"/>
      <c r="F80" s="2"/>
      <c r="G80" s="2"/>
      <c r="H80" s="2"/>
      <c r="I80" s="2"/>
      <c r="J80" s="61">
        <v>0</v>
      </c>
      <c r="K80" s="61">
        <f>J80+1</f>
        <v>1</v>
      </c>
      <c r="L80" s="61">
        <f t="shared" ref="L80:N80" si="34">K80+1</f>
        <v>2</v>
      </c>
      <c r="M80" s="61">
        <f t="shared" si="34"/>
        <v>3</v>
      </c>
      <c r="N80" s="61">
        <f t="shared" si="34"/>
        <v>4</v>
      </c>
      <c r="O80" s="61">
        <f>N80+1</f>
        <v>5</v>
      </c>
    </row>
    <row r="81" spans="1:15" x14ac:dyDescent="0.2">
      <c r="B81" t="s">
        <v>37</v>
      </c>
      <c r="J81" s="23"/>
      <c r="K81" s="23">
        <f t="shared" ref="K81:O81" si="35">K65</f>
        <v>173.8</v>
      </c>
      <c r="L81" s="23">
        <f t="shared" si="35"/>
        <v>232.44565</v>
      </c>
      <c r="M81" s="23">
        <f t="shared" si="35"/>
        <v>300.53601603249996</v>
      </c>
      <c r="N81" s="23">
        <f t="shared" si="35"/>
        <v>380.3687720357392</v>
      </c>
      <c r="O81" s="23">
        <f t="shared" si="35"/>
        <v>471.92072917702143</v>
      </c>
    </row>
    <row r="82" spans="1:15" x14ac:dyDescent="0.2">
      <c r="B82" t="s">
        <v>6</v>
      </c>
      <c r="J82" s="23"/>
      <c r="K82" s="23">
        <f t="shared" ref="K82:O82" si="36">K70</f>
        <v>110</v>
      </c>
      <c r="L82" s="23">
        <f t="shared" si="36"/>
        <v>121</v>
      </c>
      <c r="M82" s="23">
        <f t="shared" si="36"/>
        <v>133.1</v>
      </c>
      <c r="N82" s="23">
        <f t="shared" si="36"/>
        <v>146.41000000000003</v>
      </c>
      <c r="O82" s="23">
        <f t="shared" si="36"/>
        <v>161.05100000000004</v>
      </c>
    </row>
    <row r="83" spans="1:15" x14ac:dyDescent="0.2">
      <c r="B83" t="s">
        <v>8</v>
      </c>
      <c r="J83" s="23"/>
      <c r="K83" s="23">
        <f t="shared" ref="K83:O83" si="37">K77</f>
        <v>154.00000000000003</v>
      </c>
      <c r="L83" s="23">
        <f t="shared" si="37"/>
        <v>169.4</v>
      </c>
      <c r="M83" s="23">
        <f t="shared" si="37"/>
        <v>186.34000000000003</v>
      </c>
      <c r="N83" s="23">
        <f t="shared" si="37"/>
        <v>204.97400000000005</v>
      </c>
      <c r="O83" s="23">
        <f t="shared" si="37"/>
        <v>225.47140000000005</v>
      </c>
    </row>
    <row r="84" spans="1:15" x14ac:dyDescent="0.2">
      <c r="B84" t="s">
        <v>53</v>
      </c>
      <c r="J84" s="18"/>
      <c r="K84" s="63">
        <f>K75</f>
        <v>20</v>
      </c>
      <c r="L84" s="63">
        <f t="shared" ref="L84:O84" si="38">L75</f>
        <v>22</v>
      </c>
      <c r="M84" s="63">
        <f t="shared" si="38"/>
        <v>24.199999999999989</v>
      </c>
      <c r="N84" s="63">
        <f t="shared" si="38"/>
        <v>26.620000000000061</v>
      </c>
      <c r="O84" s="63">
        <f t="shared" si="38"/>
        <v>29.282000000000039</v>
      </c>
    </row>
    <row r="85" spans="1:15" x14ac:dyDescent="0.2">
      <c r="B85" s="45" t="s">
        <v>56</v>
      </c>
      <c r="C85" s="46"/>
      <c r="D85" s="46"/>
      <c r="E85" s="46"/>
      <c r="F85" s="46"/>
      <c r="G85" s="46"/>
      <c r="H85" s="46"/>
      <c r="I85" s="46"/>
      <c r="J85" s="64"/>
      <c r="K85" s="65">
        <f>K81+K82-K83-K84</f>
        <v>109.79999999999998</v>
      </c>
      <c r="L85" s="65">
        <f t="shared" ref="L85:O85" si="39">L81+L82-L83-L84</f>
        <v>162.04564999999999</v>
      </c>
      <c r="M85" s="65">
        <f t="shared" si="39"/>
        <v>223.0960160324999</v>
      </c>
      <c r="N85" s="65">
        <f t="shared" si="39"/>
        <v>295.18477203573906</v>
      </c>
      <c r="O85" s="65">
        <f t="shared" si="39"/>
        <v>378.21832917702136</v>
      </c>
    </row>
    <row r="87" spans="1:15" x14ac:dyDescent="0.2">
      <c r="A87" t="s">
        <v>12</v>
      </c>
      <c r="B87" s="4" t="s">
        <v>57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5" customHeight="1" x14ac:dyDescent="0.2"/>
    <row r="89" spans="1:15" x14ac:dyDescent="0.2">
      <c r="B89" s="3"/>
      <c r="C89" s="2"/>
      <c r="D89" s="2"/>
      <c r="E89" s="2"/>
      <c r="F89" s="2"/>
      <c r="G89" s="2"/>
      <c r="H89" s="2"/>
      <c r="I89" s="2"/>
      <c r="J89" s="11">
        <v>0</v>
      </c>
      <c r="K89" s="11">
        <f>J89+1</f>
        <v>1</v>
      </c>
      <c r="L89" s="11">
        <f t="shared" ref="L89:N89" si="40">K89+1</f>
        <v>2</v>
      </c>
      <c r="M89" s="11">
        <f t="shared" si="40"/>
        <v>3</v>
      </c>
      <c r="N89" s="11">
        <f t="shared" si="40"/>
        <v>4</v>
      </c>
      <c r="O89" s="11">
        <f>N89+1</f>
        <v>5</v>
      </c>
    </row>
    <row r="90" spans="1:15" x14ac:dyDescent="0.2">
      <c r="B90" s="6" t="s">
        <v>23</v>
      </c>
    </row>
    <row r="91" spans="1:15" x14ac:dyDescent="0.2">
      <c r="B91" s="29" t="s">
        <v>58</v>
      </c>
      <c r="J91" s="18"/>
      <c r="K91" s="24">
        <f>J94</f>
        <v>200</v>
      </c>
      <c r="L91" s="24">
        <f t="shared" ref="L91:O91" si="41">K94</f>
        <v>90.200000000000017</v>
      </c>
      <c r="M91" s="24">
        <f t="shared" si="41"/>
        <v>0</v>
      </c>
      <c r="N91" s="24">
        <f t="shared" si="41"/>
        <v>0</v>
      </c>
      <c r="O91" s="24">
        <f t="shared" si="41"/>
        <v>0</v>
      </c>
    </row>
    <row r="92" spans="1:15" x14ac:dyDescent="0.2">
      <c r="B92" s="29" t="s">
        <v>40</v>
      </c>
      <c r="J92" s="18"/>
      <c r="K92" s="18">
        <f>K91*$O$5</f>
        <v>15</v>
      </c>
      <c r="L92" s="18">
        <f t="shared" ref="L92:O92" si="42">L91*$O$5</f>
        <v>6.7650000000000015</v>
      </c>
      <c r="M92" s="18">
        <f t="shared" si="42"/>
        <v>0</v>
      </c>
      <c r="N92" s="18">
        <f t="shared" si="42"/>
        <v>0</v>
      </c>
      <c r="O92" s="18">
        <f t="shared" si="42"/>
        <v>0</v>
      </c>
    </row>
    <row r="93" spans="1:15" x14ac:dyDescent="0.2">
      <c r="B93" s="33" t="s">
        <v>59</v>
      </c>
      <c r="C93" s="9"/>
      <c r="D93" s="9"/>
      <c r="E93" s="9"/>
      <c r="F93" s="9"/>
      <c r="G93" s="9"/>
      <c r="H93" s="9"/>
      <c r="I93" s="9"/>
      <c r="J93" s="19"/>
      <c r="K93" s="34">
        <f>MIN(K$85,K91)</f>
        <v>109.79999999999998</v>
      </c>
      <c r="L93" s="34">
        <f t="shared" ref="L93:O93" si="43">MIN(L$85,L91)</f>
        <v>90.200000000000017</v>
      </c>
      <c r="M93" s="34">
        <f t="shared" si="43"/>
        <v>0</v>
      </c>
      <c r="N93" s="34">
        <f t="shared" si="43"/>
        <v>0</v>
      </c>
      <c r="O93" s="34">
        <f t="shared" si="43"/>
        <v>0</v>
      </c>
    </row>
    <row r="94" spans="1:15" x14ac:dyDescent="0.2">
      <c r="B94" s="30" t="s">
        <v>60</v>
      </c>
      <c r="J94" s="24">
        <f>N5</f>
        <v>200</v>
      </c>
      <c r="K94" s="16">
        <f>K91-K93</f>
        <v>90.200000000000017</v>
      </c>
      <c r="L94" s="16">
        <f t="shared" ref="L94:O94" si="44">L91-L93</f>
        <v>0</v>
      </c>
      <c r="M94" s="16">
        <f t="shared" si="44"/>
        <v>0</v>
      </c>
      <c r="N94" s="16">
        <f t="shared" si="44"/>
        <v>0</v>
      </c>
      <c r="O94" s="16">
        <f t="shared" si="44"/>
        <v>0</v>
      </c>
    </row>
    <row r="95" spans="1:15" x14ac:dyDescent="0.2">
      <c r="J95" s="18"/>
      <c r="K95" s="18"/>
      <c r="L95" s="18"/>
      <c r="M95" s="18"/>
      <c r="N95" s="18"/>
      <c r="O95" s="18"/>
    </row>
    <row r="96" spans="1:15" x14ac:dyDescent="0.2">
      <c r="B96" s="6" t="s">
        <v>61</v>
      </c>
      <c r="J96" s="18"/>
      <c r="K96" s="18"/>
      <c r="L96" s="18"/>
      <c r="M96" s="18"/>
      <c r="N96" s="18"/>
      <c r="O96" s="18"/>
    </row>
    <row r="97" spans="2:15" x14ac:dyDescent="0.2">
      <c r="B97" s="29" t="s">
        <v>58</v>
      </c>
      <c r="J97" s="18"/>
      <c r="K97" s="35">
        <f>J100</f>
        <v>2500</v>
      </c>
      <c r="L97" s="35">
        <f t="shared" ref="L97:O97" si="45">K100</f>
        <v>2500</v>
      </c>
      <c r="M97" s="35">
        <f t="shared" si="45"/>
        <v>2428.1543499999998</v>
      </c>
      <c r="N97" s="35">
        <f t="shared" si="45"/>
        <v>2205.0583339674999</v>
      </c>
      <c r="O97" s="35">
        <f t="shared" si="45"/>
        <v>1909.8735619317608</v>
      </c>
    </row>
    <row r="98" spans="2:15" x14ac:dyDescent="0.2">
      <c r="B98" s="29" t="s">
        <v>40</v>
      </c>
      <c r="J98" s="18"/>
      <c r="K98" s="36">
        <f>K97*$O$6</f>
        <v>237.5</v>
      </c>
      <c r="L98" s="36">
        <f t="shared" ref="L98:O98" si="46">L97*$O$6</f>
        <v>237.5</v>
      </c>
      <c r="M98" s="36">
        <f t="shared" si="46"/>
        <v>230.67466324999998</v>
      </c>
      <c r="N98" s="36">
        <f t="shared" si="46"/>
        <v>209.48054172691249</v>
      </c>
      <c r="O98" s="36">
        <f t="shared" si="46"/>
        <v>181.43798838351728</v>
      </c>
    </row>
    <row r="99" spans="2:15" x14ac:dyDescent="0.2">
      <c r="B99" s="33" t="s">
        <v>59</v>
      </c>
      <c r="C99" s="9"/>
      <c r="D99" s="9"/>
      <c r="E99" s="9"/>
      <c r="F99" s="9"/>
      <c r="G99" s="9"/>
      <c r="H99" s="9"/>
      <c r="I99" s="9"/>
      <c r="J99" s="19"/>
      <c r="K99" s="37">
        <f>MIN(K$97,K$85-K$93)</f>
        <v>0</v>
      </c>
      <c r="L99" s="37">
        <f t="shared" ref="L99:O99" si="47">MIN(L$97,L$85-L$93)</f>
        <v>71.845649999999978</v>
      </c>
      <c r="M99" s="37">
        <f t="shared" si="47"/>
        <v>223.0960160324999</v>
      </c>
      <c r="N99" s="37">
        <f t="shared" si="47"/>
        <v>295.18477203573906</v>
      </c>
      <c r="O99" s="37">
        <f t="shared" si="47"/>
        <v>378.21832917702136</v>
      </c>
    </row>
    <row r="100" spans="2:15" x14ac:dyDescent="0.2">
      <c r="B100" s="30" t="s">
        <v>60</v>
      </c>
      <c r="J100" s="24">
        <f>N6</f>
        <v>2500</v>
      </c>
      <c r="K100" s="36">
        <f>K97-K99</f>
        <v>2500</v>
      </c>
      <c r="L100" s="36">
        <f t="shared" ref="L100:O100" si="48">L97-L99</f>
        <v>2428.1543499999998</v>
      </c>
      <c r="M100" s="36">
        <f t="shared" si="48"/>
        <v>2205.0583339674999</v>
      </c>
      <c r="N100" s="36">
        <f t="shared" si="48"/>
        <v>1909.8735619317608</v>
      </c>
      <c r="O100" s="36">
        <f t="shared" si="48"/>
        <v>1531.6552327547395</v>
      </c>
    </row>
    <row r="101" spans="2:15" x14ac:dyDescent="0.2">
      <c r="J101" s="18"/>
      <c r="K101" s="18"/>
      <c r="L101" s="18"/>
      <c r="M101" s="18"/>
      <c r="N101" s="18"/>
      <c r="O101" s="18"/>
    </row>
    <row r="102" spans="2:15" x14ac:dyDescent="0.2">
      <c r="B102" s="6" t="s">
        <v>62</v>
      </c>
      <c r="J102" s="18"/>
      <c r="K102" s="18"/>
      <c r="L102" s="18"/>
      <c r="M102" s="18"/>
      <c r="N102" s="18"/>
      <c r="O102" s="18"/>
    </row>
    <row r="103" spans="2:15" x14ac:dyDescent="0.2">
      <c r="B103" s="29" t="s">
        <v>58</v>
      </c>
      <c r="J103" s="18"/>
      <c r="K103" s="24">
        <f>J106</f>
        <v>1500</v>
      </c>
      <c r="L103" s="24">
        <f t="shared" ref="L103:O103" si="49">K106</f>
        <v>1500</v>
      </c>
      <c r="M103" s="24">
        <f t="shared" si="49"/>
        <v>1500</v>
      </c>
      <c r="N103" s="24">
        <f t="shared" si="49"/>
        <v>1500</v>
      </c>
      <c r="O103" s="24">
        <f t="shared" si="49"/>
        <v>1500</v>
      </c>
    </row>
    <row r="104" spans="2:15" x14ac:dyDescent="0.2">
      <c r="B104" s="29" t="s">
        <v>40</v>
      </c>
      <c r="J104" s="18"/>
      <c r="K104" s="18">
        <f>K103*$O$7</f>
        <v>187.5</v>
      </c>
      <c r="L104" s="18">
        <f t="shared" ref="L104:O104" si="50">L103*$O$7</f>
        <v>187.5</v>
      </c>
      <c r="M104" s="18">
        <f t="shared" si="50"/>
        <v>187.5</v>
      </c>
      <c r="N104" s="18">
        <f t="shared" si="50"/>
        <v>187.5</v>
      </c>
      <c r="O104" s="18">
        <f t="shared" si="50"/>
        <v>187.5</v>
      </c>
    </row>
    <row r="105" spans="2:15" x14ac:dyDescent="0.2">
      <c r="B105" s="33" t="s">
        <v>59</v>
      </c>
      <c r="C105" s="9"/>
      <c r="D105" s="9"/>
      <c r="E105" s="9"/>
      <c r="F105" s="9"/>
      <c r="G105" s="9"/>
      <c r="H105" s="9"/>
      <c r="I105" s="9"/>
      <c r="J105" s="19"/>
      <c r="K105" s="34">
        <f>MIN(K103,K85-K93-K99)</f>
        <v>0</v>
      </c>
      <c r="L105" s="34">
        <f t="shared" ref="L105:O105" si="51">MIN(L103,L85-L93-L99)</f>
        <v>0</v>
      </c>
      <c r="M105" s="34">
        <f t="shared" si="51"/>
        <v>0</v>
      </c>
      <c r="N105" s="34">
        <f t="shared" si="51"/>
        <v>0</v>
      </c>
      <c r="O105" s="34">
        <f t="shared" si="51"/>
        <v>0</v>
      </c>
    </row>
    <row r="106" spans="2:15" x14ac:dyDescent="0.2">
      <c r="B106" s="30" t="s">
        <v>60</v>
      </c>
      <c r="J106" s="24">
        <f>N7</f>
        <v>1500</v>
      </c>
      <c r="K106" s="16">
        <f>K103-K105</f>
        <v>1500</v>
      </c>
      <c r="L106" s="16">
        <f t="shared" ref="L106:O106" si="52">L103-L105</f>
        <v>1500</v>
      </c>
      <c r="M106" s="16">
        <f t="shared" si="52"/>
        <v>1500</v>
      </c>
      <c r="N106" s="16">
        <f t="shared" si="52"/>
        <v>1500</v>
      </c>
      <c r="O106" s="16">
        <f t="shared" si="52"/>
        <v>1500</v>
      </c>
    </row>
    <row r="107" spans="2:15" x14ac:dyDescent="0.2">
      <c r="J107" s="18"/>
      <c r="K107" s="18"/>
      <c r="L107" s="18"/>
      <c r="M107" s="18"/>
      <c r="N107" s="18"/>
      <c r="O107" s="18"/>
    </row>
    <row r="108" spans="2:15" x14ac:dyDescent="0.2">
      <c r="B108" s="6" t="s">
        <v>63</v>
      </c>
      <c r="J108" s="18"/>
      <c r="K108" s="18"/>
      <c r="L108" s="18"/>
      <c r="M108" s="18"/>
      <c r="N108" s="18"/>
      <c r="O108" s="18"/>
    </row>
    <row r="109" spans="2:15" x14ac:dyDescent="0.2">
      <c r="B109" s="29" t="s">
        <v>58</v>
      </c>
      <c r="J109" s="18"/>
      <c r="K109" s="16">
        <f>K91+K97+K103</f>
        <v>4200</v>
      </c>
      <c r="L109" s="16">
        <f t="shared" ref="L109:O109" si="53">L91+L97+L103</f>
        <v>4090.2</v>
      </c>
      <c r="M109" s="16">
        <f t="shared" si="53"/>
        <v>3928.1543499999998</v>
      </c>
      <c r="N109" s="16">
        <f t="shared" si="53"/>
        <v>3705.0583339674999</v>
      </c>
      <c r="O109" s="16">
        <f t="shared" si="53"/>
        <v>3409.8735619317608</v>
      </c>
    </row>
    <row r="110" spans="2:15" x14ac:dyDescent="0.2">
      <c r="B110" s="29" t="s">
        <v>40</v>
      </c>
      <c r="J110" s="18"/>
      <c r="K110" s="16">
        <f t="shared" ref="K110:O112" si="54">K92+K98+K104</f>
        <v>440</v>
      </c>
      <c r="L110" s="16">
        <f t="shared" si="54"/>
        <v>431.76499999999999</v>
      </c>
      <c r="M110" s="16">
        <f t="shared" si="54"/>
        <v>418.17466324999998</v>
      </c>
      <c r="N110" s="16">
        <f t="shared" si="54"/>
        <v>396.98054172691252</v>
      </c>
      <c r="O110" s="16">
        <f t="shared" si="54"/>
        <v>368.93798838351728</v>
      </c>
    </row>
    <row r="111" spans="2:15" x14ac:dyDescent="0.2">
      <c r="B111" s="38" t="s">
        <v>59</v>
      </c>
      <c r="J111" s="18"/>
      <c r="K111" s="16">
        <f t="shared" si="54"/>
        <v>109.79999999999998</v>
      </c>
      <c r="L111" s="16">
        <f t="shared" si="54"/>
        <v>162.04564999999999</v>
      </c>
      <c r="M111" s="16">
        <f t="shared" si="54"/>
        <v>223.0960160324999</v>
      </c>
      <c r="N111" s="16">
        <f t="shared" si="54"/>
        <v>295.18477203573906</v>
      </c>
      <c r="O111" s="16">
        <f t="shared" si="54"/>
        <v>378.21832917702136</v>
      </c>
    </row>
    <row r="112" spans="2:15" x14ac:dyDescent="0.2">
      <c r="B112" s="39" t="s">
        <v>60</v>
      </c>
      <c r="C112" s="1"/>
      <c r="D112" s="1"/>
      <c r="E112" s="1"/>
      <c r="F112" s="1"/>
      <c r="G112" s="1"/>
      <c r="H112" s="1"/>
      <c r="I112" s="1"/>
      <c r="J112" s="53">
        <f>J94+J100+J106</f>
        <v>4200</v>
      </c>
      <c r="K112" s="53">
        <f t="shared" si="54"/>
        <v>4090.2</v>
      </c>
      <c r="L112" s="53">
        <f t="shared" si="54"/>
        <v>3928.1543499999998</v>
      </c>
      <c r="M112" s="53">
        <f t="shared" si="54"/>
        <v>3705.0583339674999</v>
      </c>
      <c r="N112" s="53">
        <f t="shared" si="54"/>
        <v>3409.8735619317608</v>
      </c>
      <c r="O112" s="53">
        <f t="shared" si="54"/>
        <v>3031.6552327547397</v>
      </c>
    </row>
    <row r="114" spans="1:15" x14ac:dyDescent="0.2">
      <c r="A114" t="s">
        <v>12</v>
      </c>
      <c r="B114" s="4" t="s">
        <v>64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6" spans="1:15" x14ac:dyDescent="0.2">
      <c r="B116" t="s">
        <v>65</v>
      </c>
      <c r="O116" s="12">
        <f>O54</f>
        <v>1127.357</v>
      </c>
    </row>
    <row r="117" spans="1:15" x14ac:dyDescent="0.2">
      <c r="B117" t="s">
        <v>66</v>
      </c>
      <c r="O117" s="40">
        <f>I14</f>
        <v>10</v>
      </c>
    </row>
    <row r="118" spans="1:15" x14ac:dyDescent="0.2">
      <c r="B118" t="s">
        <v>14</v>
      </c>
      <c r="O118" s="13">
        <f>O116*O117</f>
        <v>11273.57</v>
      </c>
    </row>
    <row r="119" spans="1:15" x14ac:dyDescent="0.2">
      <c r="B119" t="s">
        <v>67</v>
      </c>
      <c r="O119" s="12">
        <f>O112</f>
        <v>3031.6552327547397</v>
      </c>
    </row>
    <row r="120" spans="1:15" x14ac:dyDescent="0.2">
      <c r="B120" t="s">
        <v>68</v>
      </c>
      <c r="O120" s="13">
        <f>O118-O119</f>
        <v>8241.91476724526</v>
      </c>
    </row>
    <row r="122" spans="1:15" x14ac:dyDescent="0.2">
      <c r="B122" t="s">
        <v>69</v>
      </c>
      <c r="O122" s="12">
        <f>E27</f>
        <v>2900</v>
      </c>
    </row>
    <row r="124" spans="1:15" x14ac:dyDescent="0.2">
      <c r="B124" s="41" t="s">
        <v>70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71">
        <f>O120/O122</f>
        <v>2.8420395749121585</v>
      </c>
    </row>
    <row r="125" spans="1:15" x14ac:dyDescent="0.2">
      <c r="B125" s="43" t="s">
        <v>64</v>
      </c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52">
        <f>O124^(1/5)-1</f>
        <v>0.23232717123052216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2025-09-26T18:25:15Z</dcterms:created>
  <dcterms:modified xsi:type="dcterms:W3CDTF">2025-09-29T19:42:06Z</dcterms:modified>
</cp:coreProperties>
</file>