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/Desktop/UNIFI/"/>
    </mc:Choice>
  </mc:AlternateContent>
  <xr:revisionPtr revIDLastSave="0" documentId="13_ncr:1_{1F876C65-7C0E-F244-ACD0-AEE1D81E371A}" xr6:coauthVersionLast="47" xr6:coauthVersionMax="47" xr10:uidLastSave="{00000000-0000-0000-0000-000000000000}"/>
  <bookViews>
    <workbookView xWindow="0" yWindow="500" windowWidth="28800" windowHeight="15780" xr2:uid="{FF606F33-7CD4-E14A-9DAD-1D91D41CD172}"/>
  </bookViews>
  <sheets>
    <sheet name="DCF" sheetId="2" r:id="rId1"/>
    <sheet name="Capital Structu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2" l="1"/>
  <c r="K21" i="2"/>
  <c r="K22" i="2"/>
  <c r="K23" i="2"/>
  <c r="K24" i="2"/>
  <c r="B24" i="2"/>
  <c r="B23" i="2"/>
  <c r="B22" i="2"/>
  <c r="B21" i="2"/>
  <c r="E32" i="2"/>
  <c r="F32" i="2"/>
  <c r="F34" i="2"/>
  <c r="D32" i="2"/>
  <c r="C32" i="2"/>
  <c r="B32" i="2"/>
  <c r="F11" i="2"/>
  <c r="F30" i="2"/>
  <c r="F28" i="2"/>
  <c r="C34" i="2"/>
  <c r="J7" i="1"/>
  <c r="J9" i="1" s="1"/>
  <c r="F5" i="2"/>
  <c r="G5" i="2" s="1"/>
  <c r="H5" i="2" s="1"/>
  <c r="I5" i="2" s="1"/>
  <c r="J5" i="2" s="1"/>
  <c r="K5" i="2" s="1"/>
  <c r="G32" i="2"/>
  <c r="G26" i="2"/>
  <c r="H26" i="2" s="1"/>
  <c r="I26" i="2" s="1"/>
  <c r="H32" i="2"/>
  <c r="I32" i="2" s="1"/>
  <c r="J32" i="2" s="1"/>
  <c r="K32" i="2" s="1"/>
  <c r="D5" i="2"/>
  <c r="D7" i="2" s="1"/>
  <c r="D21" i="2" s="1"/>
  <c r="E5" i="2"/>
  <c r="J8" i="1"/>
  <c r="J6" i="1"/>
  <c r="J5" i="1"/>
  <c r="F18" i="2"/>
  <c r="N10" i="2"/>
  <c r="B30" i="2"/>
  <c r="B34" i="2" s="1"/>
  <c r="B5" i="2"/>
  <c r="B7" i="2" s="1"/>
  <c r="N23" i="2"/>
  <c r="G29" i="2"/>
  <c r="H29" i="2" s="1"/>
  <c r="I29" i="2" s="1"/>
  <c r="J29" i="2" s="1"/>
  <c r="K29" i="2" s="1"/>
  <c r="N9" i="2"/>
  <c r="C5" i="2"/>
  <c r="C7" i="2" s="1"/>
  <c r="C21" i="2" s="1"/>
  <c r="F10" i="2"/>
  <c r="G10" i="2" s="1"/>
  <c r="H10" i="2" s="1"/>
  <c r="I10" i="2" s="1"/>
  <c r="J10" i="2" s="1"/>
  <c r="K10" i="2" s="1"/>
  <c r="F9" i="2"/>
  <c r="G9" i="2" s="1"/>
  <c r="H9" i="2" s="1"/>
  <c r="I9" i="2" s="1"/>
  <c r="J9" i="2" s="1"/>
  <c r="K9" i="2" s="1"/>
  <c r="F8" i="2"/>
  <c r="G8" i="2" s="1"/>
  <c r="F6" i="2"/>
  <c r="G6" i="2" s="1"/>
  <c r="G18" i="2"/>
  <c r="H18" i="2" s="1"/>
  <c r="I18" i="2" s="1"/>
  <c r="C30" i="2"/>
  <c r="D30" i="2"/>
  <c r="D37" i="2" s="1"/>
  <c r="E30" i="2"/>
  <c r="E37" i="2" s="1"/>
  <c r="D11" i="2"/>
  <c r="C11" i="2"/>
  <c r="E11" i="2"/>
  <c r="B11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E34" i="2" l="1"/>
  <c r="D34" i="2"/>
  <c r="B33" i="2"/>
  <c r="B37" i="2"/>
  <c r="N8" i="2"/>
  <c r="G28" i="2"/>
  <c r="G30" i="2" s="1"/>
  <c r="G34" i="2" s="1"/>
  <c r="C37" i="2"/>
  <c r="D33" i="2"/>
  <c r="E33" i="2"/>
  <c r="C33" i="2"/>
  <c r="J26" i="2"/>
  <c r="K26" i="2" s="1"/>
  <c r="C20" i="2"/>
  <c r="E20" i="2"/>
  <c r="D20" i="2"/>
  <c r="E7" i="2"/>
  <c r="E21" i="2" s="1"/>
  <c r="H28" i="2"/>
  <c r="F20" i="2"/>
  <c r="F37" i="2"/>
  <c r="C12" i="2"/>
  <c r="D12" i="2"/>
  <c r="H6" i="2"/>
  <c r="G11" i="2"/>
  <c r="H8" i="2"/>
  <c r="I8" i="2" s="1"/>
  <c r="J8" i="2" s="1"/>
  <c r="F7" i="2"/>
  <c r="B12" i="2"/>
  <c r="J18" i="2"/>
  <c r="C22" i="2" l="1"/>
  <c r="C36" i="2"/>
  <c r="B14" i="2"/>
  <c r="B16" i="2" s="1"/>
  <c r="B35" i="2" s="1"/>
  <c r="B36" i="2"/>
  <c r="D22" i="2"/>
  <c r="D36" i="2"/>
  <c r="F21" i="2"/>
  <c r="F12" i="2"/>
  <c r="F36" i="2" s="1"/>
  <c r="K8" i="2"/>
  <c r="K11" i="2" s="1"/>
  <c r="G37" i="2"/>
  <c r="B17" i="2"/>
  <c r="G33" i="2"/>
  <c r="F33" i="2"/>
  <c r="E12" i="2"/>
  <c r="H20" i="2"/>
  <c r="H11" i="2"/>
  <c r="I20" i="2"/>
  <c r="C14" i="2"/>
  <c r="C16" i="2" s="1"/>
  <c r="C35" i="2" s="1"/>
  <c r="G7" i="2"/>
  <c r="G21" i="2" s="1"/>
  <c r="H7" i="2"/>
  <c r="H21" i="2" s="1"/>
  <c r="G20" i="2"/>
  <c r="I28" i="2"/>
  <c r="I6" i="2"/>
  <c r="J6" i="2" s="1"/>
  <c r="K6" i="2" s="1"/>
  <c r="K7" i="2" s="1"/>
  <c r="D14" i="2"/>
  <c r="D16" i="2" s="1"/>
  <c r="D35" i="2" s="1"/>
  <c r="J11" i="2"/>
  <c r="H30" i="2"/>
  <c r="I11" i="2"/>
  <c r="K18" i="2"/>
  <c r="H37" i="2" l="1"/>
  <c r="H34" i="2"/>
  <c r="F14" i="2"/>
  <c r="E14" i="2"/>
  <c r="E36" i="2"/>
  <c r="I7" i="2"/>
  <c r="I21" i="2" s="1"/>
  <c r="K12" i="2"/>
  <c r="F22" i="2"/>
  <c r="E22" i="2"/>
  <c r="H33" i="2"/>
  <c r="D23" i="2"/>
  <c r="C23" i="2"/>
  <c r="H12" i="2"/>
  <c r="J28" i="2"/>
  <c r="G12" i="2"/>
  <c r="J7" i="2"/>
  <c r="J21" i="2" s="1"/>
  <c r="J20" i="2"/>
  <c r="E23" i="2"/>
  <c r="E16" i="2"/>
  <c r="E35" i="2" s="1"/>
  <c r="F23" i="2"/>
  <c r="F16" i="2"/>
  <c r="F35" i="2" s="1"/>
  <c r="C17" i="2"/>
  <c r="C24" i="2"/>
  <c r="I30" i="2"/>
  <c r="D17" i="2"/>
  <c r="D24" i="2"/>
  <c r="K14" i="2" l="1"/>
  <c r="K16" i="2" s="1"/>
  <c r="K36" i="2"/>
  <c r="I37" i="2"/>
  <c r="I34" i="2"/>
  <c r="H22" i="2"/>
  <c r="H36" i="2"/>
  <c r="I12" i="2"/>
  <c r="G14" i="2"/>
  <c r="G23" i="2" s="1"/>
  <c r="G36" i="2"/>
  <c r="K28" i="2"/>
  <c r="K30" i="2" s="1"/>
  <c r="F17" i="2"/>
  <c r="E24" i="2"/>
  <c r="H14" i="2"/>
  <c r="H16" i="2" s="1"/>
  <c r="H35" i="2" s="1"/>
  <c r="I33" i="2"/>
  <c r="G22" i="2"/>
  <c r="J12" i="2"/>
  <c r="F24" i="2"/>
  <c r="E17" i="2"/>
  <c r="J30" i="2"/>
  <c r="I14" i="2" l="1"/>
  <c r="I36" i="2"/>
  <c r="J37" i="2"/>
  <c r="J34" i="2"/>
  <c r="K37" i="2"/>
  <c r="K34" i="2"/>
  <c r="K33" i="2"/>
  <c r="G16" i="2"/>
  <c r="G35" i="2" s="1"/>
  <c r="I22" i="2"/>
  <c r="J14" i="2"/>
  <c r="J36" i="2"/>
  <c r="K17" i="2"/>
  <c r="K35" i="2"/>
  <c r="L30" i="2"/>
  <c r="M30" i="2" s="1"/>
  <c r="H23" i="2"/>
  <c r="H24" i="2"/>
  <c r="H17" i="2"/>
  <c r="J22" i="2"/>
  <c r="J33" i="2"/>
  <c r="J23" i="2"/>
  <c r="J16" i="2"/>
  <c r="J35" i="2" s="1"/>
  <c r="G17" i="2" l="1"/>
  <c r="G24" i="2"/>
  <c r="I23" i="2"/>
  <c r="I16" i="2"/>
  <c r="J24" i="2"/>
  <c r="J17" i="2"/>
  <c r="I35" i="2" l="1"/>
  <c r="I17" i="2"/>
  <c r="I24" i="2"/>
  <c r="N30" i="2"/>
  <c r="O30" i="2" l="1"/>
  <c r="P30" i="2" s="1"/>
  <c r="Q30" i="2" s="1"/>
  <c r="R30" i="2" s="1"/>
  <c r="S30" i="2" s="1"/>
  <c r="T30" i="2" s="1"/>
  <c r="U30" i="2" s="1"/>
  <c r="V30" i="2" l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N21" i="2" s="1"/>
  <c r="N22" i="2" s="1"/>
  <c r="N24" i="2" s="1"/>
</calcChain>
</file>

<file path=xl/sharedStrings.xml><?xml version="1.0" encoding="utf-8"?>
<sst xmlns="http://schemas.openxmlformats.org/spreadsheetml/2006/main" count="61" uniqueCount="59">
  <si>
    <t>Price</t>
  </si>
  <si>
    <t>Cash</t>
  </si>
  <si>
    <t>Debt</t>
  </si>
  <si>
    <t>EV</t>
  </si>
  <si>
    <t>Founder</t>
  </si>
  <si>
    <t>Mark Zuckerberg</t>
  </si>
  <si>
    <t>C.E.O</t>
  </si>
  <si>
    <t>C.F.O</t>
  </si>
  <si>
    <t>Susan Li</t>
  </si>
  <si>
    <t>IR</t>
  </si>
  <si>
    <t>investor@meta.com</t>
  </si>
  <si>
    <t>Class B</t>
  </si>
  <si>
    <t>Class A</t>
  </si>
  <si>
    <t>IN MILLIONS EXCEPT SHARE PRICE</t>
  </si>
  <si>
    <t>Founded</t>
  </si>
  <si>
    <t>Reality Labs</t>
  </si>
  <si>
    <t>Revenue</t>
  </si>
  <si>
    <t>Other</t>
  </si>
  <si>
    <t>COGS</t>
  </si>
  <si>
    <t>Gross Margin</t>
  </si>
  <si>
    <t>R&amp;D</t>
  </si>
  <si>
    <t>M&amp;S</t>
  </si>
  <si>
    <t>G&amp;A</t>
  </si>
  <si>
    <t>Operating Expenses</t>
  </si>
  <si>
    <t>Operating Income</t>
  </si>
  <si>
    <t>Interest Income</t>
  </si>
  <si>
    <t>Taxes</t>
  </si>
  <si>
    <t>Net Income</t>
  </si>
  <si>
    <t>EPS</t>
  </si>
  <si>
    <t>Shares</t>
  </si>
  <si>
    <t>Pretax Income</t>
  </si>
  <si>
    <t>Revenue y/y</t>
  </si>
  <si>
    <t>Operating Margin</t>
  </si>
  <si>
    <t>Tax</t>
  </si>
  <si>
    <t>Net Margin</t>
  </si>
  <si>
    <t>Revenue CAGR 20-24</t>
  </si>
  <si>
    <t>CFO</t>
  </si>
  <si>
    <t>CAPEX</t>
  </si>
  <si>
    <t>FCF</t>
  </si>
  <si>
    <t>NPV</t>
  </si>
  <si>
    <t>Upside</t>
  </si>
  <si>
    <t>CFO CAGR 20-24</t>
  </si>
  <si>
    <t>CAPEX CAGR 20-24</t>
  </si>
  <si>
    <t>Diluted S/O</t>
  </si>
  <si>
    <t>Terminal Rate</t>
  </si>
  <si>
    <t>Market Price</t>
  </si>
  <si>
    <t>IN MILLIONS (USD)</t>
  </si>
  <si>
    <t>Basic S/O</t>
  </si>
  <si>
    <t>Discount Rate</t>
  </si>
  <si>
    <t>Intrinsic Value Per Share</t>
  </si>
  <si>
    <t>FCF Yield</t>
  </si>
  <si>
    <t>ROE</t>
  </si>
  <si>
    <t>S/E</t>
  </si>
  <si>
    <t>Advertising</t>
  </si>
  <si>
    <t>FCF / Capex</t>
  </si>
  <si>
    <t>Market Cap.</t>
  </si>
  <si>
    <t>FCF / SE</t>
  </si>
  <si>
    <t>ROCE</t>
  </si>
  <si>
    <t>Capital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</si>
</sst>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F1F1F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00B050"/>
      <name val="Calibri"/>
      <family val="2"/>
      <scheme val="minor"/>
    </font>
    <font>
      <b/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3" fontId="0" fillId="0" borderId="0" xfId="0" applyNumberFormat="1"/>
    <xf numFmtId="0" fontId="2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6" fillId="0" borderId="0" xfId="0" applyFont="1"/>
    <xf numFmtId="9" fontId="4" fillId="0" borderId="0" xfId="0" applyNumberFormat="1" applyFont="1"/>
    <xf numFmtId="9" fontId="0" fillId="0" borderId="0" xfId="0" applyNumberFormat="1"/>
    <xf numFmtId="3" fontId="2" fillId="0" borderId="0" xfId="0" applyNumberFormat="1" applyFont="1"/>
    <xf numFmtId="9" fontId="0" fillId="0" borderId="0" xfId="1" applyFont="1"/>
    <xf numFmtId="9" fontId="6" fillId="0" borderId="0" xfId="1" applyFont="1"/>
    <xf numFmtId="0" fontId="2" fillId="0" borderId="0" xfId="0" applyFont="1" applyAlignment="1">
      <alignment horizontal="right"/>
    </xf>
    <xf numFmtId="4" fontId="0" fillId="0" borderId="0" xfId="0" applyNumberFormat="1"/>
    <xf numFmtId="9" fontId="0" fillId="0" borderId="0" xfId="0" applyNumberFormat="1" applyAlignment="1">
      <alignment horizontal="right"/>
    </xf>
    <xf numFmtId="1" fontId="2" fillId="0" borderId="0" xfId="0" applyNumberFormat="1" applyFont="1"/>
    <xf numFmtId="0" fontId="7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31653</xdr:colOff>
      <xdr:row>0</xdr:row>
      <xdr:rowOff>20432</xdr:rowOff>
    </xdr:from>
    <xdr:to>
      <xdr:col>11</xdr:col>
      <xdr:colOff>34954</xdr:colOff>
      <xdr:row>38</xdr:row>
      <xdr:rowOff>116514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A095792-3F64-0B11-41DA-DE97048454F9}"/>
            </a:ext>
          </a:extLst>
        </xdr:cNvPr>
        <xdr:cNvCxnSpPr/>
      </xdr:nvCxnSpPr>
      <xdr:spPr>
        <a:xfrm>
          <a:off x="9562479" y="20432"/>
          <a:ext cx="3301" cy="762287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34954</xdr:colOff>
      <xdr:row>0</xdr:row>
      <xdr:rowOff>21708</xdr:rowOff>
    </xdr:from>
    <xdr:to>
      <xdr:col>6</xdr:col>
      <xdr:colOff>42324</xdr:colOff>
      <xdr:row>38</xdr:row>
      <xdr:rowOff>128165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43101DD-A8B8-4345-9212-037081CAAD5C}"/>
            </a:ext>
          </a:extLst>
        </xdr:cNvPr>
        <xdr:cNvCxnSpPr/>
      </xdr:nvCxnSpPr>
      <xdr:spPr>
        <a:xfrm flipH="1">
          <a:off x="5429541" y="21708"/>
          <a:ext cx="7370" cy="763324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FC9B-E37B-3842-BB1F-862332E49690}">
  <dimension ref="A1:DT38"/>
  <sheetViews>
    <sheetView tabSelected="1" zoomScale="91" zoomScaleNormal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4" sqref="N24"/>
    </sheetView>
  </sheetViews>
  <sheetFormatPr baseColWidth="10" defaultRowHeight="16" x14ac:dyDescent="0.2"/>
  <cols>
    <col min="1" max="1" width="16.5" customWidth="1"/>
    <col min="12" max="12" width="16" customWidth="1"/>
    <col min="13" max="13" width="21.1640625" customWidth="1"/>
    <col min="14" max="14" width="12.33203125" customWidth="1"/>
    <col min="15" max="15" width="13.33203125" bestFit="1" customWidth="1"/>
  </cols>
  <sheetData>
    <row r="1" spans="1:124" x14ac:dyDescent="0.2">
      <c r="A1" s="3" t="s">
        <v>46</v>
      </c>
      <c r="B1" s="3">
        <v>2020</v>
      </c>
      <c r="C1" s="3">
        <f>B1+1</f>
        <v>2021</v>
      </c>
      <c r="D1" s="3">
        <f t="shared" ref="D1:BO1" si="0">C1+1</f>
        <v>2022</v>
      </c>
      <c r="E1" s="3">
        <f t="shared" si="0"/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3">
        <f t="shared" si="0"/>
        <v>2051</v>
      </c>
      <c r="AH1" s="3">
        <f t="shared" si="0"/>
        <v>2052</v>
      </c>
      <c r="AI1" s="3">
        <f t="shared" si="0"/>
        <v>2053</v>
      </c>
      <c r="AJ1" s="3">
        <f t="shared" si="0"/>
        <v>2054</v>
      </c>
      <c r="AK1" s="3">
        <f t="shared" si="0"/>
        <v>2055</v>
      </c>
      <c r="AL1" s="3">
        <f t="shared" si="0"/>
        <v>2056</v>
      </c>
      <c r="AM1" s="3">
        <f t="shared" si="0"/>
        <v>2057</v>
      </c>
      <c r="AN1" s="3">
        <f t="shared" si="0"/>
        <v>2058</v>
      </c>
      <c r="AO1" s="3">
        <f t="shared" si="0"/>
        <v>2059</v>
      </c>
      <c r="AP1" s="3">
        <f t="shared" si="0"/>
        <v>2060</v>
      </c>
      <c r="AQ1" s="3">
        <f t="shared" si="0"/>
        <v>2061</v>
      </c>
      <c r="AR1" s="3">
        <f t="shared" si="0"/>
        <v>2062</v>
      </c>
      <c r="AS1" s="3">
        <f t="shared" si="0"/>
        <v>2063</v>
      </c>
      <c r="AT1" s="3">
        <f t="shared" si="0"/>
        <v>2064</v>
      </c>
      <c r="AU1" s="3">
        <f t="shared" si="0"/>
        <v>2065</v>
      </c>
      <c r="AV1" s="3">
        <f t="shared" si="0"/>
        <v>2066</v>
      </c>
      <c r="AW1" s="3">
        <f t="shared" si="0"/>
        <v>2067</v>
      </c>
      <c r="AX1" s="3">
        <f t="shared" si="0"/>
        <v>2068</v>
      </c>
      <c r="AY1" s="3">
        <f t="shared" si="0"/>
        <v>2069</v>
      </c>
      <c r="AZ1" s="3">
        <f t="shared" si="0"/>
        <v>2070</v>
      </c>
      <c r="BA1" s="3">
        <f t="shared" si="0"/>
        <v>2071</v>
      </c>
      <c r="BB1" s="3">
        <f t="shared" si="0"/>
        <v>2072</v>
      </c>
      <c r="BC1" s="3">
        <f t="shared" si="0"/>
        <v>2073</v>
      </c>
      <c r="BD1" s="3">
        <f t="shared" si="0"/>
        <v>2074</v>
      </c>
      <c r="BE1" s="3">
        <f t="shared" si="0"/>
        <v>2075</v>
      </c>
      <c r="BF1" s="3">
        <f t="shared" si="0"/>
        <v>2076</v>
      </c>
      <c r="BG1" s="3">
        <f t="shared" si="0"/>
        <v>2077</v>
      </c>
      <c r="BH1" s="3">
        <f t="shared" si="0"/>
        <v>2078</v>
      </c>
      <c r="BI1" s="3">
        <f t="shared" si="0"/>
        <v>2079</v>
      </c>
      <c r="BJ1" s="3">
        <f t="shared" si="0"/>
        <v>2080</v>
      </c>
      <c r="BK1" s="3">
        <f t="shared" si="0"/>
        <v>2081</v>
      </c>
      <c r="BL1" s="3">
        <f t="shared" si="0"/>
        <v>2082</v>
      </c>
      <c r="BM1" s="3">
        <f t="shared" si="0"/>
        <v>2083</v>
      </c>
      <c r="BN1" s="3">
        <f t="shared" si="0"/>
        <v>2084</v>
      </c>
      <c r="BO1" s="3">
        <f t="shared" si="0"/>
        <v>2085</v>
      </c>
      <c r="BP1" s="3">
        <f t="shared" ref="BP1:DT1" si="1">BO1+1</f>
        <v>2086</v>
      </c>
      <c r="BQ1" s="3">
        <f t="shared" si="1"/>
        <v>2087</v>
      </c>
      <c r="BR1" s="3">
        <f t="shared" si="1"/>
        <v>2088</v>
      </c>
      <c r="BS1" s="3">
        <f t="shared" si="1"/>
        <v>2089</v>
      </c>
      <c r="BT1" s="3">
        <f t="shared" si="1"/>
        <v>2090</v>
      </c>
      <c r="BU1" s="3">
        <f t="shared" si="1"/>
        <v>2091</v>
      </c>
      <c r="BV1" s="3">
        <f t="shared" si="1"/>
        <v>2092</v>
      </c>
      <c r="BW1" s="3">
        <f t="shared" si="1"/>
        <v>2093</v>
      </c>
      <c r="BX1" s="3">
        <f t="shared" si="1"/>
        <v>2094</v>
      </c>
      <c r="BY1" s="3">
        <f t="shared" si="1"/>
        <v>2095</v>
      </c>
      <c r="BZ1" s="3">
        <f t="shared" si="1"/>
        <v>2096</v>
      </c>
      <c r="CA1" s="3">
        <f t="shared" si="1"/>
        <v>2097</v>
      </c>
      <c r="CB1" s="3">
        <f t="shared" si="1"/>
        <v>2098</v>
      </c>
      <c r="CC1" s="3">
        <f t="shared" si="1"/>
        <v>2099</v>
      </c>
      <c r="CD1" s="3">
        <f t="shared" si="1"/>
        <v>2100</v>
      </c>
      <c r="CE1" s="3">
        <f t="shared" si="1"/>
        <v>2101</v>
      </c>
      <c r="CF1" s="3">
        <f t="shared" si="1"/>
        <v>2102</v>
      </c>
      <c r="CG1" s="3">
        <f t="shared" si="1"/>
        <v>2103</v>
      </c>
      <c r="CH1" s="3">
        <f t="shared" si="1"/>
        <v>2104</v>
      </c>
      <c r="CI1" s="3">
        <f t="shared" si="1"/>
        <v>2105</v>
      </c>
      <c r="CJ1" s="3">
        <f t="shared" si="1"/>
        <v>2106</v>
      </c>
      <c r="CK1" s="3">
        <f t="shared" si="1"/>
        <v>2107</v>
      </c>
      <c r="CL1" s="3">
        <f t="shared" si="1"/>
        <v>2108</v>
      </c>
      <c r="CM1" s="3">
        <f t="shared" si="1"/>
        <v>2109</v>
      </c>
      <c r="CN1" s="3">
        <f t="shared" si="1"/>
        <v>2110</v>
      </c>
      <c r="CO1" s="3">
        <f t="shared" si="1"/>
        <v>2111</v>
      </c>
      <c r="CP1" s="3">
        <f t="shared" si="1"/>
        <v>2112</v>
      </c>
      <c r="CQ1" s="3">
        <f t="shared" si="1"/>
        <v>2113</v>
      </c>
      <c r="CR1" s="3">
        <f t="shared" si="1"/>
        <v>2114</v>
      </c>
      <c r="CS1" s="3">
        <f t="shared" si="1"/>
        <v>2115</v>
      </c>
      <c r="CT1" s="3">
        <f t="shared" si="1"/>
        <v>2116</v>
      </c>
      <c r="CU1" s="3">
        <f t="shared" si="1"/>
        <v>2117</v>
      </c>
      <c r="CV1" s="3">
        <f t="shared" si="1"/>
        <v>2118</v>
      </c>
      <c r="CW1" s="3">
        <f t="shared" si="1"/>
        <v>2119</v>
      </c>
      <c r="CX1" s="3">
        <f t="shared" si="1"/>
        <v>2120</v>
      </c>
      <c r="CY1" s="3">
        <f t="shared" si="1"/>
        <v>2121</v>
      </c>
      <c r="CZ1" s="3">
        <f t="shared" si="1"/>
        <v>2122</v>
      </c>
      <c r="DA1" s="3">
        <f t="shared" si="1"/>
        <v>2123</v>
      </c>
      <c r="DB1" s="3">
        <f t="shared" si="1"/>
        <v>2124</v>
      </c>
      <c r="DC1" s="3">
        <f t="shared" si="1"/>
        <v>2125</v>
      </c>
      <c r="DD1" s="3">
        <f t="shared" si="1"/>
        <v>2126</v>
      </c>
      <c r="DE1" s="3">
        <f t="shared" si="1"/>
        <v>2127</v>
      </c>
      <c r="DF1" s="3">
        <f t="shared" si="1"/>
        <v>2128</v>
      </c>
      <c r="DG1" s="3">
        <f t="shared" si="1"/>
        <v>2129</v>
      </c>
      <c r="DH1" s="3">
        <f t="shared" si="1"/>
        <v>2130</v>
      </c>
      <c r="DI1" s="3">
        <f t="shared" si="1"/>
        <v>2131</v>
      </c>
      <c r="DJ1" s="3">
        <f t="shared" si="1"/>
        <v>2132</v>
      </c>
      <c r="DK1" s="3">
        <f t="shared" si="1"/>
        <v>2133</v>
      </c>
      <c r="DL1" s="3">
        <f t="shared" si="1"/>
        <v>2134</v>
      </c>
      <c r="DM1" s="3">
        <f t="shared" si="1"/>
        <v>2135</v>
      </c>
      <c r="DN1" s="3">
        <f t="shared" si="1"/>
        <v>2136</v>
      </c>
      <c r="DO1" s="3">
        <f t="shared" si="1"/>
        <v>2137</v>
      </c>
      <c r="DP1" s="3">
        <f t="shared" si="1"/>
        <v>2138</v>
      </c>
      <c r="DQ1" s="3">
        <f t="shared" si="1"/>
        <v>2139</v>
      </c>
      <c r="DR1" s="3">
        <f t="shared" si="1"/>
        <v>2140</v>
      </c>
      <c r="DS1" s="3">
        <f t="shared" si="1"/>
        <v>2141</v>
      </c>
      <c r="DT1" s="3">
        <f t="shared" si="1"/>
        <v>2142</v>
      </c>
    </row>
    <row r="2" spans="1:124" x14ac:dyDescent="0.2">
      <c r="A2" s="5" t="s">
        <v>17</v>
      </c>
      <c r="B2" s="2">
        <v>657</v>
      </c>
      <c r="C2" s="2">
        <v>721</v>
      </c>
      <c r="D2" s="2">
        <v>808</v>
      </c>
      <c r="E2" s="2">
        <v>1058</v>
      </c>
    </row>
    <row r="3" spans="1:124" x14ac:dyDescent="0.2">
      <c r="A3" t="s">
        <v>15</v>
      </c>
      <c r="B3" s="2">
        <v>1139</v>
      </c>
      <c r="C3" s="2">
        <v>2274</v>
      </c>
      <c r="D3" s="2">
        <v>2159</v>
      </c>
      <c r="E3" s="2">
        <v>1896</v>
      </c>
      <c r="L3" s="2"/>
    </row>
    <row r="4" spans="1:124" x14ac:dyDescent="0.2">
      <c r="A4" t="s">
        <v>53</v>
      </c>
      <c r="B4" s="2">
        <v>84169</v>
      </c>
      <c r="C4" s="2">
        <v>114934</v>
      </c>
      <c r="D4" s="2">
        <v>113642</v>
      </c>
      <c r="E4" s="2">
        <v>131948</v>
      </c>
    </row>
    <row r="5" spans="1:124" x14ac:dyDescent="0.2">
      <c r="A5" s="3" t="s">
        <v>16</v>
      </c>
      <c r="B5" s="4">
        <f>B4+B3+B2</f>
        <v>85965</v>
      </c>
      <c r="C5" s="4">
        <f>C4+C3+C2</f>
        <v>117929</v>
      </c>
      <c r="D5" s="4">
        <f>D4+D3+D2</f>
        <v>116609</v>
      </c>
      <c r="E5" s="4">
        <f>E4+E3+E2</f>
        <v>134902</v>
      </c>
      <c r="F5" s="9">
        <f>116116+45000</f>
        <v>161116</v>
      </c>
      <c r="G5" s="9">
        <f>F5*1.17</f>
        <v>188505.72</v>
      </c>
      <c r="H5" s="9">
        <f t="shared" ref="H5:J5" si="2">G5*1.17</f>
        <v>220551.6924</v>
      </c>
      <c r="I5" s="9">
        <f t="shared" si="2"/>
        <v>258045.48010799999</v>
      </c>
      <c r="J5" s="9">
        <f t="shared" si="2"/>
        <v>301913.21172635996</v>
      </c>
      <c r="K5" s="9">
        <f>J5*1.17</f>
        <v>353238.45771984116</v>
      </c>
      <c r="L5" s="2"/>
    </row>
    <row r="6" spans="1:124" x14ac:dyDescent="0.2">
      <c r="A6" t="s">
        <v>18</v>
      </c>
      <c r="B6" s="2">
        <v>16692</v>
      </c>
      <c r="C6" s="2">
        <v>22649</v>
      </c>
      <c r="D6" s="2">
        <v>25249</v>
      </c>
      <c r="E6" s="2">
        <v>25959</v>
      </c>
      <c r="F6" s="2">
        <f>E6*1.1</f>
        <v>28554.9</v>
      </c>
      <c r="G6" s="2">
        <f t="shared" ref="G6:J6" si="3">F6*1.1</f>
        <v>31410.390000000003</v>
      </c>
      <c r="H6" s="2">
        <f t="shared" si="3"/>
        <v>34551.429000000004</v>
      </c>
      <c r="I6" s="2">
        <f t="shared" si="3"/>
        <v>38006.57190000001</v>
      </c>
      <c r="J6" s="2">
        <f t="shared" si="3"/>
        <v>41807.229090000015</v>
      </c>
      <c r="K6" s="2">
        <f>J6*1.1</f>
        <v>45987.951999000019</v>
      </c>
    </row>
    <row r="7" spans="1:124" x14ac:dyDescent="0.2">
      <c r="A7" t="s">
        <v>19</v>
      </c>
      <c r="B7" s="2">
        <f>+B5-B6</f>
        <v>69273</v>
      </c>
      <c r="C7" s="2">
        <f>+C5-C6</f>
        <v>95280</v>
      </c>
      <c r="D7" s="2">
        <f>+D5-D6</f>
        <v>91360</v>
      </c>
      <c r="E7" s="2">
        <f t="shared" ref="E7:J7" si="4">+E5-E6</f>
        <v>108943</v>
      </c>
      <c r="F7" s="2">
        <f t="shared" si="4"/>
        <v>132561.1</v>
      </c>
      <c r="G7" s="2">
        <f t="shared" si="4"/>
        <v>157095.32999999999</v>
      </c>
      <c r="H7" s="2">
        <f t="shared" si="4"/>
        <v>186000.2634</v>
      </c>
      <c r="I7" s="2">
        <f t="shared" si="4"/>
        <v>220038.90820799998</v>
      </c>
      <c r="J7" s="2">
        <f t="shared" si="4"/>
        <v>260105.98263635996</v>
      </c>
      <c r="K7" s="2">
        <f>+K5-K6</f>
        <v>307250.50572084112</v>
      </c>
    </row>
    <row r="8" spans="1:124" x14ac:dyDescent="0.2">
      <c r="A8" t="s">
        <v>20</v>
      </c>
      <c r="B8" s="2">
        <v>18447</v>
      </c>
      <c r="C8" s="2">
        <v>24655</v>
      </c>
      <c r="D8" s="2">
        <v>35338</v>
      </c>
      <c r="E8" s="2">
        <v>38483</v>
      </c>
      <c r="F8" s="2">
        <f>E8*1.05</f>
        <v>40407.15</v>
      </c>
      <c r="G8" s="2">
        <f t="shared" ref="G8:H10" si="5">F8*1.01</f>
        <v>40811.2215</v>
      </c>
      <c r="H8" s="2">
        <f t="shared" si="5"/>
        <v>41219.333715000001</v>
      </c>
      <c r="I8" s="2">
        <f t="shared" ref="I8:J8" si="6">H8*1.01</f>
        <v>41631.527052149999</v>
      </c>
      <c r="J8" s="2">
        <f t="shared" si="6"/>
        <v>42047.842322671502</v>
      </c>
      <c r="K8" s="2">
        <f>J8*1.01</f>
        <v>42468.320745898214</v>
      </c>
      <c r="M8" t="s">
        <v>35</v>
      </c>
      <c r="N8" s="8">
        <f>_xlfn.RRI(4,B5,F5)</f>
        <v>0.1700495419303838</v>
      </c>
    </row>
    <row r="9" spans="1:124" x14ac:dyDescent="0.2">
      <c r="A9" t="s">
        <v>21</v>
      </c>
      <c r="B9" s="2">
        <v>11591</v>
      </c>
      <c r="C9" s="2">
        <v>14043</v>
      </c>
      <c r="D9" s="2">
        <v>15262</v>
      </c>
      <c r="E9" s="2">
        <v>12301</v>
      </c>
      <c r="F9" s="2">
        <f>E9*1.05</f>
        <v>12916.050000000001</v>
      </c>
      <c r="G9" s="2">
        <f t="shared" si="5"/>
        <v>13045.210500000001</v>
      </c>
      <c r="H9" s="2">
        <f t="shared" si="5"/>
        <v>13175.662605000001</v>
      </c>
      <c r="I9" s="2">
        <f>H9*1.01</f>
        <v>13307.419231050002</v>
      </c>
      <c r="J9" s="2">
        <f t="shared" ref="J9" si="7">I9*1.01</f>
        <v>13440.493423360502</v>
      </c>
      <c r="K9" s="2">
        <f>J9*1.01</f>
        <v>13574.898357594107</v>
      </c>
      <c r="M9" t="s">
        <v>41</v>
      </c>
      <c r="N9" s="10">
        <f>_xlfn.RRI(4,B28,F28)</f>
        <v>0.21505027955795497</v>
      </c>
    </row>
    <row r="10" spans="1:124" x14ac:dyDescent="0.2">
      <c r="A10" t="s">
        <v>22</v>
      </c>
      <c r="B10" s="2">
        <v>6564</v>
      </c>
      <c r="C10" s="2">
        <v>9829</v>
      </c>
      <c r="D10" s="2">
        <v>11816</v>
      </c>
      <c r="E10" s="2">
        <v>11408</v>
      </c>
      <c r="F10" s="2">
        <f>E10*1.05</f>
        <v>11978.4</v>
      </c>
      <c r="G10" s="2">
        <f t="shared" si="5"/>
        <v>12098.183999999999</v>
      </c>
      <c r="H10" s="2">
        <f t="shared" si="5"/>
        <v>12219.16584</v>
      </c>
      <c r="I10" s="2">
        <f t="shared" ref="I10" si="8">H10*1.01</f>
        <v>12341.357498400001</v>
      </c>
      <c r="J10" s="2">
        <f>I10*1.01</f>
        <v>12464.771073384001</v>
      </c>
      <c r="K10" s="2">
        <f>J10*1.01</f>
        <v>12589.418784117841</v>
      </c>
      <c r="M10" t="s">
        <v>42</v>
      </c>
      <c r="N10" s="10">
        <f>_xlfn.RRI(4,B29,F29)</f>
        <v>0.10773263266234334</v>
      </c>
    </row>
    <row r="11" spans="1:124" x14ac:dyDescent="0.2">
      <c r="A11" t="s">
        <v>23</v>
      </c>
      <c r="B11" s="2">
        <f>SUM(B8:B10)</f>
        <v>36602</v>
      </c>
      <c r="C11" s="2">
        <f>SUM(C8:C10)</f>
        <v>48527</v>
      </c>
      <c r="D11" s="2">
        <f>SUM(D8:D10)</f>
        <v>62416</v>
      </c>
      <c r="E11" s="2">
        <f t="shared" ref="E11:I11" si="9">SUM(E8:E10)</f>
        <v>62192</v>
      </c>
      <c r="F11" s="2">
        <f>SUM(F8:F10)</f>
        <v>65301.600000000006</v>
      </c>
      <c r="G11" s="2">
        <f>SUM(G8:G10)</f>
        <v>65954.615999999995</v>
      </c>
      <c r="H11" s="2">
        <f t="shared" si="9"/>
        <v>66614.162160000007</v>
      </c>
      <c r="I11" s="2">
        <f t="shared" si="9"/>
        <v>67280.3037816</v>
      </c>
      <c r="J11" s="2">
        <f>SUM(J8:J10)</f>
        <v>67953.106819416003</v>
      </c>
      <c r="K11" s="2">
        <f>SUM(K8:K10)</f>
        <v>68632.637887610166</v>
      </c>
    </row>
    <row r="12" spans="1:124" x14ac:dyDescent="0.2">
      <c r="A12" t="s">
        <v>24</v>
      </c>
      <c r="B12" s="2">
        <f>B7-B11</f>
        <v>32671</v>
      </c>
      <c r="C12" s="2">
        <f>C7-C11</f>
        <v>46753</v>
      </c>
      <c r="D12" s="2">
        <f>D7-D11</f>
        <v>28944</v>
      </c>
      <c r="E12" s="2">
        <f t="shared" ref="E12:I12" si="10">E7-E11</f>
        <v>46751</v>
      </c>
      <c r="F12" s="2">
        <f>F7-F11</f>
        <v>67259.5</v>
      </c>
      <c r="G12" s="2">
        <f>G7-G11</f>
        <v>91140.713999999993</v>
      </c>
      <c r="H12" s="2">
        <f t="shared" si="10"/>
        <v>119386.10123999999</v>
      </c>
      <c r="I12" s="2">
        <f t="shared" si="10"/>
        <v>152758.60442639998</v>
      </c>
      <c r="J12" s="2">
        <f>J7-J11</f>
        <v>192152.87581694394</v>
      </c>
      <c r="K12" s="2">
        <f>K7-K11</f>
        <v>238617.86783323094</v>
      </c>
    </row>
    <row r="13" spans="1:124" x14ac:dyDescent="0.2">
      <c r="A13" t="s">
        <v>25</v>
      </c>
      <c r="B13" s="2">
        <v>509</v>
      </c>
      <c r="C13" s="2">
        <v>531</v>
      </c>
      <c r="D13" s="2">
        <v>-125</v>
      </c>
      <c r="E13" s="2">
        <v>677</v>
      </c>
      <c r="F13" s="2">
        <v>677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24" x14ac:dyDescent="0.2">
      <c r="A14" t="s">
        <v>30</v>
      </c>
      <c r="B14" s="2">
        <f>+B12+B13</f>
        <v>33180</v>
      </c>
      <c r="C14" s="2">
        <f>+C12+C13</f>
        <v>47284</v>
      </c>
      <c r="D14" s="2">
        <f t="shared" ref="D14:J14" si="11">+D12+D13</f>
        <v>28819</v>
      </c>
      <c r="E14" s="2">
        <f>+E12+E13</f>
        <v>47428</v>
      </c>
      <c r="F14" s="2">
        <f>+F12+F13</f>
        <v>67936.5</v>
      </c>
      <c r="G14" s="2">
        <f>+G12+G13</f>
        <v>91140.713999999993</v>
      </c>
      <c r="H14" s="2">
        <f t="shared" si="11"/>
        <v>119386.10123999999</v>
      </c>
      <c r="I14" s="2">
        <f>+I12+I13</f>
        <v>152758.60442639998</v>
      </c>
      <c r="J14" s="2">
        <f t="shared" si="11"/>
        <v>192152.87581694394</v>
      </c>
      <c r="K14" s="2">
        <f>+K12+K13</f>
        <v>238617.86783323094</v>
      </c>
    </row>
    <row r="15" spans="1:124" x14ac:dyDescent="0.2">
      <c r="A15" t="s">
        <v>26</v>
      </c>
      <c r="B15" s="2">
        <v>4034</v>
      </c>
      <c r="C15" s="2">
        <v>7914</v>
      </c>
      <c r="D15" s="2">
        <v>5619</v>
      </c>
      <c r="E15" s="2">
        <v>8330</v>
      </c>
      <c r="F15" s="2">
        <v>8330</v>
      </c>
      <c r="G15" s="2">
        <v>8330</v>
      </c>
      <c r="H15" s="2">
        <v>8330</v>
      </c>
      <c r="I15" s="2">
        <v>8330</v>
      </c>
      <c r="J15" s="2">
        <v>8330</v>
      </c>
      <c r="K15" s="2">
        <v>8330</v>
      </c>
    </row>
    <row r="16" spans="1:124" x14ac:dyDescent="0.2">
      <c r="A16" s="3" t="s">
        <v>27</v>
      </c>
      <c r="B16" s="9">
        <f>+B14-B15</f>
        <v>29146</v>
      </c>
      <c r="C16" s="9">
        <f t="shared" ref="C16:J16" si="12">+C14-C15</f>
        <v>39370</v>
      </c>
      <c r="D16" s="9">
        <f t="shared" si="12"/>
        <v>23200</v>
      </c>
      <c r="E16" s="9">
        <f>+E14-E15</f>
        <v>39098</v>
      </c>
      <c r="F16" s="9">
        <f>+F14-F15</f>
        <v>59606.5</v>
      </c>
      <c r="G16" s="9">
        <f t="shared" si="12"/>
        <v>82810.713999999993</v>
      </c>
      <c r="H16" s="9">
        <f t="shared" si="12"/>
        <v>111056.10123999999</v>
      </c>
      <c r="I16" s="9">
        <f t="shared" si="12"/>
        <v>144428.60442639998</v>
      </c>
      <c r="J16" s="9">
        <f t="shared" si="12"/>
        <v>183822.87581694394</v>
      </c>
      <c r="K16" s="9">
        <f>+K14-K15</f>
        <v>230287.86783323094</v>
      </c>
    </row>
    <row r="17" spans="1:124" x14ac:dyDescent="0.2">
      <c r="A17" t="s">
        <v>28</v>
      </c>
      <c r="B17" s="13">
        <f t="shared" ref="B17:K17" si="13">+B16/B18</f>
        <v>10.092105263157896</v>
      </c>
      <c r="C17" s="13">
        <f t="shared" si="13"/>
        <v>13.770549143057012</v>
      </c>
      <c r="D17" s="13">
        <f t="shared" si="13"/>
        <v>8.5862324204293117</v>
      </c>
      <c r="E17" s="13">
        <f t="shared" si="13"/>
        <v>14.871814378090528</v>
      </c>
      <c r="F17" s="13">
        <f t="shared" si="13"/>
        <v>22.794072657743786</v>
      </c>
      <c r="G17" s="13">
        <f t="shared" si="13"/>
        <v>31.667577055449328</v>
      </c>
      <c r="H17" s="13">
        <f t="shared" si="13"/>
        <v>42.468872367112809</v>
      </c>
      <c r="I17" s="13">
        <f t="shared" si="13"/>
        <v>55.230823872428289</v>
      </c>
      <c r="J17" s="13">
        <f t="shared" si="13"/>
        <v>70.295554805714701</v>
      </c>
      <c r="K17" s="13">
        <f t="shared" si="13"/>
        <v>88.064194200088309</v>
      </c>
    </row>
    <row r="18" spans="1:124" x14ac:dyDescent="0.2">
      <c r="A18" t="s">
        <v>29</v>
      </c>
      <c r="B18" s="2">
        <v>2888</v>
      </c>
      <c r="C18" s="2">
        <v>2859</v>
      </c>
      <c r="D18" s="2">
        <v>2702</v>
      </c>
      <c r="E18" s="2">
        <v>2629</v>
      </c>
      <c r="F18" s="2">
        <f>'Capital Structure'!L5</f>
        <v>2615</v>
      </c>
      <c r="G18" s="2">
        <f>'Capital Structure'!L5</f>
        <v>2615</v>
      </c>
      <c r="H18" s="2">
        <f t="shared" ref="H18:K18" si="14">G18</f>
        <v>2615</v>
      </c>
      <c r="I18" s="2">
        <f t="shared" si="14"/>
        <v>2615</v>
      </c>
      <c r="J18" s="2">
        <f t="shared" si="14"/>
        <v>2615</v>
      </c>
      <c r="K18" s="2">
        <f t="shared" si="14"/>
        <v>2615</v>
      </c>
    </row>
    <row r="19" spans="1:124" x14ac:dyDescent="0.2">
      <c r="M19" t="s">
        <v>44</v>
      </c>
      <c r="N19" s="8">
        <v>0.01</v>
      </c>
    </row>
    <row r="20" spans="1:124" x14ac:dyDescent="0.2">
      <c r="A20" t="s">
        <v>31</v>
      </c>
      <c r="C20" s="7">
        <f t="shared" ref="C20:J20" si="15">+C5/B5-1</f>
        <v>0.37182574303495608</v>
      </c>
      <c r="D20" s="7">
        <f t="shared" si="15"/>
        <v>-1.1193175554782941E-2</v>
      </c>
      <c r="E20" s="7">
        <f t="shared" si="15"/>
        <v>0.15687468377226454</v>
      </c>
      <c r="F20" s="7">
        <f t="shared" si="15"/>
        <v>0.19431883886080259</v>
      </c>
      <c r="G20" s="7">
        <f t="shared" si="15"/>
        <v>0.16999999999999993</v>
      </c>
      <c r="H20" s="7">
        <f t="shared" si="15"/>
        <v>0.16999999999999993</v>
      </c>
      <c r="I20" s="7">
        <f t="shared" si="15"/>
        <v>0.16999999999999993</v>
      </c>
      <c r="J20" s="7">
        <f t="shared" si="15"/>
        <v>0.16999999999999993</v>
      </c>
      <c r="K20" s="7">
        <f>+K5/J5-1</f>
        <v>0.16999999999999993</v>
      </c>
      <c r="M20" t="s">
        <v>48</v>
      </c>
      <c r="N20" s="8">
        <v>0.1</v>
      </c>
    </row>
    <row r="21" spans="1:124" x14ac:dyDescent="0.2">
      <c r="A21" t="s">
        <v>19</v>
      </c>
      <c r="B21" s="8">
        <f>B7/B5</f>
        <v>0.80582795323678236</v>
      </c>
      <c r="C21" s="8">
        <f t="shared" ref="C21:J21" si="16">C7/C5</f>
        <v>0.80794376277251567</v>
      </c>
      <c r="D21" s="8">
        <f t="shared" si="16"/>
        <v>0.78347297378418479</v>
      </c>
      <c r="E21" s="8">
        <f t="shared" si="16"/>
        <v>0.8075714222176098</v>
      </c>
      <c r="F21" s="8">
        <f t="shared" si="16"/>
        <v>0.82276806772760003</v>
      </c>
      <c r="G21" s="8">
        <f t="shared" si="16"/>
        <v>0.8333716876071452</v>
      </c>
      <c r="H21" s="8">
        <f t="shared" si="16"/>
        <v>0.8433409028785126</v>
      </c>
      <c r="I21" s="8">
        <f t="shared" si="16"/>
        <v>0.85271366937296056</v>
      </c>
      <c r="J21" s="8">
        <f t="shared" si="16"/>
        <v>0.86152567206004838</v>
      </c>
      <c r="K21" s="8">
        <f>K7/K5</f>
        <v>0.86981046091115655</v>
      </c>
      <c r="M21" t="s">
        <v>39</v>
      </c>
      <c r="N21" s="2">
        <f>NPV($N20,G30:DT30)</f>
        <v>1787298.8606307718</v>
      </c>
    </row>
    <row r="22" spans="1:124" x14ac:dyDescent="0.2">
      <c r="A22" t="s">
        <v>32</v>
      </c>
      <c r="B22" s="14">
        <f>B12/B5</f>
        <v>0.3800500203571221</v>
      </c>
      <c r="C22" s="14">
        <f t="shared" ref="C22:J22" si="17">C12/C5</f>
        <v>0.39645040660058173</v>
      </c>
      <c r="D22" s="14">
        <f t="shared" si="17"/>
        <v>0.24821411726367604</v>
      </c>
      <c r="E22" s="14">
        <f t="shared" si="17"/>
        <v>0.34655527716416362</v>
      </c>
      <c r="F22" s="14">
        <f t="shared" si="17"/>
        <v>0.41746009086620822</v>
      </c>
      <c r="G22" s="14">
        <f t="shared" si="17"/>
        <v>0.48349044262423441</v>
      </c>
      <c r="H22" s="14">
        <f t="shared" si="17"/>
        <v>0.54130666575651265</v>
      </c>
      <c r="I22" s="14">
        <f t="shared" si="17"/>
        <v>0.59198325954969566</v>
      </c>
      <c r="J22" s="14">
        <f t="shared" si="17"/>
        <v>0.63645070289637518</v>
      </c>
      <c r="K22" s="14">
        <f>K12/K5</f>
        <v>0.67551497471003685</v>
      </c>
      <c r="M22" s="3" t="s">
        <v>49</v>
      </c>
      <c r="N22" s="15">
        <f>(N21+'Capital Structure'!J7-'Capital Structure'!J8)/'Capital Structure'!L5</f>
        <v>701.88904804236017</v>
      </c>
    </row>
    <row r="23" spans="1:124" x14ac:dyDescent="0.2">
      <c r="A23" t="s">
        <v>33</v>
      </c>
      <c r="B23" s="8">
        <f>B15/B14</f>
        <v>0.12157926461723931</v>
      </c>
      <c r="C23" s="8">
        <f t="shared" ref="C23:J23" si="18">C15/C14</f>
        <v>0.16737162676592504</v>
      </c>
      <c r="D23" s="8">
        <f t="shared" si="18"/>
        <v>0.19497553697213643</v>
      </c>
      <c r="E23" s="8">
        <f t="shared" si="18"/>
        <v>0.17563464620055663</v>
      </c>
      <c r="F23" s="8">
        <f t="shared" si="18"/>
        <v>0.12261450030543228</v>
      </c>
      <c r="G23" s="8">
        <f t="shared" si="18"/>
        <v>9.1397133447956094E-2</v>
      </c>
      <c r="H23" s="8">
        <f t="shared" si="18"/>
        <v>6.9773616136892966E-2</v>
      </c>
      <c r="I23" s="8">
        <f t="shared" si="18"/>
        <v>5.4530479846151281E-2</v>
      </c>
      <c r="J23" s="8">
        <f t="shared" si="18"/>
        <v>4.3350899457448897E-2</v>
      </c>
      <c r="K23" s="8">
        <f>K15/K14</f>
        <v>3.4909372360253439E-2</v>
      </c>
      <c r="M23" t="s">
        <v>45</v>
      </c>
      <c r="N23">
        <f>'Capital Structure'!J4</f>
        <v>572.42999999999995</v>
      </c>
    </row>
    <row r="24" spans="1:124" x14ac:dyDescent="0.2">
      <c r="A24" t="s">
        <v>34</v>
      </c>
      <c r="B24" s="8">
        <f>B16/B5</f>
        <v>0.3390449601582039</v>
      </c>
      <c r="C24" s="8">
        <f t="shared" ref="C24:J24" si="19">C16/C5</f>
        <v>0.33384494059985248</v>
      </c>
      <c r="D24" s="8">
        <f t="shared" si="19"/>
        <v>0.19895548371051977</v>
      </c>
      <c r="E24" s="8">
        <f t="shared" si="19"/>
        <v>0.28982520644616094</v>
      </c>
      <c r="F24" s="8">
        <f t="shared" si="19"/>
        <v>0.36996015293329032</v>
      </c>
      <c r="G24" s="8">
        <f t="shared" si="19"/>
        <v>0.43930080211889588</v>
      </c>
      <c r="H24" s="8">
        <f t="shared" si="19"/>
        <v>0.50353774224767633</v>
      </c>
      <c r="I24" s="8">
        <f t="shared" si="19"/>
        <v>0.55970212834556199</v>
      </c>
      <c r="J24" s="8">
        <f t="shared" si="19"/>
        <v>0.60885999246549172</v>
      </c>
      <c r="K24" s="8">
        <f>K16/K5</f>
        <v>0.65193317092295699</v>
      </c>
      <c r="M24" s="3" t="s">
        <v>40</v>
      </c>
      <c r="N24" s="11">
        <f>N22/N23-1</f>
        <v>0.22615699394224653</v>
      </c>
    </row>
    <row r="26" spans="1:124" x14ac:dyDescent="0.2">
      <c r="A26" t="s">
        <v>52</v>
      </c>
      <c r="B26" s="2">
        <v>128290</v>
      </c>
      <c r="C26" s="2">
        <v>124879</v>
      </c>
      <c r="D26" s="2">
        <v>125713</v>
      </c>
      <c r="E26" s="2">
        <v>153168</v>
      </c>
      <c r="F26" s="2">
        <v>164529</v>
      </c>
      <c r="G26" s="2">
        <f>F26*1.05</f>
        <v>172755.45</v>
      </c>
      <c r="H26" s="2">
        <f>G26*1.05</f>
        <v>181393.22250000003</v>
      </c>
      <c r="I26" s="2">
        <f t="shared" ref="I26:J26" si="20">H26*1.05</f>
        <v>190462.88362500005</v>
      </c>
      <c r="J26" s="2">
        <f t="shared" si="20"/>
        <v>199986.02780625006</v>
      </c>
      <c r="K26" s="2">
        <f>J26*1.05</f>
        <v>209985.32919656258</v>
      </c>
    </row>
    <row r="28" spans="1:124" x14ac:dyDescent="0.2">
      <c r="A28" s="3" t="s">
        <v>36</v>
      </c>
      <c r="B28" s="2">
        <v>38747</v>
      </c>
      <c r="C28" s="2">
        <v>57683</v>
      </c>
      <c r="D28" s="2">
        <v>50475</v>
      </c>
      <c r="E28" s="2">
        <v>71113</v>
      </c>
      <c r="F28" s="2">
        <f>63340+21113</f>
        <v>84453</v>
      </c>
      <c r="G28" s="2">
        <f>F28*1.22</f>
        <v>103032.66</v>
      </c>
      <c r="H28" s="2">
        <f t="shared" ref="H28:J28" si="21">G28*1.22</f>
        <v>125699.8452</v>
      </c>
      <c r="I28" s="2">
        <f t="shared" si="21"/>
        <v>153353.81114399998</v>
      </c>
      <c r="J28" s="2">
        <f t="shared" si="21"/>
        <v>187091.64959567998</v>
      </c>
      <c r="K28" s="2">
        <f>J28*1.22</f>
        <v>228251.81250672956</v>
      </c>
    </row>
    <row r="29" spans="1:124" x14ac:dyDescent="0.2">
      <c r="A29" s="3" t="s">
        <v>37</v>
      </c>
      <c r="B29" s="2">
        <v>15163</v>
      </c>
      <c r="C29" s="2">
        <v>18690</v>
      </c>
      <c r="D29" s="2">
        <v>31431</v>
      </c>
      <c r="E29" s="2">
        <v>27266</v>
      </c>
      <c r="F29" s="2">
        <v>22831</v>
      </c>
      <c r="G29" s="2">
        <f>F29*1.11</f>
        <v>25342.410000000003</v>
      </c>
      <c r="H29" s="2">
        <f>G29*1.11</f>
        <v>28130.075100000005</v>
      </c>
      <c r="I29" s="2">
        <f>H29*1.11</f>
        <v>31224.383361000007</v>
      </c>
      <c r="J29" s="2">
        <f t="shared" ref="J29" si="22">I29*1.11</f>
        <v>34659.06553071001</v>
      </c>
      <c r="K29" s="2">
        <f>J29*1.11</f>
        <v>38471.562739088113</v>
      </c>
      <c r="L29" s="12"/>
    </row>
    <row r="30" spans="1:124" x14ac:dyDescent="0.2">
      <c r="A30" s="6" t="s">
        <v>38</v>
      </c>
      <c r="B30" s="9">
        <f>B28-B29</f>
        <v>23584</v>
      </c>
      <c r="C30" s="9">
        <f t="shared" ref="C30:J30" si="23">C28-C29</f>
        <v>38993</v>
      </c>
      <c r="D30" s="9">
        <f t="shared" si="23"/>
        <v>19044</v>
      </c>
      <c r="E30" s="9">
        <f t="shared" si="23"/>
        <v>43847</v>
      </c>
      <c r="F30" s="9">
        <f>F28-F29</f>
        <v>61622</v>
      </c>
      <c r="G30" s="9">
        <f>G28-G29</f>
        <v>77690.25</v>
      </c>
      <c r="H30" s="9">
        <f t="shared" si="23"/>
        <v>97569.770099999994</v>
      </c>
      <c r="I30" s="9">
        <f t="shared" si="23"/>
        <v>122129.42778299996</v>
      </c>
      <c r="J30" s="9">
        <f t="shared" si="23"/>
        <v>152432.58406496997</v>
      </c>
      <c r="K30" s="9">
        <f>K28-K29</f>
        <v>189780.24976764145</v>
      </c>
      <c r="L30" s="9">
        <f t="shared" ref="L30:AQ30" si="24">K30*(1+$N19)</f>
        <v>191678.05226531788</v>
      </c>
      <c r="M30" s="9">
        <f t="shared" si="24"/>
        <v>193594.83278797107</v>
      </c>
      <c r="N30" s="9">
        <f t="shared" si="24"/>
        <v>195530.78111585078</v>
      </c>
      <c r="O30" s="9">
        <f t="shared" si="24"/>
        <v>197486.08892700929</v>
      </c>
      <c r="P30" s="9">
        <f t="shared" si="24"/>
        <v>199460.94981627938</v>
      </c>
      <c r="Q30" s="9">
        <f t="shared" si="24"/>
        <v>201455.55931444216</v>
      </c>
      <c r="R30" s="9">
        <f t="shared" si="24"/>
        <v>203470.11490758657</v>
      </c>
      <c r="S30" s="9">
        <f t="shared" si="24"/>
        <v>205504.81605666244</v>
      </c>
      <c r="T30" s="9">
        <f t="shared" si="24"/>
        <v>207559.86421722907</v>
      </c>
      <c r="U30" s="9">
        <f t="shared" si="24"/>
        <v>209635.46285940136</v>
      </c>
      <c r="V30" s="9">
        <f t="shared" si="24"/>
        <v>211731.81748799537</v>
      </c>
      <c r="W30" s="9">
        <f t="shared" si="24"/>
        <v>213849.13566287534</v>
      </c>
      <c r="X30" s="9">
        <f t="shared" si="24"/>
        <v>215987.62701950409</v>
      </c>
      <c r="Y30" s="9">
        <f t="shared" si="24"/>
        <v>218147.50328969912</v>
      </c>
      <c r="Z30" s="9">
        <f t="shared" si="24"/>
        <v>220328.97832259611</v>
      </c>
      <c r="AA30" s="9">
        <f t="shared" si="24"/>
        <v>222532.26810582209</v>
      </c>
      <c r="AB30" s="9">
        <f t="shared" si="24"/>
        <v>224757.59078688032</v>
      </c>
      <c r="AC30" s="9">
        <f t="shared" si="24"/>
        <v>227005.16669474912</v>
      </c>
      <c r="AD30" s="9">
        <f t="shared" si="24"/>
        <v>229275.21836169661</v>
      </c>
      <c r="AE30" s="9">
        <f t="shared" si="24"/>
        <v>231567.97054531358</v>
      </c>
      <c r="AF30" s="9">
        <f t="shared" si="24"/>
        <v>233883.65025076672</v>
      </c>
      <c r="AG30" s="9">
        <f t="shared" si="24"/>
        <v>236222.4867532744</v>
      </c>
      <c r="AH30" s="9">
        <f t="shared" si="24"/>
        <v>238584.71162080715</v>
      </c>
      <c r="AI30" s="9">
        <f t="shared" si="24"/>
        <v>240970.55873701524</v>
      </c>
      <c r="AJ30" s="9">
        <f t="shared" si="24"/>
        <v>243380.26432438538</v>
      </c>
      <c r="AK30" s="9">
        <f t="shared" si="24"/>
        <v>245814.06696762925</v>
      </c>
      <c r="AL30" s="9">
        <f t="shared" si="24"/>
        <v>248272.20763730555</v>
      </c>
      <c r="AM30" s="9">
        <f t="shared" si="24"/>
        <v>250754.9297136786</v>
      </c>
      <c r="AN30" s="9">
        <f t="shared" si="24"/>
        <v>253262.47901081538</v>
      </c>
      <c r="AO30" s="9">
        <f t="shared" si="24"/>
        <v>255795.10380092353</v>
      </c>
      <c r="AP30" s="9">
        <f t="shared" si="24"/>
        <v>258353.05483893276</v>
      </c>
      <c r="AQ30" s="9">
        <f t="shared" si="24"/>
        <v>260936.58538732209</v>
      </c>
      <c r="AR30" s="9">
        <f t="shared" ref="AR30:BW30" si="25">AQ30*(1+$N19)</f>
        <v>263545.95124119532</v>
      </c>
      <c r="AS30" s="9">
        <f t="shared" si="25"/>
        <v>266181.41075360728</v>
      </c>
      <c r="AT30" s="9">
        <f t="shared" si="25"/>
        <v>268843.22486114333</v>
      </c>
      <c r="AU30" s="9">
        <f t="shared" si="25"/>
        <v>271531.65710975474</v>
      </c>
      <c r="AV30" s="9">
        <f t="shared" si="25"/>
        <v>274246.97368085227</v>
      </c>
      <c r="AW30" s="9">
        <f t="shared" si="25"/>
        <v>276989.44341766078</v>
      </c>
      <c r="AX30" s="9">
        <f t="shared" si="25"/>
        <v>279759.33785183739</v>
      </c>
      <c r="AY30" s="9">
        <f t="shared" si="25"/>
        <v>282556.93123035575</v>
      </c>
      <c r="AZ30" s="9">
        <f t="shared" si="25"/>
        <v>285382.50054265931</v>
      </c>
      <c r="BA30" s="9">
        <f t="shared" si="25"/>
        <v>288236.32554808591</v>
      </c>
      <c r="BB30" s="9">
        <f t="shared" si="25"/>
        <v>291118.68880356679</v>
      </c>
      <c r="BC30" s="9">
        <f t="shared" si="25"/>
        <v>294029.87569160247</v>
      </c>
      <c r="BD30" s="9">
        <f t="shared" si="25"/>
        <v>296970.17444851849</v>
      </c>
      <c r="BE30" s="9">
        <f t="shared" si="25"/>
        <v>299939.87619300367</v>
      </c>
      <c r="BF30" s="9">
        <f t="shared" si="25"/>
        <v>302939.27495493373</v>
      </c>
      <c r="BG30" s="9">
        <f t="shared" si="25"/>
        <v>305968.66770448309</v>
      </c>
      <c r="BH30" s="9">
        <f t="shared" si="25"/>
        <v>309028.35438152793</v>
      </c>
      <c r="BI30" s="9">
        <f t="shared" si="25"/>
        <v>312118.63792534318</v>
      </c>
      <c r="BJ30" s="9">
        <f t="shared" si="25"/>
        <v>315239.82430459664</v>
      </c>
      <c r="BK30" s="9">
        <f t="shared" si="25"/>
        <v>318392.2225476426</v>
      </c>
      <c r="BL30" s="9">
        <f t="shared" si="25"/>
        <v>321576.14477311901</v>
      </c>
      <c r="BM30" s="9">
        <f t="shared" si="25"/>
        <v>324791.90622085019</v>
      </c>
      <c r="BN30" s="9">
        <f t="shared" si="25"/>
        <v>328039.82528305869</v>
      </c>
      <c r="BO30" s="9">
        <f t="shared" si="25"/>
        <v>331320.22353588929</v>
      </c>
      <c r="BP30" s="9">
        <f t="shared" si="25"/>
        <v>334633.42577124818</v>
      </c>
      <c r="BQ30" s="9">
        <f t="shared" si="25"/>
        <v>337979.76002896065</v>
      </c>
      <c r="BR30" s="9">
        <f t="shared" si="25"/>
        <v>341359.55762925028</v>
      </c>
      <c r="BS30" s="9">
        <f t="shared" si="25"/>
        <v>344773.15320554277</v>
      </c>
      <c r="BT30" s="9">
        <f t="shared" si="25"/>
        <v>348220.88473759819</v>
      </c>
      <c r="BU30" s="9">
        <f t="shared" si="25"/>
        <v>351703.09358497418</v>
      </c>
      <c r="BV30" s="9">
        <f t="shared" si="25"/>
        <v>355220.12452082394</v>
      </c>
      <c r="BW30" s="9">
        <f t="shared" si="25"/>
        <v>358772.32576603221</v>
      </c>
      <c r="BX30" s="9">
        <f t="shared" ref="BX30:DC30" si="26">BW30*(1+$N19)</f>
        <v>362360.04902369255</v>
      </c>
      <c r="BY30" s="9">
        <f t="shared" si="26"/>
        <v>365983.6495139295</v>
      </c>
      <c r="BZ30" s="9">
        <f t="shared" si="26"/>
        <v>369643.48600906879</v>
      </c>
      <c r="CA30" s="9">
        <f t="shared" si="26"/>
        <v>373339.92086915945</v>
      </c>
      <c r="CB30" s="9">
        <f t="shared" si="26"/>
        <v>377073.32007785107</v>
      </c>
      <c r="CC30" s="9">
        <f t="shared" si="26"/>
        <v>380844.05327862955</v>
      </c>
      <c r="CD30" s="9">
        <f t="shared" si="26"/>
        <v>384652.49381141586</v>
      </c>
      <c r="CE30" s="9">
        <f t="shared" si="26"/>
        <v>388499.01874953002</v>
      </c>
      <c r="CF30" s="9">
        <f t="shared" si="26"/>
        <v>392384.00893702533</v>
      </c>
      <c r="CG30" s="9">
        <f t="shared" si="26"/>
        <v>396307.84902639559</v>
      </c>
      <c r="CH30" s="9">
        <f t="shared" si="26"/>
        <v>400270.92751665955</v>
      </c>
      <c r="CI30" s="9">
        <f t="shared" si="26"/>
        <v>404273.63679182617</v>
      </c>
      <c r="CJ30" s="9">
        <f t="shared" si="26"/>
        <v>408316.37315974443</v>
      </c>
      <c r="CK30" s="9">
        <f t="shared" si="26"/>
        <v>412399.53689134185</v>
      </c>
      <c r="CL30" s="9">
        <f t="shared" si="26"/>
        <v>416523.53226025525</v>
      </c>
      <c r="CM30" s="9">
        <f t="shared" si="26"/>
        <v>420688.76758285781</v>
      </c>
      <c r="CN30" s="9">
        <f t="shared" si="26"/>
        <v>424895.6552586864</v>
      </c>
      <c r="CO30" s="9">
        <f t="shared" si="26"/>
        <v>429144.61181127327</v>
      </c>
      <c r="CP30" s="9">
        <f t="shared" si="26"/>
        <v>433436.05792938598</v>
      </c>
      <c r="CQ30" s="9">
        <f t="shared" si="26"/>
        <v>437770.41850867984</v>
      </c>
      <c r="CR30" s="9">
        <f t="shared" si="26"/>
        <v>442148.12269376667</v>
      </c>
      <c r="CS30" s="9">
        <f t="shared" si="26"/>
        <v>446569.60392070434</v>
      </c>
      <c r="CT30" s="9">
        <f t="shared" si="26"/>
        <v>451035.29995991138</v>
      </c>
      <c r="CU30" s="9">
        <f t="shared" si="26"/>
        <v>455545.65295951051</v>
      </c>
      <c r="CV30" s="9">
        <f t="shared" si="26"/>
        <v>460101.10948910564</v>
      </c>
      <c r="CW30" s="9">
        <f t="shared" si="26"/>
        <v>464702.1205839967</v>
      </c>
      <c r="CX30" s="9">
        <f t="shared" si="26"/>
        <v>469349.14178983669</v>
      </c>
      <c r="CY30" s="9">
        <f t="shared" si="26"/>
        <v>474042.63320773508</v>
      </c>
      <c r="CZ30" s="9">
        <f t="shared" si="26"/>
        <v>478783.05953981244</v>
      </c>
      <c r="DA30" s="9">
        <f t="shared" si="26"/>
        <v>483570.89013521059</v>
      </c>
      <c r="DB30" s="9">
        <f t="shared" si="26"/>
        <v>488406.59903656272</v>
      </c>
      <c r="DC30" s="9">
        <f t="shared" si="26"/>
        <v>493290.66502692836</v>
      </c>
      <c r="DD30" s="9">
        <f t="shared" ref="DD30:DT30" si="27">DC30*(1+$N19)</f>
        <v>498223.57167719764</v>
      </c>
      <c r="DE30" s="9">
        <f t="shared" si="27"/>
        <v>503205.80739396962</v>
      </c>
      <c r="DF30" s="9">
        <f t="shared" si="27"/>
        <v>508237.86546790932</v>
      </c>
      <c r="DG30" s="9">
        <f t="shared" si="27"/>
        <v>513320.24412258842</v>
      </c>
      <c r="DH30" s="9">
        <f t="shared" si="27"/>
        <v>518453.4465638143</v>
      </c>
      <c r="DI30" s="9">
        <f t="shared" si="27"/>
        <v>523637.98102945247</v>
      </c>
      <c r="DJ30" s="9">
        <f t="shared" si="27"/>
        <v>528874.36083974701</v>
      </c>
      <c r="DK30" s="9">
        <f t="shared" si="27"/>
        <v>534163.10444814444</v>
      </c>
      <c r="DL30" s="9">
        <f t="shared" si="27"/>
        <v>539504.73549262586</v>
      </c>
      <c r="DM30" s="9">
        <f t="shared" si="27"/>
        <v>544899.78284755209</v>
      </c>
      <c r="DN30" s="9">
        <f t="shared" si="27"/>
        <v>550348.78067602764</v>
      </c>
      <c r="DO30" s="9">
        <f t="shared" si="27"/>
        <v>555852.26848278788</v>
      </c>
      <c r="DP30" s="9">
        <f t="shared" si="27"/>
        <v>561410.7911676158</v>
      </c>
      <c r="DQ30" s="9">
        <f t="shared" si="27"/>
        <v>567024.89907929196</v>
      </c>
      <c r="DR30" s="9">
        <f t="shared" si="27"/>
        <v>572695.14807008486</v>
      </c>
      <c r="DS30" s="9">
        <f t="shared" si="27"/>
        <v>578422.09955078573</v>
      </c>
      <c r="DT30" s="9">
        <f t="shared" si="27"/>
        <v>584206.32054629363</v>
      </c>
    </row>
    <row r="32" spans="1:124" x14ac:dyDescent="0.2">
      <c r="A32" t="s">
        <v>58</v>
      </c>
      <c r="B32" s="2">
        <f>159316-14981</f>
        <v>144335</v>
      </c>
      <c r="C32" s="2">
        <f>165987-21135</f>
        <v>144852</v>
      </c>
      <c r="D32" s="2">
        <f>185725-27026</f>
        <v>158699</v>
      </c>
      <c r="E32" s="2">
        <f>229623-31960</f>
        <v>197663</v>
      </c>
      <c r="F32" s="2">
        <f>256408-33330</f>
        <v>223078</v>
      </c>
      <c r="G32" s="2">
        <f>F32*1.05</f>
        <v>234231.90000000002</v>
      </c>
      <c r="H32" s="2">
        <f t="shared" ref="H32:J32" si="28">G32*1.05</f>
        <v>245943.49500000002</v>
      </c>
      <c r="I32" s="2">
        <f t="shared" si="28"/>
        <v>258240.66975000003</v>
      </c>
      <c r="J32" s="2">
        <f t="shared" si="28"/>
        <v>271152.70323750004</v>
      </c>
      <c r="K32" s="2">
        <f>J32*1.05</f>
        <v>284710.33839937503</v>
      </c>
    </row>
    <row r="33" spans="1:11" x14ac:dyDescent="0.2">
      <c r="A33" t="s">
        <v>50</v>
      </c>
      <c r="B33" s="17">
        <f>B30/'Capital Structure'!$J6</f>
        <v>1.6320057237960577E-2</v>
      </c>
      <c r="C33" s="17">
        <f>C30/'Capital Structure'!$J6</f>
        <v>2.698303900440115E-2</v>
      </c>
      <c r="D33" s="17">
        <f>D30/'Capital Structure'!$J6</f>
        <v>1.31783908598932E-2</v>
      </c>
      <c r="E33" s="17">
        <f>E30/'Capital Structure'!$J6</f>
        <v>3.0341992440334864E-2</v>
      </c>
      <c r="F33" s="17">
        <f>F30/'Capital Structure'!$J6</f>
        <v>4.2642239107768258E-2</v>
      </c>
      <c r="G33" s="17">
        <f>G30/'Capital Structure'!$J6</f>
        <v>5.3761419896178199E-2</v>
      </c>
      <c r="H33" s="17">
        <f>H30/'Capital Structure'!$J6</f>
        <v>6.7517988158355427E-2</v>
      </c>
      <c r="I33" s="17">
        <f>I30/'Capital Structure'!$J6</f>
        <v>8.451319758556361E-2</v>
      </c>
      <c r="J33" s="17">
        <f>J30/'Capital Structure'!$J6</f>
        <v>0.10548289081031831</v>
      </c>
      <c r="K33" s="17">
        <f>K30/'Capital Structure'!$J6</f>
        <v>0.13132736341767143</v>
      </c>
    </row>
    <row r="34" spans="1:11" x14ac:dyDescent="0.2">
      <c r="A34" t="s">
        <v>54</v>
      </c>
      <c r="B34" s="17">
        <f t="shared" ref="B34:K34" si="29">B30/B29</f>
        <v>1.5553650333047551</v>
      </c>
      <c r="C34" s="17">
        <f t="shared" si="29"/>
        <v>2.086302835741038</v>
      </c>
      <c r="D34" s="17">
        <f t="shared" si="29"/>
        <v>0.60589863510546915</v>
      </c>
      <c r="E34" s="17">
        <f t="shared" si="29"/>
        <v>1.608120002934057</v>
      </c>
      <c r="F34" s="17">
        <f t="shared" si="29"/>
        <v>2.6990495379089836</v>
      </c>
      <c r="G34" s="17">
        <f t="shared" si="29"/>
        <v>3.0656220146387021</v>
      </c>
      <c r="H34" s="17">
        <f t="shared" si="29"/>
        <v>3.4685214935668611</v>
      </c>
      <c r="I34" s="17">
        <f t="shared" si="29"/>
        <v>3.911347947884297</v>
      </c>
      <c r="J34" s="17">
        <f t="shared" si="29"/>
        <v>4.3980581048818399</v>
      </c>
      <c r="K34" s="17">
        <f t="shared" si="29"/>
        <v>4.9330007999602197</v>
      </c>
    </row>
    <row r="35" spans="1:11" x14ac:dyDescent="0.2">
      <c r="A35" t="s">
        <v>51</v>
      </c>
      <c r="B35" s="17">
        <f t="shared" ref="B35:K35" si="30">B16/B26</f>
        <v>0.22718840127835374</v>
      </c>
      <c r="C35" s="17">
        <f t="shared" si="30"/>
        <v>0.31526517669103693</v>
      </c>
      <c r="D35" s="17">
        <f t="shared" si="30"/>
        <v>0.18454734196145187</v>
      </c>
      <c r="E35" s="17">
        <f t="shared" si="30"/>
        <v>0.25526219575890524</v>
      </c>
      <c r="F35" s="17">
        <f t="shared" si="30"/>
        <v>0.36228567608142032</v>
      </c>
      <c r="G35" s="17">
        <f t="shared" si="30"/>
        <v>0.47935225198394604</v>
      </c>
      <c r="H35" s="17">
        <f t="shared" si="30"/>
        <v>0.61223952973215401</v>
      </c>
      <c r="I35" s="17">
        <f t="shared" si="30"/>
        <v>0.75830314903119722</v>
      </c>
      <c r="J35" s="17">
        <f t="shared" si="30"/>
        <v>0.91917859379173594</v>
      </c>
      <c r="K35" s="17">
        <f t="shared" si="30"/>
        <v>1.0966855099560959</v>
      </c>
    </row>
    <row r="36" spans="1:11" x14ac:dyDescent="0.2">
      <c r="A36" t="s">
        <v>57</v>
      </c>
      <c r="B36" s="18">
        <f>B12/B32</f>
        <v>0.22635535386427408</v>
      </c>
      <c r="C36" s="18">
        <f t="shared" ref="C36:J36" si="31">C12/C32</f>
        <v>0.32276392455747938</v>
      </c>
      <c r="D36" s="18">
        <f t="shared" si="31"/>
        <v>0.18238300178325006</v>
      </c>
      <c r="E36" s="18">
        <f t="shared" si="31"/>
        <v>0.23651872125789855</v>
      </c>
      <c r="F36" s="18">
        <f t="shared" si="31"/>
        <v>0.30150664789894116</v>
      </c>
      <c r="G36" s="18">
        <f t="shared" si="31"/>
        <v>0.38910461811563662</v>
      </c>
      <c r="H36" s="18">
        <f t="shared" si="31"/>
        <v>0.48542085343627395</v>
      </c>
      <c r="I36" s="18">
        <f t="shared" si="31"/>
        <v>0.59153581259793009</v>
      </c>
      <c r="J36" s="18">
        <f t="shared" si="31"/>
        <v>0.70865189069732082</v>
      </c>
      <c r="K36" s="18">
        <f>K12/K32</f>
        <v>0.83810749260011674</v>
      </c>
    </row>
    <row r="37" spans="1:11" x14ac:dyDescent="0.2">
      <c r="A37" t="s">
        <v>56</v>
      </c>
      <c r="B37" s="18">
        <f t="shared" ref="B37:K37" si="32">B30/B26</f>
        <v>0.18383350222152936</v>
      </c>
      <c r="C37" s="18">
        <f t="shared" si="32"/>
        <v>0.31224625437423426</v>
      </c>
      <c r="D37" s="18">
        <f t="shared" si="32"/>
        <v>0.15148791294456421</v>
      </c>
      <c r="E37" s="18">
        <f t="shared" si="32"/>
        <v>0.28626736655176016</v>
      </c>
      <c r="F37" s="18">
        <f t="shared" si="32"/>
        <v>0.37453579612104859</v>
      </c>
      <c r="G37" s="18">
        <f t="shared" si="32"/>
        <v>0.44971229561788062</v>
      </c>
      <c r="H37" s="18">
        <f t="shared" si="32"/>
        <v>0.53789093525806886</v>
      </c>
      <c r="I37" s="18">
        <f t="shared" si="32"/>
        <v>0.64122429241100354</v>
      </c>
      <c r="J37" s="18">
        <f t="shared" si="32"/>
        <v>0.76221616948484672</v>
      </c>
      <c r="K37" s="18">
        <f t="shared" si="32"/>
        <v>0.90377861393351144</v>
      </c>
    </row>
    <row r="38" spans="1:11" x14ac:dyDescent="0.2">
      <c r="F38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0FCA-8170-0846-ABC1-4E1D57786690}">
  <dimension ref="B1:L12"/>
  <sheetViews>
    <sheetView zoomScale="150" workbookViewId="0"/>
  </sheetViews>
  <sheetFormatPr baseColWidth="10" defaultRowHeight="16" x14ac:dyDescent="0.2"/>
  <cols>
    <col min="3" max="3" width="17.1640625" customWidth="1"/>
    <col min="4" max="4" width="18.1640625" customWidth="1"/>
  </cols>
  <sheetData>
    <row r="1" spans="2:12" ht="24" x14ac:dyDescent="0.3">
      <c r="B1" s="16" t="s">
        <v>13</v>
      </c>
    </row>
    <row r="4" spans="2:12" x14ac:dyDescent="0.2">
      <c r="B4" t="s">
        <v>4</v>
      </c>
      <c r="C4" t="s">
        <v>5</v>
      </c>
      <c r="I4" s="3" t="s">
        <v>0</v>
      </c>
      <c r="J4">
        <v>572.42999999999995</v>
      </c>
    </row>
    <row r="5" spans="2:12" x14ac:dyDescent="0.2">
      <c r="B5" t="s">
        <v>6</v>
      </c>
      <c r="C5" t="s">
        <v>5</v>
      </c>
      <c r="I5" s="3" t="s">
        <v>47</v>
      </c>
      <c r="J5" s="2">
        <f>+J11+J12</f>
        <v>2524.4885330000002</v>
      </c>
      <c r="K5" s="3" t="s">
        <v>43</v>
      </c>
      <c r="L5" s="2">
        <v>2615</v>
      </c>
    </row>
    <row r="6" spans="2:12" x14ac:dyDescent="0.2">
      <c r="B6" t="s">
        <v>7</v>
      </c>
      <c r="C6" t="s">
        <v>8</v>
      </c>
      <c r="I6" s="3" t="s">
        <v>55</v>
      </c>
      <c r="J6" s="2">
        <f>J4*J5</f>
        <v>1445092.9709451899</v>
      </c>
    </row>
    <row r="7" spans="2:12" x14ac:dyDescent="0.2">
      <c r="B7" t="s">
        <v>9</v>
      </c>
      <c r="C7" s="1" t="s">
        <v>10</v>
      </c>
      <c r="I7" s="3" t="s">
        <v>1</v>
      </c>
      <c r="J7" s="2">
        <f>43845+27048+6071</f>
        <v>76964</v>
      </c>
    </row>
    <row r="8" spans="2:12" x14ac:dyDescent="0.2">
      <c r="B8" t="s">
        <v>14</v>
      </c>
      <c r="C8">
        <v>2004</v>
      </c>
      <c r="I8" s="3" t="s">
        <v>2</v>
      </c>
      <c r="J8" s="2">
        <f>28823</f>
        <v>28823</v>
      </c>
    </row>
    <row r="9" spans="2:12" x14ac:dyDescent="0.2">
      <c r="I9" s="3" t="s">
        <v>3</v>
      </c>
      <c r="J9" s="2">
        <f>J6-J7+J8</f>
        <v>1396951.9709451899</v>
      </c>
    </row>
    <row r="11" spans="2:12" x14ac:dyDescent="0.2">
      <c r="I11" s="3" t="s">
        <v>12</v>
      </c>
      <c r="J11" s="2">
        <v>2180.0008710000002</v>
      </c>
    </row>
    <row r="12" spans="2:12" x14ac:dyDescent="0.2">
      <c r="I12" s="3" t="s">
        <v>11</v>
      </c>
      <c r="J12" s="2">
        <v>344.487662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Capital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2024-11-06T11:24:16Z</dcterms:created>
  <dcterms:modified xsi:type="dcterms:W3CDTF">2024-11-10T00:30:06Z</dcterms:modified>
</cp:coreProperties>
</file>