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Desktop/"/>
    </mc:Choice>
  </mc:AlternateContent>
  <xr:revisionPtr revIDLastSave="0" documentId="13_ncr:1_{E1D9CC5E-36EA-6941-9BDE-93C6DB91F93B}" xr6:coauthVersionLast="47" xr6:coauthVersionMax="47" xr10:uidLastSave="{00000000-0000-0000-0000-000000000000}"/>
  <bookViews>
    <workbookView xWindow="0" yWindow="500" windowWidth="28800" windowHeight="15940" activeTab="1" xr2:uid="{8348746B-5735-42F7-80D9-8F9EF469D1E0}"/>
  </bookViews>
  <sheets>
    <sheet name="Capital Structure" sheetId="1" r:id="rId1"/>
    <sheet name="DCF 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2" l="1"/>
  <c r="K9" i="1"/>
  <c r="O19" i="2"/>
  <c r="O17" i="2"/>
  <c r="O16" i="2"/>
  <c r="O15" i="2"/>
  <c r="K14" i="2"/>
  <c r="H14" i="2"/>
  <c r="H13" i="2"/>
  <c r="K33" i="2"/>
  <c r="D33" i="2"/>
  <c r="E33" i="2"/>
  <c r="F33" i="2"/>
  <c r="G33" i="2"/>
  <c r="H33" i="2"/>
  <c r="I33" i="2"/>
  <c r="J33" i="2"/>
  <c r="C33" i="2"/>
  <c r="C32" i="2"/>
  <c r="D32" i="2"/>
  <c r="E32" i="2"/>
  <c r="F32" i="2"/>
  <c r="G32" i="2"/>
  <c r="H32" i="2"/>
  <c r="I32" i="2"/>
  <c r="J32" i="2"/>
  <c r="K32" i="2"/>
  <c r="B32" i="2"/>
  <c r="F31" i="2"/>
  <c r="E31" i="2"/>
  <c r="I31" i="2"/>
  <c r="J31" i="2"/>
  <c r="K31" i="2"/>
  <c r="H31" i="2"/>
  <c r="G31" i="2"/>
  <c r="B31" i="2"/>
  <c r="C31" i="2"/>
  <c r="D31" i="2"/>
  <c r="C30" i="2"/>
  <c r="D30" i="2"/>
  <c r="E30" i="2"/>
  <c r="F30" i="2"/>
  <c r="G30" i="2"/>
  <c r="I30" i="2"/>
  <c r="J30" i="2"/>
  <c r="K30" i="2"/>
  <c r="B30" i="2"/>
  <c r="C29" i="2"/>
  <c r="D29" i="2"/>
  <c r="E29" i="2"/>
  <c r="F29" i="2"/>
  <c r="G29" i="2"/>
  <c r="I29" i="2"/>
  <c r="J29" i="2"/>
  <c r="K29" i="2"/>
  <c r="B29" i="2"/>
  <c r="C28" i="2"/>
  <c r="D28" i="2"/>
  <c r="E28" i="2"/>
  <c r="F28" i="2"/>
  <c r="G28" i="2"/>
  <c r="H28" i="2"/>
  <c r="I28" i="2"/>
  <c r="J28" i="2"/>
  <c r="K28" i="2"/>
  <c r="B28" i="2"/>
  <c r="O18" i="2"/>
  <c r="G25" i="2"/>
  <c r="H25" i="2" s="1"/>
  <c r="I25" i="2" s="1"/>
  <c r="J25" i="2" s="1"/>
  <c r="K25" i="2" s="1"/>
  <c r="G24" i="2"/>
  <c r="H24" i="2" s="1"/>
  <c r="I24" i="2" s="1"/>
  <c r="C26" i="2"/>
  <c r="D26" i="2"/>
  <c r="E26" i="2"/>
  <c r="F26" i="2"/>
  <c r="B26" i="2"/>
  <c r="G16" i="2"/>
  <c r="G18" i="2" s="1"/>
  <c r="H16" i="2"/>
  <c r="H18" i="2" s="1"/>
  <c r="I16" i="2"/>
  <c r="I18" i="2" s="1"/>
  <c r="J16" i="2"/>
  <c r="J18" i="2" s="1"/>
  <c r="K16" i="2"/>
  <c r="G12" i="2"/>
  <c r="H12" i="2"/>
  <c r="I12" i="2"/>
  <c r="J12" i="2"/>
  <c r="K12" i="2"/>
  <c r="G11" i="2"/>
  <c r="H11" i="2"/>
  <c r="I11" i="2"/>
  <c r="J11" i="2"/>
  <c r="K11" i="2"/>
  <c r="G6" i="2"/>
  <c r="H6" i="2" s="1"/>
  <c r="I6" i="2" s="1"/>
  <c r="J6" i="2" s="1"/>
  <c r="K6" i="2" s="1"/>
  <c r="B18" i="2"/>
  <c r="B22" i="2"/>
  <c r="B13" i="2"/>
  <c r="B7" i="2"/>
  <c r="B5" i="2"/>
  <c r="F16" i="2"/>
  <c r="F18" i="2" s="1"/>
  <c r="E18" i="2"/>
  <c r="K18" i="2"/>
  <c r="F12" i="2"/>
  <c r="F11" i="2"/>
  <c r="F10" i="2"/>
  <c r="G10" i="2" s="1"/>
  <c r="H10" i="2" s="1"/>
  <c r="I10" i="2" s="1"/>
  <c r="J10" i="2" s="1"/>
  <c r="K10" i="2" s="1"/>
  <c r="F9" i="2"/>
  <c r="G9" i="2" s="1"/>
  <c r="H9" i="2" s="1"/>
  <c r="I9" i="2" s="1"/>
  <c r="J9" i="2" s="1"/>
  <c r="K9" i="2" s="1"/>
  <c r="F8" i="2"/>
  <c r="G8" i="2" s="1"/>
  <c r="H8" i="2" s="1"/>
  <c r="I8" i="2" s="1"/>
  <c r="F6" i="2"/>
  <c r="F4" i="2"/>
  <c r="F3" i="2"/>
  <c r="D18" i="2"/>
  <c r="C18" i="2"/>
  <c r="D13" i="2"/>
  <c r="E13" i="2"/>
  <c r="C13" i="2"/>
  <c r="C5" i="2"/>
  <c r="C7" i="2" s="1"/>
  <c r="C14" i="2" s="1"/>
  <c r="C19" i="2" s="1"/>
  <c r="C22" i="2" s="1"/>
  <c r="E5" i="2"/>
  <c r="E7" i="2" s="1"/>
  <c r="E14" i="2" s="1"/>
  <c r="E19" i="2" s="1"/>
  <c r="E22" i="2" s="1"/>
  <c r="D5" i="2"/>
  <c r="D7" i="2" s="1"/>
  <c r="D14" i="2" s="1"/>
  <c r="C1" i="2"/>
  <c r="D1" i="2" s="1"/>
  <c r="E1" i="2" s="1"/>
  <c r="F1" i="2" s="1"/>
  <c r="G1" i="2" s="1"/>
  <c r="H1" i="2" s="1"/>
  <c r="I1" i="2" s="1"/>
  <c r="J1" i="2" s="1"/>
  <c r="K1" i="2" s="1"/>
  <c r="K8" i="1"/>
  <c r="K7" i="1"/>
  <c r="K6" i="1"/>
  <c r="F5" i="2" l="1"/>
  <c r="F7" i="2" s="1"/>
  <c r="F14" i="2" s="1"/>
  <c r="F19" i="2" s="1"/>
  <c r="F22" i="2" s="1"/>
  <c r="D19" i="2"/>
  <c r="D22" i="2" s="1"/>
  <c r="B14" i="2"/>
  <c r="G5" i="2"/>
  <c r="F13" i="2"/>
  <c r="G26" i="2"/>
  <c r="I26" i="2"/>
  <c r="J24" i="2"/>
  <c r="H26" i="2"/>
  <c r="G13" i="2"/>
  <c r="I13" i="2"/>
  <c r="J8" i="2"/>
  <c r="G7" i="2" l="1"/>
  <c r="G14" i="2" s="1"/>
  <c r="G19" i="2" s="1"/>
  <c r="G22" i="2" s="1"/>
  <c r="H5" i="2"/>
  <c r="I5" i="2" s="1"/>
  <c r="J5" i="2" s="1"/>
  <c r="K5" i="2" s="1"/>
  <c r="J26" i="2"/>
  <c r="K24" i="2"/>
  <c r="K26" i="2" s="1"/>
  <c r="J13" i="2"/>
  <c r="K8" i="2"/>
  <c r="K13" i="2" s="1"/>
  <c r="H7" i="2"/>
  <c r="H19" i="2" l="1"/>
  <c r="H22" i="2" s="1"/>
  <c r="H30" i="2" s="1"/>
  <c r="H29" i="2"/>
  <c r="K7" i="2"/>
  <c r="I7" i="2"/>
  <c r="I14" i="2" s="1"/>
  <c r="I19" i="2" s="1"/>
  <c r="I22" i="2" s="1"/>
  <c r="J7" i="2" l="1"/>
  <c r="J14" i="2" s="1"/>
  <c r="J19" i="2" s="1"/>
  <c r="J22" i="2" s="1"/>
  <c r="K19" i="2" l="1"/>
  <c r="K22" i="2" s="1"/>
</calcChain>
</file>

<file path=xl/sharedStrings.xml><?xml version="1.0" encoding="utf-8"?>
<sst xmlns="http://schemas.openxmlformats.org/spreadsheetml/2006/main" count="53" uniqueCount="51">
  <si>
    <t>Price</t>
  </si>
  <si>
    <t>S/O</t>
  </si>
  <si>
    <t>Market Cap.</t>
  </si>
  <si>
    <t>Cash</t>
  </si>
  <si>
    <t>Debt</t>
  </si>
  <si>
    <t>EV</t>
  </si>
  <si>
    <t>In Millions</t>
  </si>
  <si>
    <t>Founder</t>
  </si>
  <si>
    <t>Jeff Bezos</t>
  </si>
  <si>
    <t>C.E.O</t>
  </si>
  <si>
    <t>Andy Jassy</t>
  </si>
  <si>
    <t xml:space="preserve">Founded </t>
  </si>
  <si>
    <t xml:space="preserve">AMAZON.COM, INC. </t>
  </si>
  <si>
    <t>In Millions except share price</t>
  </si>
  <si>
    <t>Services</t>
  </si>
  <si>
    <t>Net Revenue</t>
  </si>
  <si>
    <t>Product</t>
  </si>
  <si>
    <t>COGS</t>
  </si>
  <si>
    <t>Gross Margin</t>
  </si>
  <si>
    <t>Fulfilment</t>
  </si>
  <si>
    <t>Tech. and Infra.</t>
  </si>
  <si>
    <t>S&amp;M</t>
  </si>
  <si>
    <t>G&amp;A</t>
  </si>
  <si>
    <t>Other Op. Ex.</t>
  </si>
  <si>
    <t xml:space="preserve">Operating Exp. </t>
  </si>
  <si>
    <t>Operating Income</t>
  </si>
  <si>
    <t>Interest Income</t>
  </si>
  <si>
    <t>Interest Expense</t>
  </si>
  <si>
    <t>Other Inc/ Ex.</t>
  </si>
  <si>
    <t>Tot. Non Op. Inc</t>
  </si>
  <si>
    <t>Benefit  / Provision</t>
  </si>
  <si>
    <t>Equity Investments</t>
  </si>
  <si>
    <t>Net Income</t>
  </si>
  <si>
    <t>CFO</t>
  </si>
  <si>
    <t>FCF</t>
  </si>
  <si>
    <t>Implied EV</t>
  </si>
  <si>
    <t>Equity Value</t>
  </si>
  <si>
    <t>Market Price</t>
  </si>
  <si>
    <t>CAPEX</t>
  </si>
  <si>
    <t>Terminal Value</t>
  </si>
  <si>
    <t>Terminal Multiple</t>
  </si>
  <si>
    <t>WACC</t>
  </si>
  <si>
    <t>Recommendation</t>
  </si>
  <si>
    <t>Upside/Downside</t>
  </si>
  <si>
    <t>Intrinsic Value</t>
  </si>
  <si>
    <t>Op Margin</t>
  </si>
  <si>
    <t>Net Margin</t>
  </si>
  <si>
    <t>FCF Yield</t>
  </si>
  <si>
    <t>FCF Margin</t>
  </si>
  <si>
    <t>FCF / CAPEX</t>
  </si>
  <si>
    <t>Hold /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</si>
</sst>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8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horizontal="right"/>
    </xf>
    <xf numFmtId="10" fontId="3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13855</xdr:colOff>
      <xdr:row>0</xdr:row>
      <xdr:rowOff>34636</xdr:rowOff>
    </xdr:from>
    <xdr:to>
      <xdr:col>6</xdr:col>
      <xdr:colOff>20782</xdr:colOff>
      <xdr:row>32</xdr:row>
      <xdr:rowOff>145473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743E001-1A5A-E855-FB97-D075DCA4A48F}"/>
            </a:ext>
          </a:extLst>
        </xdr:cNvPr>
        <xdr:cNvCxnSpPr/>
      </xdr:nvCxnSpPr>
      <xdr:spPr>
        <a:xfrm flipH="1">
          <a:off x="4128655" y="34636"/>
          <a:ext cx="6927" cy="5874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13855</xdr:colOff>
      <xdr:row>0</xdr:row>
      <xdr:rowOff>41564</xdr:rowOff>
    </xdr:from>
    <xdr:to>
      <xdr:col>11</xdr:col>
      <xdr:colOff>34637</xdr:colOff>
      <xdr:row>33</xdr:row>
      <xdr:rowOff>13855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F490822-DF30-C1DB-F29B-2038EF2B5C75}"/>
            </a:ext>
          </a:extLst>
        </xdr:cNvPr>
        <xdr:cNvCxnSpPr/>
      </xdr:nvCxnSpPr>
      <xdr:spPr>
        <a:xfrm flipH="1">
          <a:off x="7176655" y="41564"/>
          <a:ext cx="20782" cy="5915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1503-2727-41B3-9EFF-3A1E69D0D554}">
  <dimension ref="B1:K9"/>
  <sheetViews>
    <sheetView zoomScale="124" zoomScaleNormal="124" workbookViewId="0">
      <selection activeCell="K9" sqref="K9"/>
    </sheetView>
  </sheetViews>
  <sheetFormatPr baseColWidth="10" defaultColWidth="8.83203125" defaultRowHeight="15" x14ac:dyDescent="0.2"/>
  <cols>
    <col min="10" max="10" width="10.1640625" customWidth="1"/>
    <col min="11" max="11" width="11.5" bestFit="1" customWidth="1"/>
  </cols>
  <sheetData>
    <row r="1" spans="2:11" x14ac:dyDescent="0.2">
      <c r="J1" s="1" t="s">
        <v>12</v>
      </c>
    </row>
    <row r="2" spans="2:11" x14ac:dyDescent="0.2">
      <c r="B2" s="1" t="s">
        <v>13</v>
      </c>
    </row>
    <row r="4" spans="2:11" x14ac:dyDescent="0.2">
      <c r="J4" t="s">
        <v>0</v>
      </c>
      <c r="K4">
        <v>219.39</v>
      </c>
    </row>
    <row r="5" spans="2:11" x14ac:dyDescent="0.2">
      <c r="B5" t="s">
        <v>7</v>
      </c>
      <c r="C5" t="s">
        <v>8</v>
      </c>
      <c r="J5" t="s">
        <v>1</v>
      </c>
      <c r="K5" s="2">
        <v>10515.011007999999</v>
      </c>
    </row>
    <row r="6" spans="2:11" x14ac:dyDescent="0.2">
      <c r="B6" t="s">
        <v>9</v>
      </c>
      <c r="C6" t="s">
        <v>10</v>
      </c>
      <c r="J6" s="1" t="s">
        <v>2</v>
      </c>
      <c r="K6" s="3">
        <f>K4*K5</f>
        <v>2306888.2650451199</v>
      </c>
    </row>
    <row r="7" spans="2:11" x14ac:dyDescent="0.2">
      <c r="B7" t="s">
        <v>11</v>
      </c>
      <c r="C7">
        <v>1994</v>
      </c>
      <c r="J7" t="s">
        <v>3</v>
      </c>
      <c r="K7" s="2">
        <f>75019+12960</f>
        <v>87979</v>
      </c>
    </row>
    <row r="8" spans="2:11" x14ac:dyDescent="0.2">
      <c r="J8" t="s">
        <v>4</v>
      </c>
      <c r="K8" s="2">
        <f>54890</f>
        <v>54890</v>
      </c>
    </row>
    <row r="9" spans="2:11" x14ac:dyDescent="0.2">
      <c r="J9" s="1" t="s">
        <v>5</v>
      </c>
      <c r="K9" s="3">
        <f>K6-K7+K8</f>
        <v>2273799.2650451199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C23A-5F9A-4EDD-B74F-51793CA3090F}">
  <dimension ref="A1:O3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7" sqref="O27"/>
    </sheetView>
  </sheetViews>
  <sheetFormatPr baseColWidth="10" defaultColWidth="8.83203125" defaultRowHeight="15" x14ac:dyDescent="0.2"/>
  <cols>
    <col min="1" max="1" width="15.5" customWidth="1"/>
    <col min="12" max="12" width="13.1640625" customWidth="1"/>
    <col min="14" max="14" width="15.83203125" customWidth="1"/>
    <col min="15" max="15" width="13.1640625" bestFit="1" customWidth="1"/>
  </cols>
  <sheetData>
    <row r="1" spans="1:15" x14ac:dyDescent="0.2">
      <c r="A1" s="1" t="s">
        <v>6</v>
      </c>
      <c r="B1" s="1">
        <v>2020</v>
      </c>
      <c r="C1" s="1">
        <f>B1+1</f>
        <v>2021</v>
      </c>
      <c r="D1" s="1">
        <f t="shared" ref="D1:J1" si="0">C1+1</f>
        <v>2022</v>
      </c>
      <c r="E1" s="1">
        <f t="shared" si="0"/>
        <v>2023</v>
      </c>
      <c r="F1" s="1">
        <f t="shared" si="0"/>
        <v>2024</v>
      </c>
      <c r="G1" s="1">
        <f t="shared" si="0"/>
        <v>2025</v>
      </c>
      <c r="H1" s="1">
        <f t="shared" si="0"/>
        <v>2026</v>
      </c>
      <c r="I1" s="1">
        <f t="shared" si="0"/>
        <v>2027</v>
      </c>
      <c r="J1" s="1">
        <f t="shared" si="0"/>
        <v>2028</v>
      </c>
      <c r="K1" s="1">
        <f>J1+1</f>
        <v>2029</v>
      </c>
    </row>
    <row r="3" spans="1:15" x14ac:dyDescent="0.2">
      <c r="A3" t="s">
        <v>16</v>
      </c>
      <c r="B3" s="2">
        <v>215915</v>
      </c>
      <c r="C3" s="2">
        <v>241787</v>
      </c>
      <c r="D3" s="2">
        <v>242901</v>
      </c>
      <c r="E3" s="2">
        <v>255887</v>
      </c>
      <c r="F3" s="2">
        <f>190085+67107</f>
        <v>257192</v>
      </c>
      <c r="G3" s="2"/>
      <c r="H3" s="2"/>
      <c r="I3" s="2"/>
      <c r="J3" s="2"/>
      <c r="K3" s="2"/>
    </row>
    <row r="4" spans="1:15" x14ac:dyDescent="0.2">
      <c r="A4" t="s">
        <v>14</v>
      </c>
      <c r="B4" s="2">
        <v>170149</v>
      </c>
      <c r="C4" s="2">
        <v>228035</v>
      </c>
      <c r="D4" s="2">
        <v>271082</v>
      </c>
      <c r="E4" s="2">
        <v>318898</v>
      </c>
      <c r="F4" s="2">
        <f>260882+91276</f>
        <v>352158</v>
      </c>
      <c r="G4" s="2"/>
      <c r="H4" s="2"/>
      <c r="I4" s="2"/>
      <c r="J4" s="2"/>
      <c r="K4" s="2"/>
      <c r="N4" s="10"/>
    </row>
    <row r="5" spans="1:15" x14ac:dyDescent="0.2">
      <c r="A5" s="1" t="s">
        <v>15</v>
      </c>
      <c r="B5" s="3">
        <f>B3+B4</f>
        <v>386064</v>
      </c>
      <c r="C5" s="3">
        <f>C3+C4</f>
        <v>469822</v>
      </c>
      <c r="D5" s="3">
        <f t="shared" ref="D5" si="1">D3+D4</f>
        <v>513983</v>
      </c>
      <c r="E5" s="3">
        <f>E3+E4</f>
        <v>574785</v>
      </c>
      <c r="F5" s="3">
        <f>SUM(F3:F4)</f>
        <v>609350</v>
      </c>
      <c r="G5" s="3">
        <f>F5*1.06</f>
        <v>645911</v>
      </c>
      <c r="H5" s="3">
        <f t="shared" ref="H5:J5" si="2">G5*1.06</f>
        <v>684665.66</v>
      </c>
      <c r="I5" s="3">
        <f t="shared" si="2"/>
        <v>725745.59960000007</v>
      </c>
      <c r="J5" s="3">
        <f t="shared" si="2"/>
        <v>769290.33557600016</v>
      </c>
      <c r="K5" s="3">
        <f>J5*1.06</f>
        <v>815447.75571056025</v>
      </c>
    </row>
    <row r="6" spans="1:15" x14ac:dyDescent="0.2">
      <c r="A6" s="5" t="s">
        <v>17</v>
      </c>
      <c r="B6" s="7">
        <v>233307</v>
      </c>
      <c r="C6" s="7">
        <v>272344</v>
      </c>
      <c r="D6" s="7">
        <v>288831</v>
      </c>
      <c r="E6" s="7">
        <v>304739</v>
      </c>
      <c r="F6" s="7">
        <f>227395+80997</f>
        <v>308392</v>
      </c>
      <c r="G6" s="7">
        <f>F6*1.012</f>
        <v>312092.70400000003</v>
      </c>
      <c r="H6" s="7">
        <f t="shared" ref="H6:K6" si="3">G6*1.012</f>
        <v>315837.81644800003</v>
      </c>
      <c r="I6" s="7">
        <f t="shared" si="3"/>
        <v>319627.87024537602</v>
      </c>
      <c r="J6" s="7">
        <f t="shared" si="3"/>
        <v>323463.40468832053</v>
      </c>
      <c r="K6" s="7">
        <f t="shared" si="3"/>
        <v>327344.96554458037</v>
      </c>
    </row>
    <row r="7" spans="1:15" x14ac:dyDescent="0.2">
      <c r="A7" s="4" t="s">
        <v>18</v>
      </c>
      <c r="B7" s="6">
        <f>B5-B6</f>
        <v>152757</v>
      </c>
      <c r="C7" s="6">
        <f>C5-C6</f>
        <v>197478</v>
      </c>
      <c r="D7" s="6">
        <f t="shared" ref="D7:E7" si="4">D5-D6</f>
        <v>225152</v>
      </c>
      <c r="E7" s="6">
        <f t="shared" si="4"/>
        <v>270046</v>
      </c>
      <c r="F7" s="6">
        <f t="shared" ref="F7" si="5">F5-F6</f>
        <v>300958</v>
      </c>
      <c r="G7" s="6">
        <f>G5-G6</f>
        <v>333818.29599999997</v>
      </c>
      <c r="H7" s="6">
        <f t="shared" ref="H7" si="6">H5-H6</f>
        <v>368827.84355200001</v>
      </c>
      <c r="I7" s="6">
        <f t="shared" ref="I7" si="7">I5-I6</f>
        <v>406117.72935462405</v>
      </c>
      <c r="J7" s="6">
        <f t="shared" ref="J7" si="8">J5-J6</f>
        <v>445826.93088767963</v>
      </c>
      <c r="K7" s="6">
        <f>K5-K6</f>
        <v>488102.79016597988</v>
      </c>
    </row>
    <row r="8" spans="1:15" x14ac:dyDescent="0.2">
      <c r="A8" t="s">
        <v>19</v>
      </c>
      <c r="B8" s="2">
        <v>58515</v>
      </c>
      <c r="C8" s="2">
        <v>75111</v>
      </c>
      <c r="D8" s="2">
        <v>84299</v>
      </c>
      <c r="E8" s="2">
        <v>90619</v>
      </c>
      <c r="F8" s="2">
        <f>70543+24660</f>
        <v>95203</v>
      </c>
      <c r="G8" s="2">
        <f>F8*1.05</f>
        <v>99963.150000000009</v>
      </c>
      <c r="H8" s="2">
        <f t="shared" ref="H8:K8" si="9">G8*1.005</f>
        <v>100462.96575</v>
      </c>
      <c r="I8" s="2">
        <f t="shared" si="9"/>
        <v>100965.28057875</v>
      </c>
      <c r="J8" s="2">
        <f t="shared" si="9"/>
        <v>101470.10698164374</v>
      </c>
      <c r="K8" s="2">
        <f t="shared" si="9"/>
        <v>101977.45751655195</v>
      </c>
      <c r="N8" s="11"/>
    </row>
    <row r="9" spans="1:15" x14ac:dyDescent="0.2">
      <c r="A9" t="s">
        <v>20</v>
      </c>
      <c r="B9" s="2">
        <v>42740</v>
      </c>
      <c r="C9" s="2">
        <v>56052</v>
      </c>
      <c r="D9" s="2">
        <v>73213</v>
      </c>
      <c r="E9" s="2">
        <v>85622</v>
      </c>
      <c r="F9" s="2">
        <f>64973+22245</f>
        <v>87218</v>
      </c>
      <c r="G9" s="2">
        <f>F9*1.005</f>
        <v>87654.09</v>
      </c>
      <c r="H9" s="2">
        <f t="shared" ref="H9:K9" si="10">G9*1.05</f>
        <v>92036.794500000004</v>
      </c>
      <c r="I9" s="2">
        <f t="shared" si="10"/>
        <v>96638.634225000002</v>
      </c>
      <c r="J9" s="2">
        <f t="shared" si="10"/>
        <v>101470.56593625</v>
      </c>
      <c r="K9" s="2">
        <f t="shared" si="10"/>
        <v>106544.09423306251</v>
      </c>
    </row>
    <row r="10" spans="1:15" x14ac:dyDescent="0.2">
      <c r="A10" t="s">
        <v>21</v>
      </c>
      <c r="B10" s="2">
        <v>22008</v>
      </c>
      <c r="C10" s="2">
        <v>32551</v>
      </c>
      <c r="D10" s="2">
        <v>42238</v>
      </c>
      <c r="E10" s="2">
        <v>44370</v>
      </c>
      <c r="F10" s="2">
        <f>30783+10609</f>
        <v>41392</v>
      </c>
      <c r="G10" s="2">
        <f>F10</f>
        <v>41392</v>
      </c>
      <c r="H10" s="2">
        <f t="shared" ref="H10:K10" si="11">G10</f>
        <v>41392</v>
      </c>
      <c r="I10" s="2">
        <f t="shared" si="11"/>
        <v>41392</v>
      </c>
      <c r="J10" s="2">
        <f t="shared" si="11"/>
        <v>41392</v>
      </c>
      <c r="K10" s="2">
        <f t="shared" si="11"/>
        <v>41392</v>
      </c>
    </row>
    <row r="11" spans="1:15" x14ac:dyDescent="0.2">
      <c r="A11" t="s">
        <v>22</v>
      </c>
      <c r="B11" s="2">
        <v>6668</v>
      </c>
      <c r="C11" s="2">
        <v>8823</v>
      </c>
      <c r="D11" s="2">
        <v>11891</v>
      </c>
      <c r="E11" s="2">
        <v>11816</v>
      </c>
      <c r="F11" s="2">
        <f>8496+2713</f>
        <v>11209</v>
      </c>
      <c r="G11" s="2">
        <f t="shared" ref="G11:K11" si="12">8496+2713</f>
        <v>11209</v>
      </c>
      <c r="H11" s="2">
        <f t="shared" si="12"/>
        <v>11209</v>
      </c>
      <c r="I11" s="2">
        <f t="shared" si="12"/>
        <v>11209</v>
      </c>
      <c r="J11" s="2">
        <f t="shared" si="12"/>
        <v>11209</v>
      </c>
      <c r="K11" s="2">
        <f t="shared" si="12"/>
        <v>11209</v>
      </c>
    </row>
    <row r="12" spans="1:15" x14ac:dyDescent="0.2">
      <c r="A12" t="s">
        <v>23</v>
      </c>
      <c r="B12" s="2">
        <v>-75</v>
      </c>
      <c r="C12" s="2">
        <v>62</v>
      </c>
      <c r="D12" s="2">
        <v>1263</v>
      </c>
      <c r="E12" s="2">
        <v>767</v>
      </c>
      <c r="F12" s="2">
        <f>587+262</f>
        <v>849</v>
      </c>
      <c r="G12" s="2">
        <f t="shared" ref="G12:K12" si="13">587+262</f>
        <v>849</v>
      </c>
      <c r="H12" s="2">
        <f t="shared" si="13"/>
        <v>849</v>
      </c>
      <c r="I12" s="2">
        <f t="shared" si="13"/>
        <v>849</v>
      </c>
      <c r="J12" s="2">
        <f t="shared" si="13"/>
        <v>849</v>
      </c>
      <c r="K12" s="2">
        <f t="shared" si="13"/>
        <v>849</v>
      </c>
    </row>
    <row r="13" spans="1:15" x14ac:dyDescent="0.2">
      <c r="A13" s="5" t="s">
        <v>24</v>
      </c>
      <c r="B13" s="7">
        <f>SUM(B8:B12)</f>
        <v>129856</v>
      </c>
      <c r="C13" s="7">
        <f>SUM(C8:C12)</f>
        <v>172599</v>
      </c>
      <c r="D13" s="7">
        <f t="shared" ref="D13:E13" si="14">SUM(D8:D12)</f>
        <v>212904</v>
      </c>
      <c r="E13" s="7">
        <f t="shared" si="14"/>
        <v>233194</v>
      </c>
      <c r="F13" s="7">
        <f t="shared" ref="F13" si="15">SUM(F8:F12)</f>
        <v>235871</v>
      </c>
      <c r="G13" s="7">
        <f t="shared" ref="G13" si="16">SUM(G8:G12)</f>
        <v>241067.24</v>
      </c>
      <c r="H13" s="7">
        <f>SUM(H8:H12)</f>
        <v>245949.76024999999</v>
      </c>
      <c r="I13" s="7">
        <f t="shared" ref="I13" si="17">SUM(I8:I12)</f>
        <v>251053.91480375</v>
      </c>
      <c r="J13" s="7">
        <f t="shared" ref="J13" si="18">SUM(J8:J12)</f>
        <v>256390.67291789374</v>
      </c>
      <c r="K13" s="7">
        <f t="shared" ref="K13" si="19">SUM(K8:K12)</f>
        <v>261971.55174961447</v>
      </c>
      <c r="N13" t="s">
        <v>40</v>
      </c>
      <c r="O13" s="2">
        <v>10</v>
      </c>
    </row>
    <row r="14" spans="1:15" x14ac:dyDescent="0.2">
      <c r="A14" s="4" t="s">
        <v>25</v>
      </c>
      <c r="B14" s="6">
        <f>B7-B13</f>
        <v>22901</v>
      </c>
      <c r="C14" s="6">
        <f>C7-C13</f>
        <v>24879</v>
      </c>
      <c r="D14" s="6">
        <f t="shared" ref="D14:E14" si="20">D7-D13</f>
        <v>12248</v>
      </c>
      <c r="E14" s="6">
        <f t="shared" si="20"/>
        <v>36852</v>
      </c>
      <c r="F14" s="6">
        <f t="shared" ref="F14" si="21">F7-F13</f>
        <v>65087</v>
      </c>
      <c r="G14" s="6">
        <f t="shared" ref="G14" si="22">G7-G13</f>
        <v>92751.055999999982</v>
      </c>
      <c r="H14" s="6">
        <f>H7-H13</f>
        <v>122878.08330200001</v>
      </c>
      <c r="I14" s="6">
        <f t="shared" ref="I14" si="23">I7-I13</f>
        <v>155063.81455087406</v>
      </c>
      <c r="J14" s="6">
        <f t="shared" ref="J14" si="24">J7-J13</f>
        <v>189436.25796978589</v>
      </c>
      <c r="K14" s="6">
        <f>K7-K13</f>
        <v>226131.23841636541</v>
      </c>
      <c r="N14" t="s">
        <v>41</v>
      </c>
      <c r="O14" s="12">
        <v>0.06</v>
      </c>
    </row>
    <row r="15" spans="1:15" x14ac:dyDescent="0.2">
      <c r="A15" t="s">
        <v>26</v>
      </c>
      <c r="B15" s="2">
        <v>555</v>
      </c>
      <c r="C15" s="2">
        <v>448</v>
      </c>
      <c r="D15" s="2">
        <v>989</v>
      </c>
      <c r="E15" s="2">
        <v>2949</v>
      </c>
      <c r="F15" s="2">
        <v>3429</v>
      </c>
      <c r="G15" s="2">
        <v>3429</v>
      </c>
      <c r="H15" s="2">
        <v>3429</v>
      </c>
      <c r="I15" s="2">
        <v>3429</v>
      </c>
      <c r="J15" s="2">
        <v>3429</v>
      </c>
      <c r="K15" s="2">
        <v>3429</v>
      </c>
      <c r="N15" t="s">
        <v>35</v>
      </c>
      <c r="O15" s="13">
        <f>NPV(O14,G26:L26)</f>
        <v>1870206.1762754226</v>
      </c>
    </row>
    <row r="16" spans="1:15" x14ac:dyDescent="0.2">
      <c r="A16" t="s">
        <v>27</v>
      </c>
      <c r="B16" s="2">
        <v>-1647</v>
      </c>
      <c r="C16" s="2">
        <v>-1809</v>
      </c>
      <c r="D16" s="2">
        <v>-2367</v>
      </c>
      <c r="E16" s="2">
        <v>-3182</v>
      </c>
      <c r="F16" s="2">
        <f>-(1836+603)</f>
        <v>-2439</v>
      </c>
      <c r="G16" s="2">
        <f t="shared" ref="G16:K16" si="25">-(1836+603)</f>
        <v>-2439</v>
      </c>
      <c r="H16" s="2">
        <f t="shared" si="25"/>
        <v>-2439</v>
      </c>
      <c r="I16" s="2">
        <f t="shared" si="25"/>
        <v>-2439</v>
      </c>
      <c r="J16" s="2">
        <f t="shared" si="25"/>
        <v>-2439</v>
      </c>
      <c r="K16" s="2">
        <f t="shared" si="25"/>
        <v>-2439</v>
      </c>
      <c r="N16" t="s">
        <v>36</v>
      </c>
      <c r="O16" s="2">
        <f>O15+'Capital Structure'!K7-'Capital Structure'!K8</f>
        <v>1903295.1762754226</v>
      </c>
    </row>
    <row r="17" spans="1:15" x14ac:dyDescent="0.2">
      <c r="A17" t="s">
        <v>28</v>
      </c>
      <c r="B17" s="2">
        <v>2371</v>
      </c>
      <c r="C17" s="2">
        <v>14633</v>
      </c>
      <c r="D17" s="2">
        <v>-16806</v>
      </c>
      <c r="E17" s="2">
        <v>938</v>
      </c>
      <c r="F17" s="2">
        <v>-2718</v>
      </c>
      <c r="G17" s="2">
        <v>-2718</v>
      </c>
      <c r="H17" s="2">
        <v>-2718</v>
      </c>
      <c r="I17" s="2">
        <v>-2718</v>
      </c>
      <c r="J17" s="2">
        <v>-2718</v>
      </c>
      <c r="K17" s="2">
        <v>-2718</v>
      </c>
      <c r="N17" s="4" t="s">
        <v>44</v>
      </c>
      <c r="O17" s="14">
        <f>O16/'Capital Structure'!K5</f>
        <v>181.00743544893706</v>
      </c>
    </row>
    <row r="18" spans="1:15" x14ac:dyDescent="0.2">
      <c r="A18" s="8" t="s">
        <v>29</v>
      </c>
      <c r="B18" s="2">
        <f>B15+B16+B17</f>
        <v>1279</v>
      </c>
      <c r="C18" s="9">
        <f>SUM(C15:C17)</f>
        <v>13272</v>
      </c>
      <c r="D18" s="9">
        <f t="shared" ref="D18" si="26">SUM(D15:D17)</f>
        <v>-18184</v>
      </c>
      <c r="E18" s="9">
        <f>SUM(E15:E17)</f>
        <v>705</v>
      </c>
      <c r="F18" s="9">
        <f t="shared" ref="F18:K18" si="27">SUM(F15:F17)</f>
        <v>-1728</v>
      </c>
      <c r="G18" s="9">
        <f t="shared" si="27"/>
        <v>-1728</v>
      </c>
      <c r="H18" s="9">
        <f t="shared" si="27"/>
        <v>-1728</v>
      </c>
      <c r="I18" s="9">
        <f t="shared" si="27"/>
        <v>-1728</v>
      </c>
      <c r="J18" s="9">
        <f t="shared" si="27"/>
        <v>-1728</v>
      </c>
      <c r="K18" s="9">
        <f t="shared" si="27"/>
        <v>-1728</v>
      </c>
      <c r="N18" s="1" t="s">
        <v>37</v>
      </c>
      <c r="O18">
        <f>'Capital Structure'!K4</f>
        <v>219.39</v>
      </c>
    </row>
    <row r="19" spans="1:15" x14ac:dyDescent="0.2">
      <c r="A19" s="4" t="s">
        <v>25</v>
      </c>
      <c r="B19" s="6">
        <v>24178</v>
      </c>
      <c r="C19" s="6">
        <f>C14+C18</f>
        <v>38151</v>
      </c>
      <c r="D19" s="6">
        <f t="shared" ref="D19" si="28">D14+D18</f>
        <v>-5936</v>
      </c>
      <c r="E19" s="6">
        <f>E14+E18</f>
        <v>37557</v>
      </c>
      <c r="F19" s="6">
        <f>F14+F18</f>
        <v>63359</v>
      </c>
      <c r="G19" s="6">
        <f t="shared" ref="G19" si="29">G14+G18</f>
        <v>91023.055999999982</v>
      </c>
      <c r="H19" s="6">
        <f t="shared" ref="H19" si="30">H14+H18</f>
        <v>121150.08330200001</v>
      </c>
      <c r="I19" s="6">
        <f t="shared" ref="I19" si="31">I14+I18</f>
        <v>153335.81455087406</v>
      </c>
      <c r="J19" s="6">
        <f t="shared" ref="J19" si="32">J14+J18</f>
        <v>187708.25796978589</v>
      </c>
      <c r="K19" s="6">
        <f t="shared" ref="K19" si="33">K14+K18</f>
        <v>224403.23841636541</v>
      </c>
      <c r="N19" t="s">
        <v>43</v>
      </c>
      <c r="O19" s="16">
        <f>O17/O18-1</f>
        <v>-0.17495129473113147</v>
      </c>
    </row>
    <row r="20" spans="1:15" x14ac:dyDescent="0.2">
      <c r="A20" t="s">
        <v>30</v>
      </c>
      <c r="B20" s="2">
        <v>-2863</v>
      </c>
      <c r="C20" s="2">
        <v>-4791</v>
      </c>
      <c r="D20" s="2">
        <v>3217</v>
      </c>
      <c r="E20" s="2">
        <v>-7120</v>
      </c>
      <c r="F20" s="2">
        <v>-6940</v>
      </c>
      <c r="G20" s="2">
        <v>-6940</v>
      </c>
      <c r="H20" s="2">
        <v>-6940</v>
      </c>
      <c r="I20" s="2">
        <v>-6940</v>
      </c>
      <c r="J20" s="2">
        <v>-6940</v>
      </c>
      <c r="K20" s="2">
        <v>-6940</v>
      </c>
      <c r="N20" s="1" t="s">
        <v>42</v>
      </c>
      <c r="O20" s="15" t="s">
        <v>50</v>
      </c>
    </row>
    <row r="21" spans="1:15" x14ac:dyDescent="0.2">
      <c r="A21" t="s">
        <v>31</v>
      </c>
      <c r="B21" s="2">
        <v>16</v>
      </c>
      <c r="C21" s="2">
        <v>4</v>
      </c>
      <c r="D21" s="2">
        <v>-3</v>
      </c>
      <c r="E21" s="2">
        <v>-12</v>
      </c>
      <c r="F21" s="2">
        <v>-81</v>
      </c>
      <c r="G21" s="2">
        <v>-81</v>
      </c>
      <c r="H21" s="2">
        <v>-81</v>
      </c>
      <c r="I21" s="2">
        <v>-81</v>
      </c>
      <c r="J21" s="2">
        <v>-81</v>
      </c>
      <c r="K21" s="2">
        <v>-81</v>
      </c>
    </row>
    <row r="22" spans="1:15" x14ac:dyDescent="0.2">
      <c r="A22" s="4" t="s">
        <v>32</v>
      </c>
      <c r="B22" s="6">
        <f>B19+B20+B21</f>
        <v>21331</v>
      </c>
      <c r="C22" s="6">
        <f>SUM(C19:C21)</f>
        <v>33364</v>
      </c>
      <c r="D22" s="6">
        <f t="shared" ref="D22:E22" si="34">SUM(D19:D21)</f>
        <v>-2722</v>
      </c>
      <c r="E22" s="6">
        <f t="shared" si="34"/>
        <v>30425</v>
      </c>
      <c r="F22" s="6">
        <f t="shared" ref="F22" si="35">SUM(F19:F21)</f>
        <v>56338</v>
      </c>
      <c r="G22" s="6">
        <f t="shared" ref="G22" si="36">SUM(G19:G21)</f>
        <v>84002.055999999982</v>
      </c>
      <c r="H22" s="6">
        <f t="shared" ref="H22" si="37">SUM(H19:H21)</f>
        <v>114129.08330200001</v>
      </c>
      <c r="I22" s="6">
        <f t="shared" ref="I22" si="38">SUM(I19:I21)</f>
        <v>146314.81455087406</v>
      </c>
      <c r="J22" s="6">
        <f t="shared" ref="J22" si="39">SUM(J19:J21)</f>
        <v>180687.25796978589</v>
      </c>
      <c r="K22" s="6">
        <f t="shared" ref="K22" si="40">SUM(K19:K21)</f>
        <v>217382.23841636541</v>
      </c>
    </row>
    <row r="24" spans="1:15" x14ac:dyDescent="0.2">
      <c r="A24" t="s">
        <v>33</v>
      </c>
      <c r="B24" s="3">
        <v>66064</v>
      </c>
      <c r="C24" s="3">
        <v>46327</v>
      </c>
      <c r="D24" s="3">
        <v>46752</v>
      </c>
      <c r="E24" s="3">
        <v>84946</v>
      </c>
      <c r="F24" s="3">
        <v>112706</v>
      </c>
      <c r="G24" s="3">
        <f>F24*1.15</f>
        <v>129611.9</v>
      </c>
      <c r="H24" s="3">
        <f t="shared" ref="H24:K24" si="41">G24*1.15</f>
        <v>149053.68499999997</v>
      </c>
      <c r="I24" s="3">
        <f t="shared" si="41"/>
        <v>171411.73774999994</v>
      </c>
      <c r="J24" s="3">
        <f t="shared" si="41"/>
        <v>197123.49841249993</v>
      </c>
      <c r="K24" s="3">
        <f t="shared" si="41"/>
        <v>226692.02317437492</v>
      </c>
    </row>
    <row r="25" spans="1:15" x14ac:dyDescent="0.2">
      <c r="A25" t="s">
        <v>38</v>
      </c>
      <c r="B25" s="7">
        <v>40140</v>
      </c>
      <c r="C25" s="7">
        <v>61053</v>
      </c>
      <c r="D25" s="7">
        <v>63645</v>
      </c>
      <c r="E25" s="7">
        <v>52729</v>
      </c>
      <c r="F25" s="7">
        <v>69753</v>
      </c>
      <c r="G25" s="7">
        <f>F25*1.15</f>
        <v>80215.95</v>
      </c>
      <c r="H25" s="7">
        <f t="shared" ref="H25:K25" si="42">G25*1.15</f>
        <v>92248.342499999984</v>
      </c>
      <c r="I25" s="7">
        <f t="shared" si="42"/>
        <v>106085.59387499998</v>
      </c>
      <c r="J25" s="7">
        <f t="shared" si="42"/>
        <v>121998.43295624996</v>
      </c>
      <c r="K25" s="7">
        <f t="shared" si="42"/>
        <v>140298.19789968745</v>
      </c>
      <c r="L25" s="1" t="s">
        <v>39</v>
      </c>
    </row>
    <row r="26" spans="1:15" x14ac:dyDescent="0.2">
      <c r="A26" t="s">
        <v>34</v>
      </c>
      <c r="B26" s="6">
        <f>B24-B25</f>
        <v>25924</v>
      </c>
      <c r="C26" s="7">
        <f t="shared" ref="C26:K26" si="43">C24-C25</f>
        <v>-14726</v>
      </c>
      <c r="D26" s="7">
        <f t="shared" si="43"/>
        <v>-16893</v>
      </c>
      <c r="E26" s="6">
        <f t="shared" si="43"/>
        <v>32217</v>
      </c>
      <c r="F26" s="6">
        <f t="shared" si="43"/>
        <v>42953</v>
      </c>
      <c r="G26" s="6">
        <f t="shared" si="43"/>
        <v>49395.95</v>
      </c>
      <c r="H26" s="6">
        <f t="shared" si="43"/>
        <v>56805.342499999984</v>
      </c>
      <c r="I26" s="6">
        <f t="shared" si="43"/>
        <v>65326.143874999965</v>
      </c>
      <c r="J26" s="6">
        <f t="shared" si="43"/>
        <v>75125.065456249969</v>
      </c>
      <c r="K26" s="6">
        <f t="shared" si="43"/>
        <v>86393.825274687464</v>
      </c>
      <c r="L26" s="17">
        <f>K14*O13</f>
        <v>2261312.3841636539</v>
      </c>
    </row>
    <row r="28" spans="1:15" x14ac:dyDescent="0.2">
      <c r="A28" t="s">
        <v>18</v>
      </c>
      <c r="B28" s="12">
        <f>B7/B5</f>
        <v>0.3956779186870571</v>
      </c>
      <c r="C28" s="12">
        <f t="shared" ref="C28:K28" si="44">C7/C5</f>
        <v>0.42032514441639601</v>
      </c>
      <c r="D28" s="12">
        <f t="shared" si="44"/>
        <v>0.43805339865326287</v>
      </c>
      <c r="E28" s="12">
        <f t="shared" si="44"/>
        <v>0.46982088955000567</v>
      </c>
      <c r="F28" s="12">
        <f t="shared" si="44"/>
        <v>0.49390005743825388</v>
      </c>
      <c r="G28" s="12">
        <f t="shared" si="44"/>
        <v>0.51681779068633293</v>
      </c>
      <c r="H28" s="12">
        <f t="shared" si="44"/>
        <v>0.53869773978732916</v>
      </c>
      <c r="I28" s="12">
        <f t="shared" si="44"/>
        <v>0.55958689874035583</v>
      </c>
      <c r="J28" s="12">
        <f t="shared" si="44"/>
        <v>0.57953013351437743</v>
      </c>
      <c r="K28" s="12">
        <f t="shared" si="44"/>
        <v>0.59857027841183974</v>
      </c>
    </row>
    <row r="29" spans="1:15" x14ac:dyDescent="0.2">
      <c r="A29" t="s">
        <v>45</v>
      </c>
      <c r="B29" s="12">
        <f>B14/B5</f>
        <v>5.9319180239545778E-2</v>
      </c>
      <c r="C29" s="12">
        <f t="shared" ref="C29:K29" si="45">C14/C5</f>
        <v>5.2954097509269465E-2</v>
      </c>
      <c r="D29" s="12">
        <f t="shared" si="45"/>
        <v>2.3829581912242232E-2</v>
      </c>
      <c r="E29" s="12">
        <f t="shared" si="45"/>
        <v>6.4114407996033296E-2</v>
      </c>
      <c r="F29" s="12">
        <f t="shared" si="45"/>
        <v>0.10681381800278986</v>
      </c>
      <c r="G29" s="12">
        <f t="shared" si="45"/>
        <v>0.14359726959286959</v>
      </c>
      <c r="H29" s="12">
        <f t="shared" si="45"/>
        <v>0.17947166110536347</v>
      </c>
      <c r="I29" s="12">
        <f t="shared" si="45"/>
        <v>0.21366139131444764</v>
      </c>
      <c r="J29" s="12">
        <f t="shared" si="45"/>
        <v>0.24624806683415171</v>
      </c>
      <c r="K29" s="12">
        <f t="shared" si="45"/>
        <v>0.27730929030434381</v>
      </c>
    </row>
    <row r="30" spans="1:15" x14ac:dyDescent="0.2">
      <c r="A30" t="s">
        <v>46</v>
      </c>
      <c r="B30" s="12">
        <f>B22/B5</f>
        <v>5.5252496995316841E-2</v>
      </c>
      <c r="C30" s="12">
        <f t="shared" ref="C30:K30" si="46">C22/C5</f>
        <v>7.1014128755145567E-2</v>
      </c>
      <c r="D30" s="12">
        <f t="shared" si="46"/>
        <v>-5.2958950004183018E-3</v>
      </c>
      <c r="E30" s="12">
        <f t="shared" si="46"/>
        <v>5.2932835755978319E-2</v>
      </c>
      <c r="F30" s="12">
        <f t="shared" si="46"/>
        <v>9.2455895626487247E-2</v>
      </c>
      <c r="G30" s="12">
        <f t="shared" si="46"/>
        <v>0.13005205980390486</v>
      </c>
      <c r="H30" s="12">
        <f t="shared" si="46"/>
        <v>0.16669316130445333</v>
      </c>
      <c r="I30" s="12">
        <f t="shared" si="46"/>
        <v>0.201606202823023</v>
      </c>
      <c r="J30" s="12">
        <f t="shared" si="46"/>
        <v>0.23487524750261904</v>
      </c>
      <c r="K30" s="12">
        <f t="shared" si="46"/>
        <v>0.26658021546327526</v>
      </c>
    </row>
    <row r="31" spans="1:15" x14ac:dyDescent="0.2">
      <c r="A31" t="s">
        <v>47</v>
      </c>
      <c r="B31" s="10">
        <f>B26/'Capital Structure'!K6</f>
        <v>1.1237648737830378E-2</v>
      </c>
      <c r="C31" s="10">
        <f>'Capital Structure'!L6</f>
        <v>0</v>
      </c>
      <c r="D31" s="10">
        <f>'Capital Structure'!M6</f>
        <v>0</v>
      </c>
      <c r="E31" s="10">
        <f>E26/'Capital Structure'!$K6</f>
        <v>1.3965565861235969E-2</v>
      </c>
      <c r="F31" s="10">
        <f>F26/'Capital Structure'!$K6</f>
        <v>1.8619454028546065E-2</v>
      </c>
      <c r="G31" s="10">
        <f>G26/'Capital Structure'!K6</f>
        <v>2.1412372132827973E-2</v>
      </c>
      <c r="H31" s="10">
        <f>H26/'Capital Structure'!$K6</f>
        <v>2.4624227952752164E-2</v>
      </c>
      <c r="I31" s="10">
        <f>I26/'Capital Structure'!$K6</f>
        <v>2.8317862145664983E-2</v>
      </c>
      <c r="J31" s="10">
        <f>J26/'Capital Structure'!$K6</f>
        <v>3.2565541467514732E-2</v>
      </c>
      <c r="K31" s="10">
        <f>K26/'Capital Structure'!$K6</f>
        <v>3.7450372687641939E-2</v>
      </c>
    </row>
    <row r="32" spans="1:15" x14ac:dyDescent="0.2">
      <c r="A32" t="s">
        <v>48</v>
      </c>
      <c r="B32" s="12">
        <f>B26/B5</f>
        <v>6.7149488167764934E-2</v>
      </c>
      <c r="C32" s="12">
        <f t="shared" ref="C32:K32" si="47">C26/C5</f>
        <v>-3.1343785518770942E-2</v>
      </c>
      <c r="D32" s="12">
        <f t="shared" si="47"/>
        <v>-3.2866845790619534E-2</v>
      </c>
      <c r="E32" s="12">
        <f t="shared" si="47"/>
        <v>5.6050523239124198E-2</v>
      </c>
      <c r="F32" s="12">
        <f t="shared" si="47"/>
        <v>7.0489866250923114E-2</v>
      </c>
      <c r="G32" s="12">
        <f t="shared" si="47"/>
        <v>7.647485489486941E-2</v>
      </c>
      <c r="H32" s="12">
        <f t="shared" si="47"/>
        <v>8.2968002951980938E-2</v>
      </c>
      <c r="I32" s="12">
        <f t="shared" si="47"/>
        <v>9.0012456032809482E-2</v>
      </c>
      <c r="J32" s="12">
        <f t="shared" si="47"/>
        <v>9.7655023054463122E-2</v>
      </c>
      <c r="K32" s="12">
        <f t="shared" si="47"/>
        <v>0.10594648727606848</v>
      </c>
    </row>
    <row r="33" spans="1:11" x14ac:dyDescent="0.2">
      <c r="A33" t="s">
        <v>49</v>
      </c>
      <c r="C33" s="12">
        <f>C26/C25</f>
        <v>-0.24120026861906868</v>
      </c>
      <c r="D33" s="12">
        <f t="shared" ref="D33:J33" si="48">D26/D25</f>
        <v>-0.26542540655196795</v>
      </c>
      <c r="E33" s="12">
        <f t="shared" si="48"/>
        <v>0.61099205370858545</v>
      </c>
      <c r="F33" s="12">
        <f t="shared" si="48"/>
        <v>0.61578713460352963</v>
      </c>
      <c r="G33" s="12">
        <f t="shared" si="48"/>
        <v>0.61578713460352963</v>
      </c>
      <c r="H33" s="12">
        <f t="shared" si="48"/>
        <v>0.61578713460352952</v>
      </c>
      <c r="I33" s="12">
        <f t="shared" si="48"/>
        <v>0.61578713460352941</v>
      </c>
      <c r="J33" s="12">
        <f t="shared" si="48"/>
        <v>0.61578713460352952</v>
      </c>
      <c r="K33" s="12">
        <f>K26/K25</f>
        <v>0.61578713460352952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Structure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Shah</dc:creator>
  <cp:lastModifiedBy>Microsoft Office User</cp:lastModifiedBy>
  <dcterms:created xsi:type="dcterms:W3CDTF">2025-01-02T11:01:55Z</dcterms:created>
  <dcterms:modified xsi:type="dcterms:W3CDTF">2025-02-14T17:00:35Z</dcterms:modified>
</cp:coreProperties>
</file>