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A920FCF2-7584-4038-99BB-EC4FC1E996A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2" i="2"/>
  <c r="D16" i="2"/>
  <c r="R3" i="2"/>
  <c r="R4" i="2"/>
  <c r="R5" i="2"/>
  <c r="R6" i="2"/>
  <c r="R7" i="2"/>
  <c r="R8" i="2"/>
  <c r="R9" i="2"/>
  <c r="R10" i="2"/>
  <c r="R11" i="2"/>
  <c r="R2" i="2"/>
  <c r="Q3" i="2"/>
  <c r="Q4" i="2"/>
  <c r="Q5" i="2"/>
  <c r="Q6" i="2"/>
  <c r="Q7" i="2"/>
  <c r="Q8" i="2"/>
  <c r="Q9" i="2"/>
  <c r="Q10" i="2"/>
  <c r="Q11" i="2"/>
  <c r="Q2" i="2"/>
  <c r="P3" i="2"/>
  <c r="P4" i="2"/>
  <c r="P5" i="2"/>
  <c r="P6" i="2"/>
  <c r="P7" i="2"/>
  <c r="P8" i="2"/>
  <c r="P9" i="2"/>
  <c r="P10" i="2"/>
  <c r="P11" i="2"/>
  <c r="P2" i="2"/>
  <c r="O3" i="2"/>
  <c r="O4" i="2"/>
  <c r="O5" i="2"/>
  <c r="O6" i="2"/>
  <c r="O7" i="2"/>
  <c r="O8" i="2"/>
  <c r="O9" i="2"/>
  <c r="O10" i="2"/>
  <c r="O11" i="2"/>
  <c r="O2" i="2"/>
  <c r="N3" i="2"/>
  <c r="N4" i="2"/>
  <c r="N5" i="2"/>
  <c r="N6" i="2"/>
  <c r="N7" i="2"/>
  <c r="N8" i="2"/>
  <c r="N9" i="2"/>
  <c r="N10" i="2"/>
  <c r="N11" i="2"/>
  <c r="N2" i="2"/>
  <c r="M3" i="2"/>
  <c r="M4" i="2"/>
  <c r="M5" i="2"/>
  <c r="M6" i="2"/>
  <c r="M7" i="2"/>
  <c r="M8" i="2"/>
  <c r="M9" i="2"/>
  <c r="M10" i="2"/>
  <c r="M11" i="2"/>
  <c r="M2" i="2"/>
  <c r="B17" i="2"/>
  <c r="B16" i="2"/>
  <c r="B15" i="2"/>
  <c r="L11" i="2"/>
  <c r="L10" i="2"/>
  <c r="L9" i="2"/>
  <c r="L8" i="2"/>
  <c r="L7" i="2"/>
  <c r="L6" i="2"/>
  <c r="L5" i="2"/>
  <c r="L4" i="2"/>
  <c r="L3" i="2"/>
  <c r="L2" i="2"/>
  <c r="L12" i="2" s="1"/>
  <c r="P5" i="1"/>
  <c r="P6" i="1"/>
  <c r="P7" i="1"/>
  <c r="P8" i="1"/>
  <c r="P9" i="1"/>
  <c r="P10" i="1"/>
  <c r="P11" i="1"/>
  <c r="P12" i="1"/>
  <c r="P13" i="1"/>
  <c r="P4" i="1"/>
  <c r="B33" i="1"/>
  <c r="Q5" i="1"/>
  <c r="Q6" i="1"/>
  <c r="Q7" i="1"/>
  <c r="Q8" i="1"/>
  <c r="Q9" i="1"/>
  <c r="Q10" i="1"/>
  <c r="Q11" i="1"/>
  <c r="Q12" i="1"/>
  <c r="Q13" i="1"/>
  <c r="Q4" i="1"/>
  <c r="B35" i="1"/>
  <c r="B34" i="1"/>
  <c r="B29" i="1"/>
  <c r="B30" i="1"/>
  <c r="O5" i="1"/>
  <c r="O6" i="1"/>
  <c r="O7" i="1"/>
  <c r="O8" i="1"/>
  <c r="O9" i="1"/>
  <c r="O10" i="1"/>
  <c r="O11" i="1"/>
  <c r="O12" i="1"/>
  <c r="O13" i="1"/>
  <c r="O4" i="1"/>
  <c r="N5" i="1"/>
  <c r="N6" i="1"/>
  <c r="N7" i="1"/>
  <c r="N8" i="1"/>
  <c r="N9" i="1"/>
  <c r="N10" i="1"/>
  <c r="N11" i="1"/>
  <c r="N12" i="1"/>
  <c r="N13" i="1"/>
  <c r="N4" i="1"/>
  <c r="M19" i="1"/>
  <c r="O34" i="1"/>
  <c r="O33" i="1"/>
  <c r="O32" i="1"/>
  <c r="O31" i="1"/>
  <c r="O30" i="1"/>
  <c r="O29" i="1"/>
  <c r="O28" i="1"/>
  <c r="P26" i="1"/>
  <c r="O27" i="1"/>
  <c r="O26" i="1"/>
  <c r="E43" i="1"/>
  <c r="E42" i="1"/>
  <c r="B31" i="1"/>
  <c r="B27" i="1"/>
  <c r="J46" i="1"/>
  <c r="B28" i="1"/>
  <c r="B26" i="1"/>
  <c r="J45" i="1"/>
  <c r="B25" i="1"/>
  <c r="B23" i="1"/>
  <c r="B24" i="1" a="1"/>
  <c r="B24" i="1"/>
  <c r="B21" i="1"/>
  <c r="B22" i="1"/>
  <c r="E18" i="1"/>
  <c r="E16" i="1"/>
  <c r="J44" i="1"/>
  <c r="J43" i="1"/>
  <c r="J42" i="1"/>
  <c r="J41" i="1"/>
  <c r="J40" i="1"/>
  <c r="J39" i="1"/>
  <c r="J38" i="1"/>
  <c r="J37" i="1"/>
  <c r="L14" i="1"/>
  <c r="L5" i="1"/>
  <c r="L6" i="1"/>
  <c r="L7" i="1"/>
  <c r="L8" i="1"/>
  <c r="L9" i="1"/>
  <c r="L10" i="1"/>
  <c r="L11" i="1"/>
  <c r="L12" i="1"/>
  <c r="L13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<sst xmlns="http://schemas.openxmlformats.org/spreadsheetml/2006/main" count="207" uniqueCount="110">
  <si>
    <t>E-commerce Data</t>
  </si>
  <si>
    <t>Order ID</t>
  </si>
  <si>
    <t>Customer Name</t>
  </si>
  <si>
    <t>City</t>
  </si>
  <si>
    <t>Category</t>
  </si>
  <si>
    <t>Product</t>
  </si>
  <si>
    <t>Price</t>
  </si>
  <si>
    <t>Quantity</t>
  </si>
  <si>
    <t>Date of Purchase</t>
  </si>
  <si>
    <t>Payment Method</t>
  </si>
  <si>
    <t>Discount (%)</t>
  </si>
  <si>
    <t>Delivery Status</t>
  </si>
  <si>
    <t>Rajesh Sharma</t>
  </si>
  <si>
    <t>Mumbai</t>
  </si>
  <si>
    <t>Electronics</t>
  </si>
  <si>
    <t>Mobile Phone</t>
  </si>
  <si>
    <t>Credit Card</t>
  </si>
  <si>
    <t>Delivered</t>
  </si>
  <si>
    <t>Priya Kapoor</t>
  </si>
  <si>
    <t>Delhi</t>
  </si>
  <si>
    <t>Fashion</t>
  </si>
  <si>
    <t>T-shirt</t>
  </si>
  <si>
    <t>UPI</t>
  </si>
  <si>
    <t>Ankit Verma</t>
  </si>
  <si>
    <t>Bangalore</t>
  </si>
  <si>
    <t>Headphones</t>
  </si>
  <si>
    <t>Cash</t>
  </si>
  <si>
    <t>Pending</t>
  </si>
  <si>
    <t>Sneha Agarwal</t>
  </si>
  <si>
    <t>Home Decor</t>
  </si>
  <si>
    <t>Wall Clock</t>
  </si>
  <si>
    <t>Debit Card</t>
  </si>
  <si>
    <t>Sunil Patel</t>
  </si>
  <si>
    <t>Ahmedabad</t>
  </si>
  <si>
    <t>Jeans</t>
  </si>
  <si>
    <t>Meena Reddy</t>
  </si>
  <si>
    <t>Hyderabad</t>
  </si>
  <si>
    <t>Laptop</t>
  </si>
  <si>
    <t>Ramesh Iyer</t>
  </si>
  <si>
    <t>Chennai</t>
  </si>
  <si>
    <t>Groceries</t>
  </si>
  <si>
    <t>Rice Bag</t>
  </si>
  <si>
    <t>Pooja Sinha</t>
  </si>
  <si>
    <t>Kolkata</t>
  </si>
  <si>
    <t>Jacket</t>
  </si>
  <si>
    <t>Ajay Bhatt</t>
  </si>
  <si>
    <t>Smartwatch</t>
  </si>
  <si>
    <t>Kavita Jain</t>
  </si>
  <si>
    <t>Jaipur</t>
  </si>
  <si>
    <t>Lamp</t>
  </si>
  <si>
    <t>Total Sale</t>
  </si>
  <si>
    <t>Total</t>
  </si>
  <si>
    <t>sum</t>
  </si>
  <si>
    <t>max</t>
  </si>
  <si>
    <t>min</t>
  </si>
  <si>
    <t>COUNT</t>
  </si>
  <si>
    <t>COUNTA</t>
  </si>
  <si>
    <t>TEXT</t>
  </si>
  <si>
    <t>NUM</t>
  </si>
  <si>
    <t>COUNTBLANK</t>
  </si>
  <si>
    <t>AVERAGE</t>
  </si>
  <si>
    <t>SUMIF/ELECTRONICS</t>
  </si>
  <si>
    <t>SUMIFS/ELEC/MUMBAI</t>
  </si>
  <si>
    <t>find out the total sale if the payment is done by credit card</t>
  </si>
  <si>
    <t>find out the total quantity has been sold in city mumbai</t>
  </si>
  <si>
    <t>find out the total sale for city ,mumbai and banglore</t>
  </si>
  <si>
    <t>find out the total sale of home decor</t>
  </si>
  <si>
    <t>countif</t>
  </si>
  <si>
    <t>countifs</t>
  </si>
  <si>
    <t>how many customer have use upi as payment method and there delivery status is delivered</t>
  </si>
  <si>
    <t>find out the total sale if the customer has ordered more than 2 quantity</t>
  </si>
  <si>
    <t>how many customer has a discount more than 5%</t>
  </si>
  <si>
    <t>find out the total sale if the customer is from mumbai and the category is  electronics in which the discount is less than and equal to 5%</t>
  </si>
  <si>
    <t>how many customer has used credit card as payment method abd they got discount more than equal to 5% and there product has been delivered</t>
  </si>
  <si>
    <t>how many customer used credit card and and item also delivered</t>
  </si>
  <si>
    <t>avg</t>
  </si>
  <si>
    <t>avga</t>
  </si>
  <si>
    <t>AVERAGEA</t>
  </si>
  <si>
    <t>sumif</t>
  </si>
  <si>
    <t>sumifs</t>
  </si>
  <si>
    <t>both text and numeric</t>
  </si>
  <si>
    <t>numeric value</t>
  </si>
  <si>
    <t>Tushar</t>
  </si>
  <si>
    <t>Shukla</t>
  </si>
  <si>
    <t>concate</t>
  </si>
  <si>
    <t>conate with space</t>
  </si>
  <si>
    <t>abhi</t>
  </si>
  <si>
    <t>left</t>
  </si>
  <si>
    <t>right</t>
  </si>
  <si>
    <t>length</t>
  </si>
  <si>
    <t xml:space="preserve">both numerical and text </t>
  </si>
  <si>
    <t>mid</t>
  </si>
  <si>
    <t>Cybrom technology</t>
  </si>
  <si>
    <t>IF</t>
  </si>
  <si>
    <t>target not ach</t>
  </si>
  <si>
    <t>AND</t>
  </si>
  <si>
    <t>OR</t>
  </si>
  <si>
    <t>how many customer have bought electronics item</t>
  </si>
  <si>
    <t>find out the total sale if the payment is done by cash and the discount is 2 % and delivery status is pending</t>
  </si>
  <si>
    <t>or</t>
  </si>
  <si>
    <t>how many customer has use debit card or upi with logical function</t>
  </si>
  <si>
    <t>poja sinha</t>
  </si>
  <si>
    <t xml:space="preserve">ramesh </t>
  </si>
  <si>
    <t>month</t>
  </si>
  <si>
    <t>month text</t>
  </si>
  <si>
    <t>year</t>
  </si>
  <si>
    <t>date 7</t>
  </si>
  <si>
    <t>5 year</t>
  </si>
  <si>
    <t>7 day before</t>
  </si>
  <si>
    <t>city starting 3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</si>
</sst>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4" fontId="7" fillId="0" borderId="0" xfId="0" applyNumberFormat="1" applyFont="1" applyAlignment="1">
      <alignment vertical="center" wrapText="1"/>
    </xf>
    <xf numFmtId="0" fontId="7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/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opLeftCell="A2" zoomScale="106" workbookViewId="0">
      <selection activeCell="A3" sqref="A3:L14"/>
    </sheetView>
  </sheetViews>
  <sheetFormatPr defaultColWidth="12.6328125" defaultRowHeight="15" customHeight="1" x14ac:dyDescent="0.35"/>
  <cols>
    <col min="1" max="1" width="12.6328125" customWidth="1"/>
    <col min="3" max="3" width="55.36328125" customWidth="1"/>
    <col min="13" max="13" width="16" customWidth="1"/>
    <col min="16" max="16" width="12.54296875" customWidth="1"/>
  </cols>
  <sheetData>
    <row r="1" spans="1:17" ht="14.25" customHeigh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7" ht="14.25" customHeight="1" x14ac:dyDescent="0.35"/>
    <row r="3" spans="1:17" ht="14.2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50</v>
      </c>
      <c r="N3" s="11" t="s">
        <v>93</v>
      </c>
      <c r="O3" s="11" t="s">
        <v>95</v>
      </c>
      <c r="P3" s="11" t="s">
        <v>96</v>
      </c>
      <c r="Q3" s="11" t="s">
        <v>99</v>
      </c>
    </row>
    <row r="4" spans="1:17" ht="14.25" customHeight="1" x14ac:dyDescent="0.35">
      <c r="A4" s="2">
        <v>101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15000</v>
      </c>
      <c r="G4" s="2">
        <v>2</v>
      </c>
      <c r="H4" s="3">
        <v>45597</v>
      </c>
      <c r="I4" s="2" t="s">
        <v>16</v>
      </c>
      <c r="J4" s="2">
        <v>5</v>
      </c>
      <c r="K4" s="2" t="s">
        <v>17</v>
      </c>
      <c r="L4" s="4">
        <f>F4*G4</f>
        <v>30000</v>
      </c>
      <c r="N4" t="str">
        <f>IF(L4&gt;=1500,"target ach","target not ach")</f>
        <v>target ach</v>
      </c>
      <c r="O4" t="b">
        <f>AND(I4 ="credit card",K4= "delivered")</f>
        <v>1</v>
      </c>
      <c r="P4" t="b">
        <f>OR(I4= "debit card",I4= "upi")</f>
        <v>0</v>
      </c>
      <c r="Q4" t="b">
        <f>OR(I4="debit card",I4="upi")</f>
        <v>0</v>
      </c>
    </row>
    <row r="5" spans="1:17" ht="14.25" customHeight="1" x14ac:dyDescent="0.35">
      <c r="A5" s="2">
        <v>102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500</v>
      </c>
      <c r="G5" s="2">
        <v>3</v>
      </c>
      <c r="H5" s="3">
        <v>45598</v>
      </c>
      <c r="I5" s="2" t="s">
        <v>22</v>
      </c>
      <c r="J5" s="2">
        <v>10</v>
      </c>
      <c r="K5" s="2" t="s">
        <v>17</v>
      </c>
      <c r="L5" s="4">
        <f t="shared" ref="L5:L13" si="0">F5*G5</f>
        <v>1500</v>
      </c>
      <c r="N5" t="str">
        <f>IF(L5&gt;=1500,"target ach","target not ach")</f>
        <v>target ach</v>
      </c>
      <c r="O5" t="b">
        <f>AND(I5 ="credit card",K5= "delivered")</f>
        <v>0</v>
      </c>
      <c r="P5" t="b">
        <f>OR(I5= "debit card",I5= "upi")</f>
        <v>1</v>
      </c>
      <c r="Q5" t="b">
        <f>OR(I5="debit card",I5="upi")</f>
        <v>1</v>
      </c>
    </row>
    <row r="6" spans="1:17" ht="14.25" customHeight="1" x14ac:dyDescent="0.35">
      <c r="A6" s="2">
        <v>103</v>
      </c>
      <c r="B6" s="2" t="s">
        <v>23</v>
      </c>
      <c r="C6" s="2" t="s">
        <v>24</v>
      </c>
      <c r="D6" s="2" t="s">
        <v>14</v>
      </c>
      <c r="E6" s="2" t="s">
        <v>25</v>
      </c>
      <c r="F6" s="2">
        <v>2000</v>
      </c>
      <c r="G6" s="2">
        <v>1</v>
      </c>
      <c r="H6" s="3">
        <v>45601</v>
      </c>
      <c r="I6" s="2" t="s">
        <v>26</v>
      </c>
      <c r="J6" s="2">
        <v>0</v>
      </c>
      <c r="K6" s="2" t="s">
        <v>27</v>
      </c>
      <c r="L6" s="4">
        <f t="shared" si="0"/>
        <v>2000</v>
      </c>
      <c r="N6" t="str">
        <f>IF(L6&gt;=1500,"target ach","target not ach")</f>
        <v>target ach</v>
      </c>
      <c r="O6" t="b">
        <f>AND(I6 ="credit card",K6= "delivered")</f>
        <v>0</v>
      </c>
      <c r="P6" t="b">
        <f>OR(I6= "debit card",I6= "upi")</f>
        <v>0</v>
      </c>
      <c r="Q6" t="b">
        <f>OR(I6="debit card",I6="upi")</f>
        <v>0</v>
      </c>
    </row>
    <row r="7" spans="1:17" ht="14.25" customHeight="1" x14ac:dyDescent="0.35">
      <c r="A7" s="2">
        <v>104</v>
      </c>
      <c r="B7" s="2" t="s">
        <v>28</v>
      </c>
      <c r="C7" s="2" t="s">
        <v>13</v>
      </c>
      <c r="D7" s="2" t="s">
        <v>29</v>
      </c>
      <c r="E7" s="2" t="s">
        <v>30</v>
      </c>
      <c r="F7" s="2">
        <v>1200</v>
      </c>
      <c r="G7" s="2">
        <v>1</v>
      </c>
      <c r="H7" s="3">
        <v>45602</v>
      </c>
      <c r="I7" s="2" t="s">
        <v>31</v>
      </c>
      <c r="J7" s="2">
        <v>15</v>
      </c>
      <c r="K7" s="2" t="s">
        <v>17</v>
      </c>
      <c r="L7" s="4">
        <f t="shared" si="0"/>
        <v>1200</v>
      </c>
      <c r="N7" t="str">
        <f>IF(L7&gt;=1500,"target ach","target not ach")</f>
        <v>target not ach</v>
      </c>
      <c r="O7" t="b">
        <f>AND(I7 ="credit card",K7= "delivered")</f>
        <v>0</v>
      </c>
      <c r="P7" t="b">
        <f>OR(I7= "debit card",I7= "upi")</f>
        <v>1</v>
      </c>
      <c r="Q7" t="b">
        <f>OR(I7="debit card",I7="upi")</f>
        <v>1</v>
      </c>
    </row>
    <row r="8" spans="1:17" ht="14.25" customHeight="1" x14ac:dyDescent="0.35">
      <c r="A8" s="2">
        <v>105</v>
      </c>
      <c r="B8" s="2" t="s">
        <v>32</v>
      </c>
      <c r="C8" s="2" t="s">
        <v>33</v>
      </c>
      <c r="D8" s="2" t="s">
        <v>20</v>
      </c>
      <c r="E8" s="2" t="s">
        <v>34</v>
      </c>
      <c r="F8" s="2">
        <v>1200</v>
      </c>
      <c r="G8" s="2">
        <v>2</v>
      </c>
      <c r="H8" s="3">
        <v>45603</v>
      </c>
      <c r="I8" s="2" t="s">
        <v>22</v>
      </c>
      <c r="J8" s="2">
        <v>5</v>
      </c>
      <c r="K8" s="2" t="s">
        <v>27</v>
      </c>
      <c r="L8" s="4">
        <f t="shared" si="0"/>
        <v>2400</v>
      </c>
      <c r="N8" t="str">
        <f>IF(L8&gt;=1500,"target ach","target not ach")</f>
        <v>target ach</v>
      </c>
      <c r="O8" t="b">
        <f>AND(I8 ="credit card",K8= "delivered")</f>
        <v>0</v>
      </c>
      <c r="P8" t="b">
        <f>OR(I8= "debit card",I8= "upi")</f>
        <v>1</v>
      </c>
      <c r="Q8" t="b">
        <f>OR(I8="debit card",I8="upi")</f>
        <v>1</v>
      </c>
    </row>
    <row r="9" spans="1:17" ht="14.25" customHeight="1" x14ac:dyDescent="0.35">
      <c r="A9" s="2">
        <v>106</v>
      </c>
      <c r="B9" s="2" t="s">
        <v>35</v>
      </c>
      <c r="C9" s="2" t="s">
        <v>36</v>
      </c>
      <c r="D9" s="2" t="s">
        <v>14</v>
      </c>
      <c r="E9" s="2" t="s">
        <v>37</v>
      </c>
      <c r="F9" s="2">
        <v>45000</v>
      </c>
      <c r="G9" s="2">
        <v>1</v>
      </c>
      <c r="H9" s="3">
        <v>45604</v>
      </c>
      <c r="I9" s="2" t="s">
        <v>16</v>
      </c>
      <c r="J9" s="2">
        <v>8</v>
      </c>
      <c r="K9" s="2" t="s">
        <v>27</v>
      </c>
      <c r="L9" s="4">
        <f t="shared" si="0"/>
        <v>45000</v>
      </c>
      <c r="N9" t="str">
        <f>IF(L9&gt;=1500,"target ach","target not ach")</f>
        <v>target ach</v>
      </c>
      <c r="O9" t="b">
        <f>AND(I9 ="credit card",K9= "delivered")</f>
        <v>0</v>
      </c>
      <c r="P9" t="b">
        <f>OR(I9= "debit card",I9= "upi")</f>
        <v>0</v>
      </c>
      <c r="Q9" t="b">
        <f>OR(I9="debit card",I9="upi")</f>
        <v>0</v>
      </c>
    </row>
    <row r="10" spans="1:17" ht="14.25" customHeight="1" x14ac:dyDescent="0.35">
      <c r="A10" s="2">
        <v>107</v>
      </c>
      <c r="B10" s="2" t="s">
        <v>38</v>
      </c>
      <c r="C10" s="2" t="s">
        <v>39</v>
      </c>
      <c r="D10" s="2" t="s">
        <v>40</v>
      </c>
      <c r="E10" s="2" t="s">
        <v>41</v>
      </c>
      <c r="F10" s="2">
        <v>1200</v>
      </c>
      <c r="G10" s="2">
        <v>4</v>
      </c>
      <c r="H10" s="3">
        <v>45605</v>
      </c>
      <c r="I10" s="2" t="s">
        <v>26</v>
      </c>
      <c r="J10" s="2">
        <v>0</v>
      </c>
      <c r="K10" s="2" t="s">
        <v>27</v>
      </c>
      <c r="L10" s="4">
        <f t="shared" si="0"/>
        <v>4800</v>
      </c>
      <c r="N10" t="str">
        <f>IF(L10&gt;=1500,"target ach","target not ach")</f>
        <v>target ach</v>
      </c>
      <c r="O10" t="b">
        <f>AND(I10 ="credit card",K10= "delivered")</f>
        <v>0</v>
      </c>
      <c r="P10" t="b">
        <f>OR(I10= "debit card",I10= "upi")</f>
        <v>0</v>
      </c>
      <c r="Q10" t="b">
        <f>OR(I10="debit card",I10="upi")</f>
        <v>0</v>
      </c>
    </row>
    <row r="11" spans="1:17" ht="14.25" customHeight="1" x14ac:dyDescent="0.35">
      <c r="A11" s="2">
        <v>108</v>
      </c>
      <c r="B11" s="2" t="s">
        <v>42</v>
      </c>
      <c r="C11" s="2" t="s">
        <v>43</v>
      </c>
      <c r="D11" s="2" t="s">
        <v>20</v>
      </c>
      <c r="E11" s="2" t="s">
        <v>44</v>
      </c>
      <c r="F11" s="2">
        <v>2500</v>
      </c>
      <c r="G11" s="2">
        <v>1</v>
      </c>
      <c r="H11" s="3">
        <v>45606</v>
      </c>
      <c r="I11" s="2" t="s">
        <v>22</v>
      </c>
      <c r="J11" s="2">
        <v>20</v>
      </c>
      <c r="K11" s="2" t="s">
        <v>17</v>
      </c>
      <c r="L11" s="4">
        <f t="shared" si="0"/>
        <v>2500</v>
      </c>
      <c r="N11" t="str">
        <f>IF(L11&gt;=1500,"target ach","target not ach")</f>
        <v>target ach</v>
      </c>
      <c r="O11" t="b">
        <f>AND(I11 ="credit card",K11= "delivered")</f>
        <v>0</v>
      </c>
      <c r="P11" t="b">
        <f>OR(I11= "debit card",I11= "upi")</f>
        <v>1</v>
      </c>
      <c r="Q11" t="b">
        <f>OR(I11="debit card",I11="upi")</f>
        <v>1</v>
      </c>
    </row>
    <row r="12" spans="1:17" ht="14.25" customHeight="1" x14ac:dyDescent="0.35">
      <c r="A12" s="2">
        <v>109</v>
      </c>
      <c r="B12" s="2" t="s">
        <v>45</v>
      </c>
      <c r="C12" s="2" t="s">
        <v>13</v>
      </c>
      <c r="D12" s="2" t="s">
        <v>14</v>
      </c>
      <c r="E12" s="2" t="s">
        <v>46</v>
      </c>
      <c r="F12" s="2">
        <v>5000</v>
      </c>
      <c r="G12" s="2">
        <v>2</v>
      </c>
      <c r="H12" s="3">
        <v>45608</v>
      </c>
      <c r="I12" s="2" t="s">
        <v>16</v>
      </c>
      <c r="J12" s="2">
        <v>10</v>
      </c>
      <c r="K12" s="2" t="s">
        <v>17</v>
      </c>
      <c r="L12" s="4">
        <f t="shared" si="0"/>
        <v>10000</v>
      </c>
      <c r="N12" t="str">
        <f>IF(L12&gt;=1500,"target ach","target not ach")</f>
        <v>target ach</v>
      </c>
      <c r="O12" t="b">
        <f>AND(I12 ="credit card",K12= "delivered")</f>
        <v>1</v>
      </c>
      <c r="P12" t="b">
        <f>OR(I12= "debit card",I12= "upi")</f>
        <v>0</v>
      </c>
      <c r="Q12" t="b">
        <f>OR(I12="debit card",I12="upi")</f>
        <v>0</v>
      </c>
    </row>
    <row r="13" spans="1:17" ht="14.25" customHeight="1" x14ac:dyDescent="0.35">
      <c r="A13" s="2">
        <v>110</v>
      </c>
      <c r="B13" s="2" t="s">
        <v>47</v>
      </c>
      <c r="C13" s="2" t="s">
        <v>48</v>
      </c>
      <c r="D13" s="2" t="s">
        <v>29</v>
      </c>
      <c r="E13" s="2" t="s">
        <v>49</v>
      </c>
      <c r="F13" s="2">
        <v>800</v>
      </c>
      <c r="G13" s="2">
        <v>1</v>
      </c>
      <c r="H13" s="3">
        <v>45609</v>
      </c>
      <c r="I13" s="2" t="s">
        <v>16</v>
      </c>
      <c r="J13" s="2">
        <v>5</v>
      </c>
      <c r="K13" s="2" t="s">
        <v>27</v>
      </c>
      <c r="L13" s="4">
        <f t="shared" si="0"/>
        <v>800</v>
      </c>
      <c r="N13" t="str">
        <f>IF(L13&gt;=1500,"target ach","target not ach")</f>
        <v>target not ach</v>
      </c>
      <c r="O13" t="b">
        <f>AND(I13 ="credit card",K13= "delivered")</f>
        <v>0</v>
      </c>
      <c r="P13" t="b">
        <f>OR(I13= "debit card",I13= "upi")</f>
        <v>0</v>
      </c>
      <c r="Q13" t="b">
        <f>OR(I13="debit card",I13="upi")</f>
        <v>0</v>
      </c>
    </row>
    <row r="14" spans="1:17" ht="14.25" customHeight="1" x14ac:dyDescent="0.35">
      <c r="E14" s="2"/>
      <c r="F14" s="4"/>
      <c r="K14" s="2" t="s">
        <v>51</v>
      </c>
      <c r="L14" s="4">
        <f>SUM(L4:L13)</f>
        <v>100200</v>
      </c>
    </row>
    <row r="15" spans="1:17" ht="14.25" customHeight="1" x14ac:dyDescent="0.35"/>
    <row r="16" spans="1:17" ht="14.25" customHeight="1" x14ac:dyDescent="0.35">
      <c r="D16" s="2" t="s">
        <v>61</v>
      </c>
      <c r="E16">
        <f>SUMIF(D4:D13,"ELECTRONICS",L4:L13)</f>
        <v>87000</v>
      </c>
    </row>
    <row r="17" spans="2:16" ht="14.25" customHeight="1" x14ac:dyDescent="0.35"/>
    <row r="18" spans="2:16" ht="14.25" customHeight="1" x14ac:dyDescent="0.35">
      <c r="D18" t="s">
        <v>62</v>
      </c>
      <c r="E18">
        <f>SUMIFS(L4:L13,D4:D13,"ELECTRONICS",C4:C13,"MUMBAI")</f>
        <v>40000</v>
      </c>
    </row>
    <row r="19" spans="2:16" ht="14.25" customHeight="1" x14ac:dyDescent="0.35">
      <c r="L19" s="10" t="s">
        <v>94</v>
      </c>
      <c r="M19">
        <f>COUNTIF(N4:N13,"target not ach")</f>
        <v>2</v>
      </c>
    </row>
    <row r="20" spans="2:16" ht="14.25" customHeight="1" x14ac:dyDescent="0.35"/>
    <row r="21" spans="2:16" ht="14.25" customHeight="1" x14ac:dyDescent="0.35">
      <c r="B21">
        <f>SUMIF(I4:I13,"credit card",L4:L13)</f>
        <v>85800</v>
      </c>
      <c r="C21" s="7" t="s">
        <v>63</v>
      </c>
    </row>
    <row r="22" spans="2:16" ht="14.25" customHeight="1" x14ac:dyDescent="0.35">
      <c r="B22">
        <f>SUMIF(C4:C13,"mumbai",G4:G13)</f>
        <v>5</v>
      </c>
      <c r="C22" s="8" t="s">
        <v>64</v>
      </c>
    </row>
    <row r="23" spans="2:16" ht="14.25" customHeight="1" x14ac:dyDescent="0.35">
      <c r="B23">
        <f>SUMIF(C4:C13,"mumbai",L4:L13)+SUMIF(C4:C13,"bangalore",L4:L13)</f>
        <v>43200</v>
      </c>
      <c r="C23" s="8" t="s">
        <v>65</v>
      </c>
    </row>
    <row r="24" spans="2:16" ht="14.25" customHeight="1" x14ac:dyDescent="0.35">
      <c r="B24" cm="1">
        <f t="array" ref="B24">SUM(SUMIF(C4:C13,{"mumbai","bangalore"},L4:L13))</f>
        <v>43200</v>
      </c>
      <c r="C24" s="7"/>
      <c r="N24" s="10" t="s">
        <v>82</v>
      </c>
      <c r="O24" s="10" t="s">
        <v>83</v>
      </c>
      <c r="P24" s="10" t="s">
        <v>86</v>
      </c>
    </row>
    <row r="25" spans="2:16" ht="14.25" customHeight="1" x14ac:dyDescent="0.35">
      <c r="B25">
        <f>SUMIF(D4:D13,"home decor",L4:L13)</f>
        <v>2000</v>
      </c>
      <c r="C25" s="8" t="s">
        <v>66</v>
      </c>
    </row>
    <row r="26" spans="2:16" ht="14.25" customHeight="1" x14ac:dyDescent="0.35">
      <c r="B26">
        <f>COUNTIFS(I4:I13,"credit card",K4:K13,"delivered")</f>
        <v>2</v>
      </c>
      <c r="C26" s="7" t="s">
        <v>74</v>
      </c>
      <c r="M26" s="10" t="s">
        <v>84</v>
      </c>
      <c r="O26" t="str">
        <f>_xlfn.CONCAT(N24:O24)</f>
        <v>TusharShukla</v>
      </c>
      <c r="P26" t="str">
        <f>_xlfn.CONCAT(N24:P24)</f>
        <v>TusharShuklaabhi</v>
      </c>
    </row>
    <row r="27" spans="2:16" ht="14.25" customHeight="1" x14ac:dyDescent="0.35">
      <c r="B27">
        <f>COUNTIFS(I4:I13,"upi",K4:K13,"delivered")</f>
        <v>2</v>
      </c>
      <c r="C27" s="7" t="s">
        <v>69</v>
      </c>
      <c r="M27" s="10" t="s">
        <v>85</v>
      </c>
      <c r="O27" t="str">
        <f>_xlfn.CONCAT(N24," ",O24)</f>
        <v>Tushar Shukla</v>
      </c>
    </row>
    <row r="28" spans="2:16" ht="14.25" customHeight="1" x14ac:dyDescent="0.35">
      <c r="B28">
        <f>SUMIF(G4:G13,"&gt;2",L4:L13)</f>
        <v>6300</v>
      </c>
      <c r="C28" s="7" t="s">
        <v>70</v>
      </c>
      <c r="M28" s="10" t="s">
        <v>87</v>
      </c>
      <c r="O28" t="str">
        <f>LEFT(O27,4)</f>
        <v>Tush</v>
      </c>
    </row>
    <row r="29" spans="2:16" ht="14.25" customHeight="1" x14ac:dyDescent="0.35">
      <c r="B29">
        <f>COUNTIF(J4:J13,"&gt;5")</f>
        <v>5</v>
      </c>
      <c r="C29" s="7" t="s">
        <v>71</v>
      </c>
      <c r="M29" s="10" t="s">
        <v>88</v>
      </c>
      <c r="O29" t="str">
        <f>RIGHT(O27,3)</f>
        <v>kla</v>
      </c>
    </row>
    <row r="30" spans="2:16" ht="16.5" customHeight="1" x14ac:dyDescent="0.35">
      <c r="B30">
        <f>SUMIFS(L4:L13,C4:C13,"mumbai",D4:D13,"electronics",J4:J13,"&lt;=5")</f>
        <v>30000</v>
      </c>
      <c r="C30" s="7" t="s">
        <v>72</v>
      </c>
      <c r="M30" s="10" t="s">
        <v>89</v>
      </c>
      <c r="O30">
        <f>LEN(O27)</f>
        <v>13</v>
      </c>
      <c r="P30" s="10" t="s">
        <v>90</v>
      </c>
    </row>
    <row r="31" spans="2:16" ht="17" customHeight="1" x14ac:dyDescent="0.35">
      <c r="B31">
        <f>COUNTIFS(I4:I13,"credit card",J4:J13,"&gt;=5",K4:K13,"delivered")</f>
        <v>2</v>
      </c>
      <c r="C31" s="7" t="s">
        <v>73</v>
      </c>
      <c r="O31">
        <f>LEN(L14)</f>
        <v>6</v>
      </c>
    </row>
    <row r="32" spans="2:16" ht="14.25" customHeight="1" x14ac:dyDescent="0.35">
      <c r="C32" s="12"/>
      <c r="M32" s="10" t="s">
        <v>91</v>
      </c>
      <c r="O32" t="str">
        <f>MID(O27,3,3)</f>
        <v>sha</v>
      </c>
      <c r="P32" s="10" t="s">
        <v>90</v>
      </c>
    </row>
    <row r="33" spans="2:15" ht="14.25" customHeight="1" x14ac:dyDescent="0.35">
      <c r="B33">
        <f>COUNTIF(P4:P13,"TRUE")</f>
        <v>4</v>
      </c>
      <c r="C33" s="14" t="s">
        <v>100</v>
      </c>
      <c r="O33" t="str">
        <f>MID(L14,3,3)</f>
        <v>020</v>
      </c>
    </row>
    <row r="34" spans="2:15" ht="14.25" customHeight="1" x14ac:dyDescent="0.35">
      <c r="B34">
        <f>COUNTIF(D4:D13,"electronics")</f>
        <v>4</v>
      </c>
      <c r="C34" s="8" t="s">
        <v>97</v>
      </c>
      <c r="M34" s="10" t="s">
        <v>92</v>
      </c>
      <c r="O34" t="str">
        <f>MID(M34,4,8)</f>
        <v>rom tech</v>
      </c>
    </row>
    <row r="35" spans="2:15" ht="14.25" customHeight="1" x14ac:dyDescent="0.35">
      <c r="B35">
        <f>SUMIFS(L4:L13,I4:I13,"cash",J4:J13,"&gt;2",K4:K13,"pending")</f>
        <v>0</v>
      </c>
      <c r="C35" s="13" t="s">
        <v>98</v>
      </c>
    </row>
    <row r="36" spans="2:15" ht="14.25" customHeight="1" x14ac:dyDescent="0.35">
      <c r="I36" s="9" t="s">
        <v>52</v>
      </c>
    </row>
    <row r="37" spans="2:15" ht="14.25" customHeight="1" x14ac:dyDescent="0.35">
      <c r="I37" t="s">
        <v>53</v>
      </c>
      <c r="J37">
        <f>MAX(L4:L13)</f>
        <v>45000</v>
      </c>
    </row>
    <row r="38" spans="2:15" ht="14.25" customHeight="1" x14ac:dyDescent="0.35">
      <c r="I38" t="s">
        <v>54</v>
      </c>
      <c r="J38">
        <f>MIN(L4:L13)</f>
        <v>800</v>
      </c>
    </row>
    <row r="39" spans="2:15" ht="14.25" customHeight="1" x14ac:dyDescent="0.35">
      <c r="I39" t="s">
        <v>55</v>
      </c>
      <c r="J39">
        <f>COUNT(A4:A13)</f>
        <v>10</v>
      </c>
    </row>
    <row r="40" spans="2:15" ht="14.25" customHeight="1" x14ac:dyDescent="0.35">
      <c r="C40" s="6"/>
      <c r="I40" t="s">
        <v>56</v>
      </c>
      <c r="J40">
        <f>COUNTA(K4:K13)</f>
        <v>10</v>
      </c>
      <c r="K40" t="s">
        <v>57</v>
      </c>
    </row>
    <row r="41" spans="2:15" ht="14.25" customHeight="1" x14ac:dyDescent="0.35">
      <c r="C41" s="5"/>
      <c r="I41" t="s">
        <v>56</v>
      </c>
      <c r="J41">
        <f>COUNTA(K4:K13)</f>
        <v>10</v>
      </c>
      <c r="K41" t="s">
        <v>58</v>
      </c>
    </row>
    <row r="42" spans="2:15" ht="14.25" customHeight="1" x14ac:dyDescent="0.35">
      <c r="B42">
        <v>100</v>
      </c>
      <c r="C42" s="5"/>
      <c r="D42" t="s">
        <v>75</v>
      </c>
      <c r="E42" s="6">
        <f>AVERAGE(B42:B43)</f>
        <v>150</v>
      </c>
      <c r="I42" t="s">
        <v>59</v>
      </c>
      <c r="J42">
        <f>COUNTBLANK(K4:K13)</f>
        <v>0</v>
      </c>
    </row>
    <row r="43" spans="2:15" ht="14.25" customHeight="1" x14ac:dyDescent="0.35">
      <c r="B43">
        <v>200</v>
      </c>
      <c r="C43" s="6"/>
      <c r="D43" t="s">
        <v>76</v>
      </c>
      <c r="E43" s="5">
        <f>AVERAGEA(B42:B44)</f>
        <v>100.33333333333333</v>
      </c>
      <c r="I43" t="s">
        <v>60</v>
      </c>
      <c r="J43">
        <f>L14/J39</f>
        <v>10020</v>
      </c>
      <c r="K43" s="10" t="s">
        <v>81</v>
      </c>
    </row>
    <row r="44" spans="2:15" ht="14.25" customHeight="1" x14ac:dyDescent="0.35">
      <c r="B44" t="b">
        <v>1</v>
      </c>
      <c r="C44" s="5"/>
      <c r="J44">
        <f>AVERAGE(L4:L13)</f>
        <v>10020</v>
      </c>
    </row>
    <row r="45" spans="2:15" ht="14.25" customHeight="1" x14ac:dyDescent="0.35">
      <c r="I45" t="s">
        <v>67</v>
      </c>
      <c r="J45">
        <f>COUNTIF(K4:K13,"pending")</f>
        <v>5</v>
      </c>
    </row>
    <row r="46" spans="2:15" ht="14.25" customHeight="1" x14ac:dyDescent="0.35">
      <c r="I46" t="s">
        <v>68</v>
      </c>
      <c r="J46">
        <f>COUNTIFS(I4:I13,"credit card",K4:K13,"delivered")</f>
        <v>2</v>
      </c>
    </row>
    <row r="47" spans="2:15" ht="14.25" customHeight="1" x14ac:dyDescent="0.35">
      <c r="I47" t="s">
        <v>77</v>
      </c>
      <c r="K47" s="10" t="s">
        <v>80</v>
      </c>
    </row>
    <row r="48" spans="2:15" ht="14.25" customHeight="1" x14ac:dyDescent="0.35">
      <c r="I48" s="10" t="s">
        <v>78</v>
      </c>
    </row>
    <row r="49" spans="9:11" ht="14.25" customHeight="1" x14ac:dyDescent="0.35">
      <c r="I49" s="10" t="s">
        <v>79</v>
      </c>
      <c r="K49" s="5"/>
    </row>
    <row r="50" spans="9:11" ht="14.25" customHeight="1" x14ac:dyDescent="0.35"/>
    <row r="51" spans="9:11" ht="14.25" customHeight="1" x14ac:dyDescent="0.35"/>
    <row r="52" spans="9:11" ht="14.25" customHeight="1" x14ac:dyDescent="0.35"/>
    <row r="53" spans="9:11" ht="14.25" customHeight="1" x14ac:dyDescent="0.35"/>
    <row r="54" spans="9:11" ht="14.25" customHeight="1" x14ac:dyDescent="0.35"/>
    <row r="55" spans="9:11" ht="14.25" customHeight="1" x14ac:dyDescent="0.35"/>
    <row r="56" spans="9:11" ht="14.25" customHeight="1" x14ac:dyDescent="0.35"/>
    <row r="57" spans="9:11" ht="14.25" customHeight="1" x14ac:dyDescent="0.35"/>
    <row r="58" spans="9:11" ht="14.25" customHeight="1" x14ac:dyDescent="0.35"/>
    <row r="59" spans="9:11" ht="14.25" customHeight="1" x14ac:dyDescent="0.35"/>
    <row r="60" spans="9:11" ht="14.25" customHeight="1" x14ac:dyDescent="0.35"/>
    <row r="61" spans="9:11" ht="14.25" customHeight="1" x14ac:dyDescent="0.35"/>
    <row r="62" spans="9:11" ht="14.25" customHeight="1" x14ac:dyDescent="0.35"/>
    <row r="63" spans="9:11" ht="14.25" customHeight="1" x14ac:dyDescent="0.35"/>
    <row r="64" spans="9:11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K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13D7-0943-44A2-97D4-B303F9564F8B}">
  <dimension ref="A1:S17"/>
  <sheetViews>
    <sheetView tabSelected="1" workbookViewId="0">
      <selection activeCell="S16" sqref="S16"/>
    </sheetView>
  </sheetViews>
  <sheetFormatPr defaultRowHeight="14.5" x14ac:dyDescent="0.35"/>
  <cols>
    <col min="1" max="1" width="12.26953125" customWidth="1"/>
    <col min="2" max="2" width="14.26953125" customWidth="1"/>
    <col min="3" max="3" width="13.90625" customWidth="1"/>
    <col min="4" max="4" width="15" customWidth="1"/>
    <col min="5" max="5" width="15.1796875" customWidth="1"/>
    <col min="8" max="8" width="17.81640625" customWidth="1"/>
    <col min="9" max="9" width="19" customWidth="1"/>
    <col min="11" max="11" width="12.6328125" customWidth="1"/>
    <col min="12" max="12" width="10.81640625" customWidth="1"/>
    <col min="14" max="14" width="11.54296875" customWidth="1"/>
    <col min="16" max="16" width="10.81640625" customWidth="1"/>
    <col min="17" max="17" width="11" customWidth="1"/>
    <col min="18" max="18" width="11.7265625" customWidth="1"/>
    <col min="19" max="19" width="19.6328125" customWidth="1"/>
  </cols>
  <sheetData>
    <row r="1" spans="1:19" ht="31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50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 spans="1:19" x14ac:dyDescent="0.35">
      <c r="A2" s="2">
        <v>109</v>
      </c>
      <c r="B2" s="2" t="s">
        <v>45</v>
      </c>
      <c r="C2" s="2" t="s">
        <v>13</v>
      </c>
      <c r="D2" s="2" t="s">
        <v>14</v>
      </c>
      <c r="E2" s="2" t="s">
        <v>15</v>
      </c>
      <c r="F2" s="2">
        <v>15000</v>
      </c>
      <c r="G2" s="2">
        <v>2</v>
      </c>
      <c r="H2" s="3">
        <v>45597</v>
      </c>
      <c r="I2" s="2" t="s">
        <v>16</v>
      </c>
      <c r="J2" s="2">
        <v>5</v>
      </c>
      <c r="K2" s="2" t="s">
        <v>17</v>
      </c>
      <c r="L2" s="4">
        <f>F2*G2</f>
        <v>30000</v>
      </c>
      <c r="M2">
        <f>MONTH(H2)</f>
        <v>11</v>
      </c>
      <c r="N2" t="str">
        <f>TEXT(H2,"MMM")</f>
        <v>Nov</v>
      </c>
      <c r="O2">
        <f>YEAR(H2)</f>
        <v>2024</v>
      </c>
      <c r="P2" s="17">
        <f>H2+7</f>
        <v>45604</v>
      </c>
      <c r="Q2" s="17">
        <f>EDATE(H2,12*5)</f>
        <v>47423</v>
      </c>
      <c r="R2" s="18">
        <f>P2-H2</f>
        <v>7</v>
      </c>
      <c r="S2" t="str">
        <f>LEFT(C2,3)</f>
        <v>Mum</v>
      </c>
    </row>
    <row r="3" spans="1:19" x14ac:dyDescent="0.35">
      <c r="A3" s="2">
        <v>103</v>
      </c>
      <c r="B3" s="2" t="s">
        <v>23</v>
      </c>
      <c r="C3" s="2" t="s">
        <v>19</v>
      </c>
      <c r="D3" s="2" t="s">
        <v>20</v>
      </c>
      <c r="E3" s="2" t="s">
        <v>21</v>
      </c>
      <c r="F3" s="2">
        <v>500</v>
      </c>
      <c r="G3" s="2">
        <v>3</v>
      </c>
      <c r="H3" s="3">
        <v>45598</v>
      </c>
      <c r="I3" s="2" t="s">
        <v>22</v>
      </c>
      <c r="J3" s="2">
        <v>10</v>
      </c>
      <c r="K3" s="2" t="s">
        <v>17</v>
      </c>
      <c r="L3" s="4">
        <f>F3*G3</f>
        <v>1500</v>
      </c>
      <c r="M3">
        <f t="shared" ref="M3:M12" si="0">MONTH(H3)</f>
        <v>11</v>
      </c>
      <c r="N3" t="str">
        <f t="shared" ref="N3:N11" si="1">TEXT(H3,"MMM")</f>
        <v>Nov</v>
      </c>
      <c r="O3">
        <f t="shared" ref="O3:O11" si="2">YEAR(H3)</f>
        <v>2024</v>
      </c>
      <c r="P3" s="17">
        <f t="shared" ref="P3:P11" si="3">H3+7</f>
        <v>45605</v>
      </c>
      <c r="Q3" s="17">
        <f t="shared" ref="Q3:Q11" si="4">EDATE(H3,12*5)</f>
        <v>47424</v>
      </c>
      <c r="R3" s="18">
        <f t="shared" ref="R3:R11" si="5">P3-H3</f>
        <v>7</v>
      </c>
      <c r="S3" t="str">
        <f t="shared" ref="S3:S11" si="6">LEFT(C3,3)</f>
        <v>Del</v>
      </c>
    </row>
    <row r="4" spans="1:19" x14ac:dyDescent="0.35">
      <c r="A4" s="2">
        <v>110</v>
      </c>
      <c r="B4" s="2" t="s">
        <v>47</v>
      </c>
      <c r="C4" s="2" t="s">
        <v>24</v>
      </c>
      <c r="D4" s="2" t="s">
        <v>14</v>
      </c>
      <c r="E4" s="2" t="s">
        <v>25</v>
      </c>
      <c r="F4" s="2">
        <v>2000</v>
      </c>
      <c r="G4" s="2">
        <v>1</v>
      </c>
      <c r="H4" s="3">
        <v>45601</v>
      </c>
      <c r="I4" s="2" t="s">
        <v>26</v>
      </c>
      <c r="J4" s="2">
        <v>0</v>
      </c>
      <c r="K4" s="2" t="s">
        <v>27</v>
      </c>
      <c r="L4" s="4">
        <f>F4*G4</f>
        <v>2000</v>
      </c>
      <c r="M4">
        <f t="shared" si="0"/>
        <v>11</v>
      </c>
      <c r="N4" t="str">
        <f t="shared" si="1"/>
        <v>Nov</v>
      </c>
      <c r="O4">
        <f t="shared" si="2"/>
        <v>2024</v>
      </c>
      <c r="P4" s="17">
        <f t="shared" si="3"/>
        <v>45608</v>
      </c>
      <c r="Q4" s="17">
        <f t="shared" si="4"/>
        <v>47427</v>
      </c>
      <c r="R4" s="18">
        <f t="shared" si="5"/>
        <v>7</v>
      </c>
      <c r="S4" t="str">
        <f t="shared" si="6"/>
        <v>Ban</v>
      </c>
    </row>
    <row r="5" spans="1:19" x14ac:dyDescent="0.35">
      <c r="A5" s="2">
        <v>106</v>
      </c>
      <c r="B5" s="2" t="s">
        <v>35</v>
      </c>
      <c r="C5" s="2" t="s">
        <v>13</v>
      </c>
      <c r="D5" s="2" t="s">
        <v>29</v>
      </c>
      <c r="E5" s="2" t="s">
        <v>30</v>
      </c>
      <c r="F5" s="2">
        <v>1200</v>
      </c>
      <c r="G5" s="2">
        <v>1</v>
      </c>
      <c r="H5" s="3">
        <v>45602</v>
      </c>
      <c r="I5" s="2" t="s">
        <v>31</v>
      </c>
      <c r="J5" s="2">
        <v>15</v>
      </c>
      <c r="K5" s="2" t="s">
        <v>17</v>
      </c>
      <c r="L5" s="4">
        <f>F5*G5</f>
        <v>1200</v>
      </c>
      <c r="M5">
        <f t="shared" si="0"/>
        <v>11</v>
      </c>
      <c r="N5" t="str">
        <f t="shared" si="1"/>
        <v>Nov</v>
      </c>
      <c r="O5">
        <f t="shared" si="2"/>
        <v>2024</v>
      </c>
      <c r="P5" s="17">
        <f t="shared" si="3"/>
        <v>45609</v>
      </c>
      <c r="Q5" s="17">
        <f t="shared" si="4"/>
        <v>47428</v>
      </c>
      <c r="R5" s="18">
        <f t="shared" si="5"/>
        <v>7</v>
      </c>
      <c r="S5" t="str">
        <f t="shared" si="6"/>
        <v>Mum</v>
      </c>
    </row>
    <row r="6" spans="1:19" x14ac:dyDescent="0.35">
      <c r="A6" s="2">
        <v>108</v>
      </c>
      <c r="B6" s="2" t="s">
        <v>42</v>
      </c>
      <c r="C6" s="2" t="s">
        <v>33</v>
      </c>
      <c r="D6" s="2" t="s">
        <v>20</v>
      </c>
      <c r="E6" s="2" t="s">
        <v>34</v>
      </c>
      <c r="F6" s="2">
        <v>1200</v>
      </c>
      <c r="G6" s="2">
        <v>2</v>
      </c>
      <c r="H6" s="3">
        <v>45603</v>
      </c>
      <c r="I6" s="2" t="s">
        <v>22</v>
      </c>
      <c r="J6" s="2">
        <v>5</v>
      </c>
      <c r="K6" s="2" t="s">
        <v>27</v>
      </c>
      <c r="L6" s="4">
        <f>F6*G6</f>
        <v>2400</v>
      </c>
      <c r="M6">
        <f t="shared" si="0"/>
        <v>11</v>
      </c>
      <c r="N6" t="str">
        <f t="shared" si="1"/>
        <v>Nov</v>
      </c>
      <c r="O6">
        <f t="shared" si="2"/>
        <v>2024</v>
      </c>
      <c r="P6" s="17">
        <f t="shared" si="3"/>
        <v>45610</v>
      </c>
      <c r="Q6" s="17">
        <f t="shared" si="4"/>
        <v>47429</v>
      </c>
      <c r="R6" s="18">
        <f t="shared" si="5"/>
        <v>7</v>
      </c>
      <c r="S6" t="str">
        <f t="shared" si="6"/>
        <v>Ahm</v>
      </c>
    </row>
    <row r="7" spans="1:19" x14ac:dyDescent="0.35">
      <c r="A7" s="2">
        <v>102</v>
      </c>
      <c r="B7" s="2" t="s">
        <v>18</v>
      </c>
      <c r="C7" s="2" t="s">
        <v>36</v>
      </c>
      <c r="D7" s="2" t="s">
        <v>14</v>
      </c>
      <c r="E7" s="2" t="s">
        <v>37</v>
      </c>
      <c r="F7" s="2">
        <v>45000</v>
      </c>
      <c r="G7" s="2">
        <v>1</v>
      </c>
      <c r="H7" s="3">
        <v>45604</v>
      </c>
      <c r="I7" s="2" t="s">
        <v>16</v>
      </c>
      <c r="J7" s="2">
        <v>8</v>
      </c>
      <c r="K7" s="2" t="s">
        <v>27</v>
      </c>
      <c r="L7" s="4">
        <f>F7*G7</f>
        <v>45000</v>
      </c>
      <c r="M7">
        <f t="shared" si="0"/>
        <v>11</v>
      </c>
      <c r="N7" t="str">
        <f t="shared" si="1"/>
        <v>Nov</v>
      </c>
      <c r="O7">
        <f t="shared" si="2"/>
        <v>2024</v>
      </c>
      <c r="P7" s="17">
        <f t="shared" si="3"/>
        <v>45611</v>
      </c>
      <c r="Q7" s="17">
        <f t="shared" si="4"/>
        <v>47430</v>
      </c>
      <c r="R7" s="18">
        <f t="shared" si="5"/>
        <v>7</v>
      </c>
      <c r="S7" t="str">
        <f t="shared" si="6"/>
        <v>Hyd</v>
      </c>
    </row>
    <row r="8" spans="1:19" x14ac:dyDescent="0.35">
      <c r="A8" s="2">
        <v>101</v>
      </c>
      <c r="B8" s="2" t="s">
        <v>12</v>
      </c>
      <c r="C8" s="2" t="s">
        <v>39</v>
      </c>
      <c r="D8" s="2" t="s">
        <v>40</v>
      </c>
      <c r="E8" s="2" t="s">
        <v>41</v>
      </c>
      <c r="F8" s="2">
        <v>1200</v>
      </c>
      <c r="G8" s="2">
        <v>4</v>
      </c>
      <c r="H8" s="3">
        <v>45605</v>
      </c>
      <c r="I8" s="2" t="s">
        <v>26</v>
      </c>
      <c r="J8" s="2">
        <v>0</v>
      </c>
      <c r="K8" s="2" t="s">
        <v>27</v>
      </c>
      <c r="L8" s="4">
        <f>F8*G8</f>
        <v>4800</v>
      </c>
      <c r="M8">
        <f t="shared" si="0"/>
        <v>11</v>
      </c>
      <c r="N8" t="str">
        <f t="shared" si="1"/>
        <v>Nov</v>
      </c>
      <c r="O8">
        <f t="shared" si="2"/>
        <v>2024</v>
      </c>
      <c r="P8" s="17">
        <f t="shared" si="3"/>
        <v>45612</v>
      </c>
      <c r="Q8" s="17">
        <f t="shared" si="4"/>
        <v>47431</v>
      </c>
      <c r="R8" s="18">
        <f t="shared" si="5"/>
        <v>7</v>
      </c>
      <c r="S8" t="str">
        <f t="shared" si="6"/>
        <v>Che</v>
      </c>
    </row>
    <row r="9" spans="1:19" x14ac:dyDescent="0.35">
      <c r="A9" s="2">
        <v>107</v>
      </c>
      <c r="B9" s="2" t="s">
        <v>38</v>
      </c>
      <c r="C9" s="2" t="s">
        <v>43</v>
      </c>
      <c r="D9" s="2" t="s">
        <v>20</v>
      </c>
      <c r="E9" s="2" t="s">
        <v>44</v>
      </c>
      <c r="F9" s="2">
        <v>2500</v>
      </c>
      <c r="G9" s="2">
        <v>1</v>
      </c>
      <c r="H9" s="3">
        <v>45606</v>
      </c>
      <c r="I9" s="2" t="s">
        <v>22</v>
      </c>
      <c r="J9" s="2">
        <v>20</v>
      </c>
      <c r="K9" s="2" t="s">
        <v>17</v>
      </c>
      <c r="L9" s="4">
        <f>F9*G9</f>
        <v>2500</v>
      </c>
      <c r="M9">
        <f t="shared" si="0"/>
        <v>11</v>
      </c>
      <c r="N9" t="str">
        <f t="shared" si="1"/>
        <v>Nov</v>
      </c>
      <c r="O9">
        <f t="shared" si="2"/>
        <v>2024</v>
      </c>
      <c r="P9" s="17">
        <f t="shared" si="3"/>
        <v>45613</v>
      </c>
      <c r="Q9" s="17">
        <f t="shared" si="4"/>
        <v>47432</v>
      </c>
      <c r="R9" s="18">
        <f t="shared" si="5"/>
        <v>7</v>
      </c>
      <c r="S9" t="str">
        <f t="shared" si="6"/>
        <v>Kol</v>
      </c>
    </row>
    <row r="10" spans="1:19" x14ac:dyDescent="0.35">
      <c r="A10" s="2">
        <v>104</v>
      </c>
      <c r="B10" s="2" t="s">
        <v>28</v>
      </c>
      <c r="C10" s="2" t="s">
        <v>13</v>
      </c>
      <c r="D10" s="2" t="s">
        <v>14</v>
      </c>
      <c r="E10" s="2" t="s">
        <v>46</v>
      </c>
      <c r="F10" s="2">
        <v>5000</v>
      </c>
      <c r="G10" s="2">
        <v>2</v>
      </c>
      <c r="H10" s="3">
        <v>45608</v>
      </c>
      <c r="I10" s="2" t="s">
        <v>16</v>
      </c>
      <c r="J10" s="2">
        <v>10</v>
      </c>
      <c r="K10" s="2" t="s">
        <v>17</v>
      </c>
      <c r="L10" s="4">
        <f>F10*G10</f>
        <v>10000</v>
      </c>
      <c r="M10">
        <f t="shared" si="0"/>
        <v>11</v>
      </c>
      <c r="N10" t="str">
        <f t="shared" si="1"/>
        <v>Nov</v>
      </c>
      <c r="O10">
        <f t="shared" si="2"/>
        <v>2024</v>
      </c>
      <c r="P10" s="17">
        <f t="shared" si="3"/>
        <v>45615</v>
      </c>
      <c r="Q10" s="17">
        <f t="shared" si="4"/>
        <v>47434</v>
      </c>
      <c r="R10" s="18">
        <f t="shared" si="5"/>
        <v>7</v>
      </c>
      <c r="S10" t="str">
        <f t="shared" si="6"/>
        <v>Mum</v>
      </c>
    </row>
    <row r="11" spans="1:19" x14ac:dyDescent="0.35">
      <c r="A11" s="2">
        <v>105</v>
      </c>
      <c r="B11" s="2" t="s">
        <v>32</v>
      </c>
      <c r="C11" s="2" t="s">
        <v>48</v>
      </c>
      <c r="D11" s="2" t="s">
        <v>29</v>
      </c>
      <c r="E11" s="2" t="s">
        <v>49</v>
      </c>
      <c r="F11" s="2">
        <v>800</v>
      </c>
      <c r="G11" s="2">
        <v>1</v>
      </c>
      <c r="H11" s="3">
        <v>45609</v>
      </c>
      <c r="I11" s="2" t="s">
        <v>16</v>
      </c>
      <c r="J11" s="2">
        <v>5</v>
      </c>
      <c r="K11" s="2" t="s">
        <v>27</v>
      </c>
      <c r="L11" s="4">
        <f>F11*G11</f>
        <v>800</v>
      </c>
      <c r="M11">
        <f t="shared" si="0"/>
        <v>11</v>
      </c>
      <c r="N11" t="str">
        <f t="shared" si="1"/>
        <v>Nov</v>
      </c>
      <c r="O11">
        <f t="shared" si="2"/>
        <v>2024</v>
      </c>
      <c r="P11" s="17">
        <f t="shared" si="3"/>
        <v>45616</v>
      </c>
      <c r="Q11" s="17">
        <f t="shared" si="4"/>
        <v>47435</v>
      </c>
      <c r="R11" s="18">
        <f t="shared" si="5"/>
        <v>7</v>
      </c>
      <c r="S11" t="str">
        <f t="shared" si="6"/>
        <v>Jai</v>
      </c>
    </row>
    <row r="12" spans="1:19" x14ac:dyDescent="0.35">
      <c r="E12" s="2"/>
      <c r="F12" s="4"/>
      <c r="K12" s="2" t="s">
        <v>51</v>
      </c>
      <c r="L12" s="4">
        <f>SUM(L2:L11)</f>
        <v>100200</v>
      </c>
    </row>
    <row r="15" spans="1:19" x14ac:dyDescent="0.35">
      <c r="A15" t="s">
        <v>101</v>
      </c>
      <c r="B15">
        <f>LOOKUP(B6,B2:B11,A2:A11)</f>
        <v>108</v>
      </c>
    </row>
    <row r="16" spans="1:19" x14ac:dyDescent="0.35">
      <c r="A16">
        <v>103</v>
      </c>
      <c r="B16" t="str">
        <f>LOOKUP(A3,A2:A11,D2:D11)</f>
        <v>Fashion</v>
      </c>
      <c r="D16">
        <f>COUNTIF(J2:J11,"&gt;=3")</f>
        <v>8</v>
      </c>
    </row>
    <row r="17" spans="1:2" x14ac:dyDescent="0.35">
      <c r="A17" t="s">
        <v>102</v>
      </c>
      <c r="B17" t="str">
        <f>LOOKUP(B9,B2:B11,K2:K11)</f>
        <v>Delivered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2025-08-13T07:44:55Z</dcterms:modified>
</cp:coreProperties>
</file>