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TUSHII\OneDrive\Desktop\GEEKSTER DATA SCIENCE\GOOGLE SHEET , EXCEL AND DASHBOARD\Goldman Sachs Virtual Internship\Task 4\"/>
    </mc:Choice>
  </mc:AlternateContent>
  <xr:revisionPtr revIDLastSave="0" documentId="8_{CFEA4F86-7774-4EB7-80A8-EC8B5E44020E}" xr6:coauthVersionLast="47" xr6:coauthVersionMax="47" xr10:uidLastSave="{00000000-0000-0000-0000-000000000000}"/>
  <bookViews>
    <workbookView xWindow="-110" yWindow="-110" windowWidth="19420" windowHeight="11020" activeTab="3" xr2:uid="{951194C4-9D61-46BE-B0AE-7170A8ED2BCE}"/>
  </bookViews>
  <sheets>
    <sheet name="Glossary" sheetId="2" r:id="rId1"/>
    <sheet name="Forecast Assumptions" sheetId="1" r:id="rId2"/>
    <sheet name="P&amp;L Forecast" sheetId="3" r:id="rId3"/>
    <sheet name="Cash Flow Forecast" sheetId="4" r:id="rId4"/>
  </sheets>
  <definedNames>
    <definedName name="_xlnm.Print_Area" localSheetId="3">'Cash Flow Forecast'!$A$1:$J$26</definedName>
    <definedName name="_xlnm.Print_Area" localSheetId="1">'Forecast Assumptions'!$A$1:$J$48</definedName>
    <definedName name="_xlnm.Print_Area" localSheetId="0">Glossary!$A$1:$D$18</definedName>
    <definedName name="_xlnm.Print_Area" localSheetId="2">'P&amp;L Forecast'!$A$1:$J$40</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9" i="4" l="1"/>
  <c r="E21" i="4"/>
  <c r="E15" i="4"/>
  <c r="I10" i="4"/>
  <c r="H10" i="4"/>
  <c r="G10" i="4"/>
  <c r="F10" i="4"/>
  <c r="E10" i="4"/>
  <c r="I8" i="4"/>
  <c r="H8" i="4"/>
  <c r="G8" i="4"/>
  <c r="F8" i="4"/>
  <c r="E8" i="4"/>
  <c r="F24" i="3"/>
  <c r="G24" i="3"/>
  <c r="H24" i="3"/>
  <c r="I24" i="3"/>
  <c r="E24" i="3"/>
  <c r="G33" i="1"/>
  <c r="H33" i="1" s="1"/>
  <c r="I33" i="1" s="1"/>
  <c r="F33" i="1"/>
  <c r="E3" i="4" l="1"/>
  <c r="F3" i="4" s="1"/>
  <c r="G3" i="4" s="1"/>
  <c r="H3" i="4" s="1"/>
  <c r="I3" i="4" s="1"/>
  <c r="F36" i="3" l="1"/>
  <c r="G36" i="3"/>
  <c r="H36" i="3"/>
  <c r="I36" i="3"/>
  <c r="E36" i="3"/>
  <c r="F17" i="3" l="1"/>
  <c r="G17" i="3"/>
  <c r="H17" i="3"/>
  <c r="I17" i="3"/>
  <c r="F18" i="3"/>
  <c r="G18" i="3"/>
  <c r="H18" i="3"/>
  <c r="I18" i="3"/>
  <c r="F19" i="3"/>
  <c r="G19" i="3"/>
  <c r="H19" i="3"/>
  <c r="I19" i="3"/>
  <c r="F20" i="3"/>
  <c r="G20" i="3"/>
  <c r="H20" i="3"/>
  <c r="I20" i="3"/>
  <c r="E18" i="3"/>
  <c r="E19" i="3"/>
  <c r="E20" i="3"/>
  <c r="E17" i="3"/>
  <c r="F12" i="3"/>
  <c r="G12" i="3"/>
  <c r="H12" i="3"/>
  <c r="I12" i="3"/>
  <c r="F13" i="3"/>
  <c r="G13" i="3"/>
  <c r="H13" i="3"/>
  <c r="I13" i="3"/>
  <c r="E13" i="3"/>
  <c r="E12" i="3"/>
  <c r="F11" i="3"/>
  <c r="G11" i="3"/>
  <c r="H11" i="3"/>
  <c r="I11" i="3"/>
  <c r="E11" i="3"/>
  <c r="F5" i="3"/>
  <c r="G5" i="3"/>
  <c r="H5" i="3"/>
  <c r="I5" i="3"/>
  <c r="F6" i="3"/>
  <c r="G6" i="3"/>
  <c r="H6" i="3"/>
  <c r="I6" i="3"/>
  <c r="F7" i="3"/>
  <c r="G7" i="3"/>
  <c r="H7" i="3"/>
  <c r="I7" i="3"/>
  <c r="E7" i="3"/>
  <c r="E6" i="3"/>
  <c r="E5" i="3"/>
  <c r="E3" i="3" l="1"/>
  <c r="F3" i="3" s="1"/>
  <c r="G3" i="3" s="1"/>
  <c r="H3" i="3" s="1"/>
  <c r="I3" i="3" s="1"/>
  <c r="F17" i="1" l="1"/>
  <c r="G17" i="1" s="1"/>
  <c r="H17" i="1" s="1"/>
  <c r="I17" i="1" s="1"/>
  <c r="F16" i="1"/>
  <c r="G16" i="1" s="1"/>
  <c r="H16" i="1" s="1"/>
  <c r="I16" i="1" s="1"/>
  <c r="F13" i="1"/>
  <c r="G13" i="1" s="1"/>
  <c r="H13" i="1" s="1"/>
  <c r="I13" i="1" s="1"/>
  <c r="F12" i="1"/>
  <c r="G12" i="1" s="1"/>
  <c r="H12" i="1" s="1"/>
  <c r="I12" i="1" s="1"/>
  <c r="F9" i="1"/>
  <c r="G9" i="1" s="1"/>
  <c r="H9" i="1" s="1"/>
  <c r="I9" i="1" s="1"/>
  <c r="F8" i="1"/>
  <c r="G8" i="1" s="1"/>
  <c r="H8" i="1" s="1"/>
  <c r="I8" i="1" s="1"/>
  <c r="F24" i="1"/>
  <c r="G24" i="1" s="1"/>
  <c r="H24" i="1" s="1"/>
  <c r="I24" i="1" s="1"/>
  <c r="F23" i="1"/>
  <c r="G23" i="1" s="1"/>
  <c r="H23" i="1" s="1"/>
  <c r="I23" i="1" s="1"/>
  <c r="F22" i="1"/>
  <c r="G22" i="1" s="1"/>
  <c r="H22" i="1" s="1"/>
  <c r="I22" i="1" s="1"/>
  <c r="E37" i="1"/>
  <c r="I37" i="1"/>
  <c r="F30" i="1"/>
  <c r="G30" i="1" s="1"/>
  <c r="H30" i="1" s="1"/>
  <c r="I30" i="1" s="1"/>
  <c r="F29" i="1"/>
  <c r="G29" i="1" s="1"/>
  <c r="H29" i="1" s="1"/>
  <c r="I29" i="1" s="1"/>
  <c r="F28" i="1"/>
  <c r="G28" i="1" s="1"/>
  <c r="H28" i="1" s="1"/>
  <c r="I28" i="1" s="1"/>
  <c r="F27" i="1"/>
  <c r="G27" i="1" s="1"/>
  <c r="H27" i="1" s="1"/>
  <c r="I27" i="1" s="1"/>
  <c r="H37" i="1" l="1"/>
  <c r="G37" i="1"/>
  <c r="F37" i="1"/>
  <c r="E3" i="1"/>
  <c r="F3" i="1" l="1"/>
  <c r="G3" i="1" l="1"/>
  <c r="H3" i="1" l="1"/>
  <c r="I3" i="1" l="1"/>
  <c r="E8" i="3" l="1"/>
  <c r="E14" i="3" l="1"/>
  <c r="G8" i="3" l="1"/>
  <c r="E21" i="3"/>
  <c r="E15" i="3"/>
  <c r="G14" i="3" l="1"/>
  <c r="E25" i="3"/>
  <c r="E22" i="3"/>
  <c r="F8" i="3"/>
  <c r="G9" i="3" l="1"/>
  <c r="H8" i="3"/>
  <c r="E26" i="3"/>
  <c r="I8" i="3"/>
  <c r="F14" i="3"/>
  <c r="F9" i="3"/>
  <c r="G21" i="3"/>
  <c r="G15" i="3"/>
  <c r="H14" i="3" l="1"/>
  <c r="H15" i="3" s="1"/>
  <c r="H9" i="3"/>
  <c r="F21" i="3"/>
  <c r="F15" i="3"/>
  <c r="I14" i="3"/>
  <c r="I9" i="3"/>
  <c r="G25" i="3"/>
  <c r="G22" i="3"/>
  <c r="H21" i="3" l="1"/>
  <c r="H22" i="3" s="1"/>
  <c r="G26" i="3"/>
  <c r="I15" i="3"/>
  <c r="I21" i="3"/>
  <c r="F25" i="3"/>
  <c r="F22" i="3"/>
  <c r="H25" i="3" l="1"/>
  <c r="F26" i="3"/>
  <c r="I22" i="3"/>
  <c r="I25" i="3"/>
  <c r="H26" i="3"/>
  <c r="I26" i="3" l="1"/>
  <c r="F22" i="4"/>
  <c r="F12" i="4"/>
  <c r="E30" i="3"/>
  <c r="E32" i="3"/>
  <c r="I37" i="3"/>
  <c r="I7" i="4"/>
  <c r="I11" i="4"/>
  <c r="I13" i="4"/>
  <c r="I16" i="4"/>
  <c r="H16" i="4"/>
  <c r="H13" i="4"/>
  <c r="H11" i="4"/>
  <c r="H7" i="4"/>
  <c r="H37" i="3"/>
  <c r="F37" i="3"/>
  <c r="F7" i="4"/>
  <c r="F11" i="4"/>
  <c r="F13" i="4"/>
  <c r="F16" i="4"/>
  <c r="F30" i="3"/>
  <c r="F33" i="3"/>
  <c r="F34" i="3"/>
  <c r="F28" i="3"/>
  <c r="F29" i="3"/>
  <c r="F32" i="3"/>
  <c r="G22" i="4"/>
  <c r="G12" i="4"/>
  <c r="H9" i="4"/>
  <c r="I22" i="4"/>
  <c r="I12" i="4"/>
  <c r="I9" i="4"/>
  <c r="G17" i="4"/>
  <c r="H15" i="4"/>
  <c r="H17" i="4"/>
  <c r="I15" i="4"/>
  <c r="I17" i="4"/>
  <c r="F9" i="4"/>
  <c r="H23" i="4"/>
  <c r="I21" i="4"/>
  <c r="I23" i="4"/>
  <c r="I32" i="3"/>
  <c r="I33" i="3"/>
  <c r="I34" i="3"/>
  <c r="I28" i="3"/>
  <c r="I29" i="3"/>
  <c r="I30" i="3"/>
  <c r="H30" i="3"/>
  <c r="H33" i="3"/>
  <c r="H34" i="3"/>
  <c r="H28" i="3"/>
  <c r="H29" i="3"/>
  <c r="H32" i="3"/>
  <c r="E13" i="4"/>
  <c r="E16" i="4"/>
  <c r="E17" i="4"/>
  <c r="F15" i="4"/>
  <c r="F17" i="4"/>
  <c r="G15" i="4"/>
  <c r="G9" i="4"/>
  <c r="G16" i="4"/>
  <c r="G37" i="3"/>
  <c r="G7" i="4"/>
  <c r="G11" i="4"/>
  <c r="G13" i="4"/>
  <c r="E34" i="3"/>
  <c r="E28" i="3"/>
  <c r="E29" i="3"/>
  <c r="E33" i="3"/>
  <c r="E37" i="3"/>
  <c r="E7" i="4"/>
  <c r="E11" i="4"/>
  <c r="E12" i="4"/>
  <c r="E22" i="4"/>
  <c r="E23" i="4"/>
  <c r="F21" i="4"/>
  <c r="F23" i="4"/>
  <c r="G21" i="4"/>
  <c r="G23" i="4"/>
  <c r="H21" i="4"/>
  <c r="H12" i="4"/>
  <c r="H22" i="4"/>
  <c r="G32" i="3"/>
  <c r="G33" i="3"/>
  <c r="G34" i="3"/>
  <c r="G28" i="3"/>
  <c r="G29" i="3"/>
  <c r="G30" i="3"/>
</calcChain>
</file>

<file path=xl/sharedStrings.xml><?xml version="1.0" encoding="utf-8"?>
<sst xmlns="http://schemas.openxmlformats.org/spreadsheetml/2006/main" count="184" uniqueCount="92">
  <si>
    <t>*</t>
  </si>
  <si>
    <t>%</t>
  </si>
  <si>
    <t>Tax Rate</t>
  </si>
  <si>
    <t>#</t>
  </si>
  <si>
    <t>EBITDA</t>
  </si>
  <si>
    <t>EBIT</t>
  </si>
  <si>
    <t>Drinks</t>
  </si>
  <si>
    <t>Cupcakes</t>
  </si>
  <si>
    <t>Ice Cream</t>
  </si>
  <si>
    <t>Unit</t>
  </si>
  <si>
    <t>Average Sale Price</t>
  </si>
  <si>
    <t>$</t>
  </si>
  <si>
    <t>Number of Units Sold</t>
  </si>
  <si>
    <t>Cost of Goods Sold (COGS)</t>
  </si>
  <si>
    <t>COGS per Cupcake</t>
  </si>
  <si>
    <t>COGS per Ice Cream</t>
  </si>
  <si>
    <t>COGS per Drink</t>
  </si>
  <si>
    <t>Staff Costs</t>
  </si>
  <si>
    <t>Marketing Costs</t>
  </si>
  <si>
    <t>Occupancy Costs</t>
  </si>
  <si>
    <t>Other Costs</t>
  </si>
  <si>
    <t>Operating Expenses (OpEx)</t>
  </si>
  <si>
    <t>Annual D&amp;A</t>
  </si>
  <si>
    <t>% of revenue</t>
  </si>
  <si>
    <t>Debt Interest Rate</t>
  </si>
  <si>
    <t>Payable Days</t>
  </si>
  <si>
    <t>Inventory Days</t>
  </si>
  <si>
    <t>Cash Interest Rate</t>
  </si>
  <si>
    <t>Glossary</t>
  </si>
  <si>
    <t>Term</t>
  </si>
  <si>
    <t>Definition</t>
  </si>
  <si>
    <t>Depreciation</t>
  </si>
  <si>
    <t>Amortization</t>
  </si>
  <si>
    <t>Depreciation &amp; Amortization (D&amp;A)</t>
  </si>
  <si>
    <t>Capital Expenditure (CapEx)</t>
  </si>
  <si>
    <t>Net Working Capital (NWC)</t>
  </si>
  <si>
    <t>Dec-YE</t>
  </si>
  <si>
    <t>END</t>
  </si>
  <si>
    <t>Dividend Payout Ratio</t>
  </si>
  <si>
    <t>Receivable Days</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</si>
  <si>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</si>
  <si>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Within large Excel files, at times, the file can freeze and not 
calculate a new formula or change for some time. In this case, hit the F9 key which should cause the workbook to calculate.</t>
  </si>
  <si>
    <t>The average number of days that a company holds its 
inventory before selling it. The lower the number, the more efficient the company is at selling its stock.</t>
  </si>
  <si>
    <t>The average number of days that a company takes to pay its suppliers. Also known as Days Payable Outstanding (DPO). The higher the number, the longer it takes the company to pay its suppliers.</t>
  </si>
  <si>
    <t>The average number of days that it takes a company to collect payment after a sale has been made. Also known as Days Sales Outstanding (DSO). The lower the number, the quicker it is for the company to get paid.</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</si>
  <si>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</si>
  <si>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Money spent by a company on acquiring or maintaining 
fixed assets such as property, plant and equipment.</t>
  </si>
  <si>
    <t>An annual amount representing the allocation of the cost 
of an intangible asset over a period of time.</t>
  </si>
  <si>
    <t>An annual amount representing the allocation of the cost 
of an tangible asset over a period of time.</t>
  </si>
  <si>
    <t>A company's earnings before interest and taxes (EBIT) is an financial metric that includes all income and expenses, except net interest expense and income tax. It is another common proxy for a company's operational profitability.</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</si>
  <si>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</si>
  <si>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Forecast Assumptions</t>
  </si>
  <si>
    <t>Revenue</t>
  </si>
  <si>
    <t>Costs</t>
  </si>
  <si>
    <t>Change in Net Working Capital (NWC)</t>
  </si>
  <si>
    <t>Cash Flow</t>
  </si>
  <si>
    <t>Other</t>
  </si>
  <si>
    <t>P&amp;L Forecast</t>
  </si>
  <si>
    <t>Cupcakes Revenue</t>
  </si>
  <si>
    <t>Ice Cream Revenue</t>
  </si>
  <si>
    <t>Drinks Revenue</t>
  </si>
  <si>
    <t>Total Revenue</t>
  </si>
  <si>
    <t>Growth</t>
  </si>
  <si>
    <t>Cupcakes COGS</t>
  </si>
  <si>
    <t>Ice Cream COGS</t>
  </si>
  <si>
    <t>Drinks COGS</t>
  </si>
  <si>
    <t>Gross Profit</t>
  </si>
  <si>
    <t>Margin</t>
  </si>
  <si>
    <t>D&amp;A</t>
  </si>
  <si>
    <t>EBIT (Operating Income)</t>
  </si>
  <si>
    <t>Net Interest</t>
  </si>
  <si>
    <t>Profit Before Tax (PBT)</t>
  </si>
  <si>
    <t>Tax Expense</t>
  </si>
  <si>
    <t>Net Profit After Tax (NPAT)</t>
  </si>
  <si>
    <t>Gross Dividends</t>
  </si>
  <si>
    <t>Cash Flow Forecast</t>
  </si>
  <si>
    <t>Net Cash Flow</t>
  </si>
  <si>
    <t>Supporting Debt Schedule</t>
  </si>
  <si>
    <t>Opening Debt</t>
  </si>
  <si>
    <t>Opening Cash</t>
  </si>
  <si>
    <t>Closing Cash</t>
  </si>
  <si>
    <t>Debt Repayment</t>
  </si>
  <si>
    <t>Net Capital Expenditure (Capex)</t>
  </si>
  <si>
    <t>Cash to Balance Sheet</t>
  </si>
  <si>
    <t>Closing Debt</t>
  </si>
  <si>
    <r>
      <t xml:space="preserve">The direct costs of producing the goods sold by a 
company. Examples include the cost of raw materials, distribution and labor </t>
    </r>
    <r>
      <rPr>
        <i/>
        <sz val="10"/>
        <color theme="1"/>
        <rFont val="Arial"/>
        <family val="2"/>
      </rPr>
      <t xml:space="preserve">directly </t>
    </r>
    <r>
      <rPr>
        <sz val="10"/>
        <color theme="1"/>
        <rFont val="Arial"/>
        <family val="2"/>
      </rPr>
      <t>involved in the production of the goods.</t>
    </r>
  </si>
  <si>
    <t>F9 Key (Calculate the Workbook) / Fn+F9 on Mac</t>
  </si>
  <si>
    <t>An operating expense is an ongoing cost incurred in 
running a business, that is not a direct cost. Examples include head office costs, general and administrative costs, and centralised marketing costs.</t>
  </si>
  <si>
    <t>Tax</t>
  </si>
  <si>
    <t>Dividends</t>
  </si>
  <si>
    <t>Change in NWC</t>
  </si>
  <si>
    <t>Net CAPEX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</si>
</sst>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
    <numFmt numFmtId="166" formatCode="&quot;FY&quot;yy&quot;E&quot;"/>
    <numFmt numFmtId="167" formatCode="0.0%;\(0.0%\);\-"/>
    <numFmt numFmtId="168" formatCode="&quot;FY&quot;yy&quot;A&quot;"/>
    <numFmt numFmtId="169" formatCode="0%;\(0%\);\-"/>
  </numFmts>
  <fonts count="11" x14ac:knownFonts="1">
    <font>
      <sz val="11"/>
      <color theme="1"/>
      <name val="Calibri"/>
      <family val="2"/>
      <scheme val="minor"/>
    </font>
    <font>
      <sz val="12"/>
      <color theme="1"/>
      <name val="Arial"/>
      <family val="2"/>
    </font>
    <font>
      <b/>
      <sz val="10"/>
      <color theme="0"/>
      <name val="Arial"/>
      <family val="2"/>
    </font>
    <font>
      <sz val="10"/>
      <color theme="1"/>
      <name val="Arial"/>
      <family val="2"/>
    </font>
    <font>
      <b/>
      <sz val="10"/>
      <color theme="1"/>
      <name val="Arial"/>
      <family val="2"/>
    </font>
    <font>
      <b/>
      <i/>
      <sz val="10"/>
      <color theme="1"/>
      <name val="Arial"/>
      <family val="2"/>
    </font>
    <font>
      <sz val="10"/>
      <color rgb="FF0000FF"/>
      <name val="Arial"/>
      <family val="2"/>
    </font>
    <font>
      <b/>
      <u/>
      <sz val="10"/>
      <color theme="1"/>
      <name val="Arial"/>
      <family val="2"/>
    </font>
    <font>
      <b/>
      <sz val="14"/>
      <color theme="0"/>
      <name val="Arial"/>
      <family val="2"/>
    </font>
    <font>
      <i/>
      <sz val="10"/>
      <color theme="1"/>
      <name val="Arial"/>
      <family val="2"/>
    </font>
    <font>
      <b/>
      <sz val="10"/>
      <name val="Arial"/>
      <family val="2"/>
    </font>
  </fonts>
  <fills count="7">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BDD7EE"/>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44">
    <xf numFmtId="0" fontId="0" fillId="0" borderId="0" xfId="0"/>
    <xf numFmtId="0" fontId="1" fillId="2" borderId="0" xfId="0" applyFont="1" applyFill="1"/>
    <xf numFmtId="0" fontId="2" fillId="2" borderId="0" xfId="0" applyFont="1" applyFill="1"/>
    <xf numFmtId="0" fontId="3" fillId="2" borderId="0" xfId="0" applyFont="1" applyFill="1"/>
    <xf numFmtId="0" fontId="3" fillId="0" borderId="0" xfId="0" applyFont="1"/>
    <xf numFmtId="0" fontId="7" fillId="0" borderId="0" xfId="0" applyFont="1"/>
    <xf numFmtId="0" fontId="8" fillId="2" borderId="0" xfId="0" applyFont="1" applyFill="1"/>
    <xf numFmtId="0" fontId="2" fillId="3" borderId="0" xfId="0" applyFont="1" applyFill="1"/>
    <xf numFmtId="0" fontId="3" fillId="3" borderId="0" xfId="0" applyFont="1" applyFill="1"/>
    <xf numFmtId="0" fontId="4" fillId="0" borderId="1" xfId="0" applyFont="1" applyBorder="1"/>
    <xf numFmtId="0" fontId="4" fillId="0" borderId="1" xfId="0" applyFont="1" applyBorder="1" applyAlignment="1">
      <alignment horizontal="center"/>
    </xf>
    <xf numFmtId="0" fontId="4" fillId="0" borderId="0" xfId="0" applyFont="1"/>
    <xf numFmtId="0" fontId="3" fillId="0" borderId="0" xfId="0" applyFont="1" applyAlignment="1">
      <alignment horizontal="left"/>
    </xf>
    <xf numFmtId="0" fontId="4" fillId="0" borderId="0" xfId="0" applyFont="1" applyAlignment="1">
      <alignment vertical="center"/>
    </xf>
    <xf numFmtId="0" fontId="5" fillId="0" borderId="0" xfId="0" applyFont="1" applyAlignment="1">
      <alignment horizontal="center" vertical="center"/>
    </xf>
    <xf numFmtId="0" fontId="3" fillId="0" borderId="0" xfId="0" applyFont="1" applyAlignment="1">
      <alignment horizontal="center"/>
    </xf>
    <xf numFmtId="166" fontId="4" fillId="0" borderId="1" xfId="0" applyNumberFormat="1" applyFont="1" applyBorder="1" applyAlignment="1">
      <alignment horizontal="right"/>
    </xf>
    <xf numFmtId="0" fontId="3" fillId="0" borderId="0" xfId="0" applyFont="1" applyAlignment="1">
      <alignment horizontal="right"/>
    </xf>
    <xf numFmtId="0" fontId="3" fillId="3" borderId="0" xfId="0" applyFont="1" applyFill="1" applyAlignment="1">
      <alignment horizontal="right"/>
    </xf>
    <xf numFmtId="0" fontId="4" fillId="0" borderId="0" xfId="0" applyFont="1" applyAlignment="1">
      <alignment horizontal="right"/>
    </xf>
    <xf numFmtId="168" fontId="4" fillId="0" borderId="1" xfId="0" applyNumberFormat="1" applyFont="1" applyBorder="1" applyAlignment="1">
      <alignment horizontal="right"/>
    </xf>
    <xf numFmtId="164" fontId="6" fillId="5" borderId="2" xfId="0" applyNumberFormat="1" applyFont="1" applyFill="1" applyBorder="1" applyAlignment="1">
      <alignment horizontal="right"/>
    </xf>
    <xf numFmtId="165" fontId="6" fillId="5" borderId="2" xfId="0" applyNumberFormat="1" applyFont="1" applyFill="1" applyBorder="1" applyAlignment="1">
      <alignment horizontal="right"/>
    </xf>
    <xf numFmtId="167" fontId="6" fillId="5" borderId="2" xfId="0" applyNumberFormat="1" applyFont="1" applyFill="1" applyBorder="1" applyAlignment="1">
      <alignment horizontal="right"/>
    </xf>
    <xf numFmtId="0" fontId="4" fillId="0" borderId="3" xfId="0" applyFont="1" applyBorder="1"/>
    <xf numFmtId="0" fontId="4" fillId="0" borderId="3" xfId="0" applyFont="1" applyBorder="1" applyAlignment="1">
      <alignment horizontal="center"/>
    </xf>
    <xf numFmtId="164" fontId="4" fillId="0" borderId="3" xfId="0" applyNumberFormat="1" applyFont="1" applyBorder="1" applyAlignment="1">
      <alignment horizontal="right"/>
    </xf>
    <xf numFmtId="0" fontId="9" fillId="0" borderId="0" xfId="0" applyFont="1" applyAlignment="1">
      <alignment horizontal="left" indent="1"/>
    </xf>
    <xf numFmtId="169" fontId="9" fillId="0" borderId="0" xfId="0" applyNumberFormat="1" applyFont="1" applyAlignment="1">
      <alignment horizontal="right"/>
    </xf>
    <xf numFmtId="169" fontId="9" fillId="5" borderId="0" xfId="0" applyNumberFormat="1" applyFont="1" applyFill="1" applyAlignment="1">
      <alignment horizontal="right"/>
    </xf>
    <xf numFmtId="164" fontId="3" fillId="5" borderId="0" xfId="0" applyNumberFormat="1" applyFont="1" applyFill="1" applyAlignment="1">
      <alignment horizontal="right"/>
    </xf>
    <xf numFmtId="164" fontId="4" fillId="5" borderId="3" xfId="0" applyNumberFormat="1" applyFont="1" applyFill="1" applyBorder="1" applyAlignment="1">
      <alignment horizontal="right"/>
    </xf>
    <xf numFmtId="0" fontId="3" fillId="5" borderId="0" xfId="0" applyFont="1" applyFill="1"/>
    <xf numFmtId="0" fontId="3" fillId="5" borderId="0" xfId="0" applyFont="1" applyFill="1" applyAlignment="1">
      <alignment horizontal="center"/>
    </xf>
    <xf numFmtId="169" fontId="3" fillId="5" borderId="0" xfId="0" applyNumberFormat="1" applyFont="1" applyFill="1" applyAlignment="1">
      <alignment horizontal="right"/>
    </xf>
    <xf numFmtId="164" fontId="10" fillId="0" borderId="3" xfId="0" applyNumberFormat="1" applyFont="1" applyBorder="1"/>
    <xf numFmtId="164" fontId="4" fillId="0" borderId="3" xfId="0" applyNumberFormat="1" applyFont="1" applyBorder="1"/>
    <xf numFmtId="164" fontId="4" fillId="5" borderId="3" xfId="0" applyNumberFormat="1" applyFont="1" applyFill="1" applyBorder="1"/>
    <xf numFmtId="167" fontId="6" fillId="6" borderId="2" xfId="0" applyNumberFormat="1" applyFont="1" applyFill="1" applyBorder="1" applyAlignment="1">
      <alignment horizontal="right"/>
    </xf>
    <xf numFmtId="164" fontId="4" fillId="6" borderId="3" xfId="0" applyNumberFormat="1" applyFont="1" applyFill="1" applyBorder="1" applyAlignment="1">
      <alignment horizontal="right"/>
    </xf>
    <xf numFmtId="164" fontId="3" fillId="6" borderId="0" xfId="0" applyNumberFormat="1" applyFont="1" applyFill="1" applyAlignment="1">
      <alignment horizontal="right"/>
    </xf>
    <xf numFmtId="164" fontId="3" fillId="5" borderId="0" xfId="0" applyNumberFormat="1" applyFont="1" applyFill="1"/>
    <xf numFmtId="0" fontId="4" fillId="4" borderId="0" xfId="0" applyFont="1" applyFill="1" applyAlignment="1">
      <alignment vertical="center"/>
    </xf>
    <xf numFmtId="0" fontId="3" fillId="0" borderId="0" xfId="0" applyFont="1" applyAlignment="1">
      <alignment horizontal="left" vertical="center" wrapText="1"/>
    </xf>
  </cellXfs>
  <cellStyles count="1">
    <cellStyle name="Normal" xfId="0" builtinId="0"/>
  </cellStyles>
  <dxfs count="6">
    <dxf>
      <font>
        <b/>
        <i/>
        <strike val="0"/>
        <condense val="0"/>
        <extend val="0"/>
        <outline val="0"/>
        <shadow val="0"/>
        <u val="none"/>
        <vertAlign val="baseline"/>
        <sz val="10"/>
        <color theme="1"/>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0"/>
        <color theme="1"/>
        <name val="Arial"/>
        <family val="2"/>
        <scheme val="none"/>
      </font>
      <fill>
        <patternFill patternType="solid">
          <fgColor indexed="64"/>
          <bgColor theme="8" tint="0.79998168889431442"/>
        </patternFill>
      </fill>
      <alignment horizontal="general"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vertical="bottom" textRotation="0" wrapText="0" indent="0" justifyLastLine="0" shrinkToFit="0" readingOrder="0"/>
    </dxf>
  </dxfs>
  <tableStyles count="0" defaultTableStyle="TableStyleMedium2" defaultPivotStyle="PivotStyleLight16"/>
  <colors>
    <mruColors>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10</xdr:col>
      <xdr:colOff>258535</xdr:colOff>
      <xdr:row>26</xdr:row>
      <xdr:rowOff>108858</xdr:rowOff>
    </xdr:from>
    <xdr:to>
      <xdr:col>17</xdr:col>
      <xdr:colOff>1325337</xdr:colOff>
      <xdr:row>29</xdr:row>
      <xdr:rowOff>0</xdr:rowOff>
    </xdr:to>
    <xdr:sp macro="" textlink="">
      <xdr:nvSpPr>
        <xdr:cNvPr id="2" name="Rectangle: Rounded Corners 1">
          <a:extLst>
            <a:ext uri="{FF2B5EF4-FFF2-40B4-BE49-F238E27FC236}">
              <a16:creationId xmlns:a16="http://schemas.microsoft.com/office/drawing/2014/main" id="{756441E5-7713-49B3-B9DE-ABEB43F8EFEA}"/>
            </a:ext>
          </a:extLst>
        </xdr:cNvPr>
        <xdr:cNvSpPr/>
      </xdr:nvSpPr>
      <xdr:spPr>
        <a:xfrm>
          <a:off x="12246428" y="5306787"/>
          <a:ext cx="10782302" cy="4626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Net Interest: </a:t>
          </a:r>
          <a:r>
            <a:rPr lang="en-GB" sz="1100" b="0" u="none">
              <a:latin typeface="Arial" panose="020B0604020202020204" pitchFamily="34" charset="0"/>
              <a:cs typeface="Arial" panose="020B0604020202020204" pitchFamily="34" charset="0"/>
            </a:rPr>
            <a:t>Once the Cash</a:t>
          </a:r>
          <a:r>
            <a:rPr lang="en-GB" sz="1100" b="0" u="none" baseline="0">
              <a:latin typeface="Arial" panose="020B0604020202020204" pitchFamily="34" charset="0"/>
              <a:cs typeface="Arial" panose="020B0604020202020204" pitchFamily="34" charset="0"/>
            </a:rPr>
            <a:t> Flow Forecast tab is complete, link up Net Interest for each year to the calculated figures from the Cash Flow tab.</a:t>
          </a:r>
          <a:endParaRPr lang="en-GB" sz="1100" b="0" u="none">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95250</xdr:colOff>
      <xdr:row>3</xdr:row>
      <xdr:rowOff>122464</xdr:rowOff>
    </xdr:from>
    <xdr:to>
      <xdr:col>17</xdr:col>
      <xdr:colOff>1162052</xdr:colOff>
      <xdr:row>9</xdr:row>
      <xdr:rowOff>176892</xdr:rowOff>
    </xdr:to>
    <xdr:sp macro="" textlink="">
      <xdr:nvSpPr>
        <xdr:cNvPr id="2" name="Rectangle: Rounded Corners 1">
          <a:extLst>
            <a:ext uri="{FF2B5EF4-FFF2-40B4-BE49-F238E27FC236}">
              <a16:creationId xmlns:a16="http://schemas.microsoft.com/office/drawing/2014/main" id="{588FCA84-FCC8-488C-ACA9-DB0C8F3A5FE3}"/>
            </a:ext>
          </a:extLst>
        </xdr:cNvPr>
        <xdr:cNvSpPr/>
      </xdr:nvSpPr>
      <xdr:spPr>
        <a:xfrm>
          <a:off x="13634357" y="938893"/>
          <a:ext cx="10782302" cy="119742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Net Cash Flow: </a:t>
          </a:r>
          <a:r>
            <a:rPr lang="en-GB" sz="1100" b="0" u="none">
              <a:latin typeface="Arial" panose="020B0604020202020204" pitchFamily="34" charset="0"/>
              <a:cs typeface="Arial" panose="020B0604020202020204" pitchFamily="34" charset="0"/>
            </a:rPr>
            <a:t>Link up EBITDA</a:t>
          </a:r>
          <a:r>
            <a:rPr lang="en-GB" sz="1100" b="0" u="none" baseline="0">
              <a:latin typeface="Arial" panose="020B0604020202020204" pitchFamily="34" charset="0"/>
              <a:cs typeface="Arial" panose="020B0604020202020204" pitchFamily="34" charset="0"/>
            </a:rPr>
            <a:t>, Taxes and Dividends from the P&amp;L (ensure the right sign for dividends given it takes cash away from the business). For Change in NWC, use the % of revenue assumption to calculate the figure for each year. For Net Interest, calculate Interest Expense (opening debt x debt interest rate --&gt; should be negative) and Interest Income (opening cash x cash interest rate), and sum them together. For Net Capex, use the % of revenue assumption to calculate the figure for each year.</a:t>
          </a:r>
          <a:br>
            <a:rPr lang="en-GB" sz="1100" b="0" u="none" baseline="0">
              <a:latin typeface="Arial" panose="020B0604020202020204" pitchFamily="34" charset="0"/>
              <a:cs typeface="Arial" panose="020B0604020202020204" pitchFamily="34" charset="0"/>
            </a:rPr>
          </a:br>
          <a:br>
            <a:rPr lang="en-GB" sz="1100" b="0" u="none" baseline="0">
              <a:latin typeface="Arial" panose="020B0604020202020204" pitchFamily="34" charset="0"/>
              <a:cs typeface="Arial" panose="020B0604020202020204" pitchFamily="34" charset="0"/>
            </a:rPr>
          </a:br>
          <a:r>
            <a:rPr lang="en-GB" sz="1100" b="0" u="none" baseline="0">
              <a:latin typeface="Arial" panose="020B0604020202020204" pitchFamily="34" charset="0"/>
              <a:cs typeface="Arial" panose="020B0604020202020204" pitchFamily="34" charset="0"/>
            </a:rPr>
            <a:t>Thereafter, sum all of the aforementioned line items to calculate Net Cash Flow.</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95250</xdr:colOff>
      <xdr:row>10</xdr:row>
      <xdr:rowOff>68036</xdr:rowOff>
    </xdr:from>
    <xdr:to>
      <xdr:col>17</xdr:col>
      <xdr:colOff>1162052</xdr:colOff>
      <xdr:row>12</xdr:row>
      <xdr:rowOff>149678</xdr:rowOff>
    </xdr:to>
    <xdr:sp macro="" textlink="">
      <xdr:nvSpPr>
        <xdr:cNvPr id="5" name="Rectangle: Rounded Corners 4">
          <a:extLst>
            <a:ext uri="{FF2B5EF4-FFF2-40B4-BE49-F238E27FC236}">
              <a16:creationId xmlns:a16="http://schemas.microsoft.com/office/drawing/2014/main" id="{7585B840-8F01-4223-A933-960F11E94C67}"/>
            </a:ext>
          </a:extLst>
        </xdr:cNvPr>
        <xdr:cNvSpPr/>
      </xdr:nvSpPr>
      <xdr:spPr>
        <a:xfrm>
          <a:off x="13634357" y="2217965"/>
          <a:ext cx="10782302" cy="4626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Debt</a:t>
          </a:r>
          <a:r>
            <a:rPr lang="en-GB" sz="1100" b="1" u="none" baseline="0">
              <a:latin typeface="Arial" panose="020B0604020202020204" pitchFamily="34" charset="0"/>
              <a:cs typeface="Arial" panose="020B0604020202020204" pitchFamily="34" charset="0"/>
            </a:rPr>
            <a:t> Paydown</a:t>
          </a:r>
          <a:r>
            <a:rPr lang="en-GB" sz="1100" b="1" u="none">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Come up with a formula that takes into account</a:t>
          </a:r>
          <a:r>
            <a:rPr lang="en-GB" sz="1100" b="0" u="none" baseline="0">
              <a:latin typeface="Arial" panose="020B0604020202020204" pitchFamily="34" charset="0"/>
              <a:cs typeface="Arial" panose="020B0604020202020204" pitchFamily="34" charset="0"/>
            </a:rPr>
            <a:t> the client's wishes to use all excess net cash flow to pay down debt. HINT: Use a formula that ensures that the company pays down the entirety of its debt if it has the excess net cash flow to do so, or in the alternative, pays down whatever it can with that net cash flow.</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95250</xdr:colOff>
      <xdr:row>14</xdr:row>
      <xdr:rowOff>1</xdr:rowOff>
    </xdr:from>
    <xdr:to>
      <xdr:col>17</xdr:col>
      <xdr:colOff>1162052</xdr:colOff>
      <xdr:row>16</xdr:row>
      <xdr:rowOff>81643</xdr:rowOff>
    </xdr:to>
    <xdr:sp macro="" textlink="">
      <xdr:nvSpPr>
        <xdr:cNvPr id="6" name="Rectangle: Rounded Corners 5">
          <a:extLst>
            <a:ext uri="{FF2B5EF4-FFF2-40B4-BE49-F238E27FC236}">
              <a16:creationId xmlns:a16="http://schemas.microsoft.com/office/drawing/2014/main" id="{CD6045E0-4AD1-4C80-BF57-22E9CF060DDD}"/>
            </a:ext>
          </a:extLst>
        </xdr:cNvPr>
        <xdr:cNvSpPr/>
      </xdr:nvSpPr>
      <xdr:spPr>
        <a:xfrm>
          <a:off x="13634357" y="2911930"/>
          <a:ext cx="10782302" cy="4626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Cash: </a:t>
          </a:r>
          <a:r>
            <a:rPr lang="en-GB" sz="1100" b="0" u="none">
              <a:latin typeface="Arial" panose="020B0604020202020204" pitchFamily="34" charset="0"/>
              <a:cs typeface="Arial" panose="020B0604020202020204" pitchFamily="34" charset="0"/>
            </a:rPr>
            <a:t>Ensure closing cash in one period is the opening balance in the next period. Additionally, link up cash to balance sheet</a:t>
          </a:r>
          <a:r>
            <a:rPr lang="en-GB" sz="1100" b="0" u="none" baseline="0">
              <a:latin typeface="Arial" panose="020B0604020202020204" pitchFamily="34" charset="0"/>
              <a:cs typeface="Arial" panose="020B0604020202020204" pitchFamily="34" charset="0"/>
            </a:rPr>
            <a:t> from the schedule above. Lastly, calculate closing cash for each period.</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95250</xdr:colOff>
      <xdr:row>20</xdr:row>
      <xdr:rowOff>27215</xdr:rowOff>
    </xdr:from>
    <xdr:to>
      <xdr:col>17</xdr:col>
      <xdr:colOff>1162052</xdr:colOff>
      <xdr:row>22</xdr:row>
      <xdr:rowOff>108857</xdr:rowOff>
    </xdr:to>
    <xdr:sp macro="" textlink="">
      <xdr:nvSpPr>
        <xdr:cNvPr id="7" name="Rectangle: Rounded Corners 6">
          <a:extLst>
            <a:ext uri="{FF2B5EF4-FFF2-40B4-BE49-F238E27FC236}">
              <a16:creationId xmlns:a16="http://schemas.microsoft.com/office/drawing/2014/main" id="{FB61BEF9-EF76-45E7-B835-F98131A96AB4}"/>
            </a:ext>
          </a:extLst>
        </xdr:cNvPr>
        <xdr:cNvSpPr/>
      </xdr:nvSpPr>
      <xdr:spPr>
        <a:xfrm>
          <a:off x="13634357" y="4082144"/>
          <a:ext cx="10782302" cy="4626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Debt: </a:t>
          </a:r>
          <a:r>
            <a:rPr lang="en-GB" sz="1100" b="0" u="none">
              <a:latin typeface="Arial" panose="020B0604020202020204" pitchFamily="34" charset="0"/>
              <a:cs typeface="Arial" panose="020B0604020202020204" pitchFamily="34" charset="0"/>
            </a:rPr>
            <a:t>Ensure closing debt in one period is the opening balance in the next period. Additionally, link up debt repayment </a:t>
          </a:r>
          <a:r>
            <a:rPr lang="en-GB" sz="1100" b="0" u="none" baseline="0">
              <a:latin typeface="Arial" panose="020B0604020202020204" pitchFamily="34" charset="0"/>
              <a:cs typeface="Arial" panose="020B0604020202020204" pitchFamily="34" charset="0"/>
            </a:rPr>
            <a:t>from the schedule above. Lastly, calculate closing debt for each period.</a:t>
          </a:r>
          <a:endParaRPr lang="en-GB" sz="1100" b="0" u="none">
            <a:latin typeface="Arial" panose="020B0604020202020204" pitchFamily="34" charset="0"/>
            <a:cs typeface="Arial" panose="020B060402020202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DD126-9D6F-4972-A39D-A76B528B8155}" name="Table1" displayName="Table1" ref="B3:C16" totalsRowShown="0" headerRowDxfId="5" headerRowBorderDxfId="4" tableBorderDxfId="3" totalsRowBorderDxfId="2">
  <autoFilter ref="B3:C16" xr:uid="{8812C3CF-BDC9-4963-942A-AA18BFAD92F7}"/>
  <sortState xmlns:xlrd2="http://schemas.microsoft.com/office/spreadsheetml/2017/richdata2" ref="B4:C16">
    <sortCondition ref="B3:B16"/>
  </sortState>
  <tableColumns count="2">
    <tableColumn id="1" xr3:uid="{41084751-B7B8-438B-B637-41FB6767F53B}" name="Term" dataDxfId="1"/>
    <tableColumn id="2" xr3:uid="{9F139695-941B-44CB-AD4C-CFCA4F8A2B9C}"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ACEC-CA70-4CB6-AF3B-E65A158BB57B}">
  <dimension ref="B1:C17"/>
  <sheetViews>
    <sheetView showGridLines="0" topLeftCell="A6" zoomScaleNormal="100" zoomScaleSheetLayoutView="85" workbookViewId="0"/>
  </sheetViews>
  <sheetFormatPr defaultColWidth="20.6328125" defaultRowHeight="15" customHeight="1" x14ac:dyDescent="0.25"/>
  <cols>
    <col min="1" max="1" width="2.6328125" style="4" customWidth="1"/>
    <col min="2" max="3" width="50.6328125" style="4" customWidth="1"/>
    <col min="4" max="4" width="1.6328125" style="4" customWidth="1"/>
    <col min="5" max="16384" width="20.6328125" style="4"/>
  </cols>
  <sheetData>
    <row r="1" spans="2:3" s="1" customFormat="1" ht="35.25" customHeight="1" x14ac:dyDescent="0.4">
      <c r="B1" s="6" t="s">
        <v>28</v>
      </c>
    </row>
    <row r="3" spans="2:3" ht="40" customHeight="1" x14ac:dyDescent="0.3">
      <c r="B3" s="11" t="s">
        <v>29</v>
      </c>
      <c r="C3" s="12" t="s">
        <v>30</v>
      </c>
    </row>
    <row r="4" spans="2:3" ht="25" x14ac:dyDescent="0.25">
      <c r="B4" s="42" t="s">
        <v>32</v>
      </c>
      <c r="C4" s="43" t="s">
        <v>47</v>
      </c>
    </row>
    <row r="5" spans="2:3" ht="25" x14ac:dyDescent="0.25">
      <c r="B5" s="42" t="s">
        <v>34</v>
      </c>
      <c r="C5" s="43" t="s">
        <v>46</v>
      </c>
    </row>
    <row r="6" spans="2:3" ht="50.5" x14ac:dyDescent="0.25">
      <c r="B6" s="42" t="s">
        <v>13</v>
      </c>
      <c r="C6" s="43" t="s">
        <v>85</v>
      </c>
    </row>
    <row r="7" spans="2:3" ht="25" x14ac:dyDescent="0.25">
      <c r="B7" s="42" t="s">
        <v>31</v>
      </c>
      <c r="C7" s="43" t="s">
        <v>48</v>
      </c>
    </row>
    <row r="8" spans="2:3" ht="62.5" x14ac:dyDescent="0.25">
      <c r="B8" s="42" t="s">
        <v>38</v>
      </c>
      <c r="C8" s="43" t="s">
        <v>40</v>
      </c>
    </row>
    <row r="9" spans="2:3" ht="87.5" x14ac:dyDescent="0.25">
      <c r="B9" s="42" t="s">
        <v>4</v>
      </c>
      <c r="C9" s="43" t="s">
        <v>50</v>
      </c>
    </row>
    <row r="10" spans="2:3" ht="50" x14ac:dyDescent="0.25">
      <c r="B10" s="42" t="s">
        <v>5</v>
      </c>
      <c r="C10" s="43" t="s">
        <v>49</v>
      </c>
    </row>
    <row r="11" spans="2:3" ht="50" x14ac:dyDescent="0.25">
      <c r="B11" s="42" t="s">
        <v>86</v>
      </c>
      <c r="C11" s="43" t="s">
        <v>41</v>
      </c>
    </row>
    <row r="12" spans="2:3" ht="37.5" x14ac:dyDescent="0.25">
      <c r="B12" s="42" t="s">
        <v>26</v>
      </c>
      <c r="C12" s="43" t="s">
        <v>42</v>
      </c>
    </row>
    <row r="13" spans="2:3" ht="200" x14ac:dyDescent="0.25">
      <c r="B13" s="42" t="s">
        <v>35</v>
      </c>
      <c r="C13" s="43" t="s">
        <v>45</v>
      </c>
    </row>
    <row r="14" spans="2:3" ht="50" x14ac:dyDescent="0.25">
      <c r="B14" s="42" t="s">
        <v>21</v>
      </c>
      <c r="C14" s="43" t="s">
        <v>87</v>
      </c>
    </row>
    <row r="15" spans="2:3" ht="50" x14ac:dyDescent="0.25">
      <c r="B15" s="42" t="s">
        <v>25</v>
      </c>
      <c r="C15" s="43" t="s">
        <v>43</v>
      </c>
    </row>
    <row r="16" spans="2:3" ht="50" x14ac:dyDescent="0.25">
      <c r="B16" s="42" t="s">
        <v>39</v>
      </c>
      <c r="C16" s="43" t="s">
        <v>44</v>
      </c>
    </row>
    <row r="17" spans="2:3" ht="15" customHeight="1" x14ac:dyDescent="0.25">
      <c r="B17" s="13"/>
      <c r="C17" s="14"/>
    </row>
  </sheetData>
  <pageMargins left="0.7" right="0.7" top="0.75" bottom="0.75" header="0.3" footer="0.3"/>
  <pageSetup paperSize="9" scale="18" orientation="portrait" horizontalDpi="4294967293"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68EA-25F0-45A8-AFDA-036DFD800586}">
  <dimension ref="A1:I47"/>
  <sheetViews>
    <sheetView showGridLines="0" zoomScaleNormal="100" zoomScaleSheetLayoutView="70" workbookViewId="0">
      <pane xSplit="3" ySplit="3" topLeftCell="E6" activePane="bottomRight" state="frozenSplit"/>
      <selection pane="topRight" activeCell="C1" sqref="C1"/>
      <selection pane="bottomLeft" activeCell="A3" sqref="A3"/>
      <selection pane="bottomRight" activeCell="E4" sqref="E4"/>
    </sheetView>
  </sheetViews>
  <sheetFormatPr defaultColWidth="20.6328125" defaultRowHeight="15" customHeight="1" outlineLevelCol="1" x14ac:dyDescent="0.25"/>
  <cols>
    <col min="1" max="1" width="2.6328125" style="4" customWidth="1"/>
    <col min="2" max="2" width="36" style="4" bestFit="1" customWidth="1"/>
    <col min="3" max="3" width="23.36328125" style="4" bestFit="1" customWidth="1"/>
    <col min="4" max="4" width="23.36328125" style="4" hidden="1" customWidth="1" outlineLevel="1"/>
    <col min="5" max="5" width="23.36328125" style="4" bestFit="1" customWidth="1" collapsed="1"/>
    <col min="6" max="9" width="23.36328125" style="4" bestFit="1" customWidth="1"/>
    <col min="10" max="10" width="1.6328125" style="4" customWidth="1"/>
    <col min="11" max="16384" width="20.6328125" style="4"/>
  </cols>
  <sheetData>
    <row r="1" spans="1:9" s="1" customFormat="1" ht="35.25" customHeight="1" x14ac:dyDescent="0.4">
      <c r="B1" s="6" t="s">
        <v>51</v>
      </c>
      <c r="C1" s="2"/>
      <c r="D1" s="2"/>
      <c r="E1" s="2"/>
    </row>
    <row r="3" spans="1:9" ht="15" customHeight="1" x14ac:dyDescent="0.3">
      <c r="B3" s="9" t="s">
        <v>36</v>
      </c>
      <c r="C3" s="10" t="s">
        <v>9</v>
      </c>
      <c r="D3" s="20">
        <v>43830</v>
      </c>
      <c r="E3" s="16">
        <f t="shared" ref="E3:I3" si="0">EOMONTH(D3,12)</f>
        <v>44196</v>
      </c>
      <c r="F3" s="16">
        <f t="shared" si="0"/>
        <v>44561</v>
      </c>
      <c r="G3" s="16">
        <f t="shared" si="0"/>
        <v>44926</v>
      </c>
      <c r="H3" s="16">
        <f t="shared" si="0"/>
        <v>45291</v>
      </c>
      <c r="I3" s="16">
        <f t="shared" si="0"/>
        <v>45657</v>
      </c>
    </row>
    <row r="4" spans="1:9" ht="15" customHeight="1" x14ac:dyDescent="0.25">
      <c r="D4" s="17"/>
      <c r="E4" s="17"/>
      <c r="F4" s="17"/>
      <c r="G4" s="17"/>
      <c r="H4" s="17"/>
      <c r="I4" s="17"/>
    </row>
    <row r="5" spans="1:9" s="8" customFormat="1" ht="15" customHeight="1" x14ac:dyDescent="0.3">
      <c r="A5" s="7" t="s">
        <v>0</v>
      </c>
      <c r="B5" s="7" t="s">
        <v>52</v>
      </c>
      <c r="D5" s="18"/>
      <c r="E5" s="18"/>
      <c r="F5" s="18"/>
      <c r="G5" s="18"/>
      <c r="H5" s="18"/>
      <c r="I5" s="18"/>
    </row>
    <row r="6" spans="1:9" ht="15" customHeight="1" x14ac:dyDescent="0.25">
      <c r="D6" s="17"/>
      <c r="E6" s="17"/>
      <c r="F6" s="17"/>
      <c r="G6" s="17"/>
      <c r="H6" s="17"/>
      <c r="I6" s="17"/>
    </row>
    <row r="7" spans="1:9" ht="15" customHeight="1" x14ac:dyDescent="0.3">
      <c r="B7" s="5" t="s">
        <v>7</v>
      </c>
      <c r="D7" s="17"/>
      <c r="E7" s="17"/>
      <c r="F7" s="17"/>
      <c r="G7" s="17"/>
      <c r="H7" s="17"/>
      <c r="I7" s="17"/>
    </row>
    <row r="8" spans="1:9" ht="15" customHeight="1" x14ac:dyDescent="0.3">
      <c r="B8" s="4" t="s">
        <v>12</v>
      </c>
      <c r="C8" s="15" t="s">
        <v>3</v>
      </c>
      <c r="D8" s="19"/>
      <c r="E8" s="21">
        <v>100000</v>
      </c>
      <c r="F8" s="21">
        <f>E8*1.1</f>
        <v>110000.00000000001</v>
      </c>
      <c r="G8" s="21">
        <f>F8*1.09</f>
        <v>119900.00000000003</v>
      </c>
      <c r="H8" s="21">
        <f>G8*1.08</f>
        <v>129492.00000000004</v>
      </c>
      <c r="I8" s="21">
        <f>H8*1.07</f>
        <v>138556.44000000006</v>
      </c>
    </row>
    <row r="9" spans="1:9" ht="15" customHeight="1" x14ac:dyDescent="0.3">
      <c r="B9" s="4" t="s">
        <v>10</v>
      </c>
      <c r="C9" s="15" t="s">
        <v>11</v>
      </c>
      <c r="D9" s="19"/>
      <c r="E9" s="22">
        <v>4</v>
      </c>
      <c r="F9" s="22">
        <f>E9*1.04</f>
        <v>4.16</v>
      </c>
      <c r="G9" s="22">
        <f t="shared" ref="G9:I9" si="1">F9*1.04</f>
        <v>4.3264000000000005</v>
      </c>
      <c r="H9" s="22">
        <f t="shared" si="1"/>
        <v>4.4994560000000003</v>
      </c>
      <c r="I9" s="22">
        <f t="shared" si="1"/>
        <v>4.6794342400000009</v>
      </c>
    </row>
    <row r="10" spans="1:9" ht="15" customHeight="1" x14ac:dyDescent="0.25">
      <c r="D10" s="17"/>
      <c r="E10" s="17"/>
      <c r="F10" s="17"/>
      <c r="G10" s="17"/>
      <c r="H10" s="17"/>
      <c r="I10" s="17"/>
    </row>
    <row r="11" spans="1:9" ht="15" customHeight="1" x14ac:dyDescent="0.3">
      <c r="B11" s="5" t="s">
        <v>8</v>
      </c>
      <c r="D11" s="17"/>
      <c r="E11" s="17"/>
      <c r="F11" s="17"/>
      <c r="G11" s="17"/>
      <c r="H11" s="17"/>
      <c r="I11" s="17"/>
    </row>
    <row r="12" spans="1:9" ht="15" customHeight="1" x14ac:dyDescent="0.3">
      <c r="B12" s="4" t="s">
        <v>12</v>
      </c>
      <c r="C12" s="15" t="s">
        <v>3</v>
      </c>
      <c r="D12" s="19"/>
      <c r="E12" s="21">
        <v>60000</v>
      </c>
      <c r="F12" s="21">
        <f>E12*1.1</f>
        <v>66000</v>
      </c>
      <c r="G12" s="21">
        <f>F12*1.09</f>
        <v>71940</v>
      </c>
      <c r="H12" s="21">
        <f>G12*1.08</f>
        <v>77695.200000000012</v>
      </c>
      <c r="I12" s="21">
        <f>H12*1.07</f>
        <v>83133.864000000016</v>
      </c>
    </row>
    <row r="13" spans="1:9" ht="15" customHeight="1" x14ac:dyDescent="0.3">
      <c r="B13" s="4" t="s">
        <v>10</v>
      </c>
      <c r="C13" s="15" t="s">
        <v>11</v>
      </c>
      <c r="D13" s="19"/>
      <c r="E13" s="22">
        <v>3</v>
      </c>
      <c r="F13" s="22">
        <f>E13*1.04</f>
        <v>3.12</v>
      </c>
      <c r="G13" s="22">
        <f t="shared" ref="G13:I13" si="2">F13*1.04</f>
        <v>3.2448000000000001</v>
      </c>
      <c r="H13" s="22">
        <f t="shared" si="2"/>
        <v>3.3745920000000003</v>
      </c>
      <c r="I13" s="22">
        <f t="shared" si="2"/>
        <v>3.5095756800000002</v>
      </c>
    </row>
    <row r="14" spans="1:9" ht="15" customHeight="1" x14ac:dyDescent="0.25">
      <c r="D14" s="17"/>
      <c r="E14" s="17"/>
      <c r="F14" s="17"/>
      <c r="G14" s="17"/>
      <c r="H14" s="17"/>
      <c r="I14" s="17"/>
    </row>
    <row r="15" spans="1:9" ht="15" customHeight="1" x14ac:dyDescent="0.3">
      <c r="B15" s="5" t="s">
        <v>6</v>
      </c>
      <c r="D15" s="17"/>
      <c r="E15" s="17"/>
      <c r="F15" s="17"/>
      <c r="G15" s="17"/>
      <c r="H15" s="17"/>
      <c r="I15" s="17"/>
    </row>
    <row r="16" spans="1:9" ht="15" customHeight="1" x14ac:dyDescent="0.3">
      <c r="B16" s="4" t="s">
        <v>12</v>
      </c>
      <c r="C16" s="15" t="s">
        <v>3</v>
      </c>
      <c r="D16" s="19"/>
      <c r="E16" s="21">
        <v>50000</v>
      </c>
      <c r="F16" s="21">
        <f>E16*1.1</f>
        <v>55000.000000000007</v>
      </c>
      <c r="G16" s="21">
        <f>F16*1.09</f>
        <v>59950.000000000015</v>
      </c>
      <c r="H16" s="21">
        <f>G16*1.08</f>
        <v>64746.000000000022</v>
      </c>
      <c r="I16" s="21">
        <f>H16*1.07</f>
        <v>69278.22000000003</v>
      </c>
    </row>
    <row r="17" spans="1:9" ht="15" customHeight="1" x14ac:dyDescent="0.3">
      <c r="B17" s="4" t="s">
        <v>10</v>
      </c>
      <c r="C17" s="15" t="s">
        <v>11</v>
      </c>
      <c r="D17" s="19"/>
      <c r="E17" s="22">
        <v>2.5</v>
      </c>
      <c r="F17" s="22">
        <f>E17*1.04</f>
        <v>2.6</v>
      </c>
      <c r="G17" s="22">
        <f t="shared" ref="G17:I17" si="3">F17*1.04</f>
        <v>2.7040000000000002</v>
      </c>
      <c r="H17" s="22">
        <f t="shared" si="3"/>
        <v>2.8121600000000004</v>
      </c>
      <c r="I17" s="22">
        <f t="shared" si="3"/>
        <v>2.9246464000000008</v>
      </c>
    </row>
    <row r="18" spans="1:9" ht="15" customHeight="1" x14ac:dyDescent="0.25">
      <c r="D18" s="17"/>
      <c r="E18" s="17"/>
      <c r="F18" s="17"/>
      <c r="G18" s="17"/>
      <c r="H18" s="17"/>
      <c r="I18" s="17"/>
    </row>
    <row r="19" spans="1:9" s="8" customFormat="1" ht="15" customHeight="1" x14ac:dyDescent="0.3">
      <c r="A19" s="7" t="s">
        <v>0</v>
      </c>
      <c r="B19" s="7" t="s">
        <v>53</v>
      </c>
      <c r="D19" s="18"/>
      <c r="E19" s="18"/>
      <c r="F19" s="18"/>
      <c r="G19" s="18"/>
      <c r="H19" s="18"/>
      <c r="I19" s="18"/>
    </row>
    <row r="20" spans="1:9" ht="15" customHeight="1" x14ac:dyDescent="0.25">
      <c r="D20" s="17"/>
      <c r="E20" s="17"/>
      <c r="F20" s="17"/>
      <c r="G20" s="17"/>
      <c r="H20" s="17"/>
      <c r="I20" s="17"/>
    </row>
    <row r="21" spans="1:9" ht="15" customHeight="1" x14ac:dyDescent="0.3">
      <c r="B21" s="5" t="s">
        <v>13</v>
      </c>
      <c r="D21" s="17"/>
      <c r="E21" s="17"/>
      <c r="F21" s="17"/>
      <c r="G21" s="17"/>
      <c r="H21" s="17"/>
      <c r="I21" s="17"/>
    </row>
    <row r="22" spans="1:9" ht="15" customHeight="1" x14ac:dyDescent="0.3">
      <c r="B22" s="4" t="s">
        <v>14</v>
      </c>
      <c r="C22" s="15" t="s">
        <v>11</v>
      </c>
      <c r="D22" s="19"/>
      <c r="E22" s="22">
        <v>1.5</v>
      </c>
      <c r="F22" s="22">
        <f>E22*1.02</f>
        <v>1.53</v>
      </c>
      <c r="G22" s="22">
        <f t="shared" ref="G22:I24" si="4">F22*1.02</f>
        <v>1.5606</v>
      </c>
      <c r="H22" s="22">
        <f t="shared" si="4"/>
        <v>1.591812</v>
      </c>
      <c r="I22" s="22">
        <f t="shared" si="4"/>
        <v>1.6236482400000001</v>
      </c>
    </row>
    <row r="23" spans="1:9" ht="15" customHeight="1" x14ac:dyDescent="0.3">
      <c r="B23" s="4" t="s">
        <v>15</v>
      </c>
      <c r="C23" s="15" t="s">
        <v>11</v>
      </c>
      <c r="D23" s="19"/>
      <c r="E23" s="22">
        <v>0.8</v>
      </c>
      <c r="F23" s="22">
        <f t="shared" ref="F23:F24" si="5">E23*1.02</f>
        <v>0.81600000000000006</v>
      </c>
      <c r="G23" s="22">
        <f t="shared" si="4"/>
        <v>0.83232000000000006</v>
      </c>
      <c r="H23" s="22">
        <f t="shared" si="4"/>
        <v>0.84896640000000012</v>
      </c>
      <c r="I23" s="22">
        <f t="shared" si="4"/>
        <v>0.86594572800000014</v>
      </c>
    </row>
    <row r="24" spans="1:9" ht="15" customHeight="1" x14ac:dyDescent="0.3">
      <c r="B24" s="4" t="s">
        <v>16</v>
      </c>
      <c r="C24" s="15" t="s">
        <v>11</v>
      </c>
      <c r="D24" s="19"/>
      <c r="E24" s="22">
        <v>1.1000000000000001</v>
      </c>
      <c r="F24" s="22">
        <f t="shared" si="5"/>
        <v>1.1220000000000001</v>
      </c>
      <c r="G24" s="22">
        <f t="shared" si="4"/>
        <v>1.1444400000000001</v>
      </c>
      <c r="H24" s="22">
        <f t="shared" si="4"/>
        <v>1.1673288000000002</v>
      </c>
      <c r="I24" s="22">
        <f t="shared" si="4"/>
        <v>1.1906753760000002</v>
      </c>
    </row>
    <row r="25" spans="1:9" ht="15" customHeight="1" x14ac:dyDescent="0.25">
      <c r="D25" s="17"/>
      <c r="E25" s="17"/>
      <c r="F25" s="17"/>
      <c r="G25" s="17"/>
      <c r="H25" s="17"/>
      <c r="I25" s="17"/>
    </row>
    <row r="26" spans="1:9" ht="15" customHeight="1" x14ac:dyDescent="0.3">
      <c r="B26" s="5" t="s">
        <v>21</v>
      </c>
      <c r="D26" s="17"/>
      <c r="E26" s="17"/>
      <c r="F26" s="17"/>
      <c r="G26" s="17"/>
      <c r="H26" s="17"/>
      <c r="I26" s="17"/>
    </row>
    <row r="27" spans="1:9" ht="15" customHeight="1" x14ac:dyDescent="0.3">
      <c r="B27" s="4" t="s">
        <v>17</v>
      </c>
      <c r="C27" s="15" t="s">
        <v>11</v>
      </c>
      <c r="D27" s="19"/>
      <c r="E27" s="21">
        <v>150000</v>
      </c>
      <c r="F27" s="21">
        <f>E27*1.05</f>
        <v>157500</v>
      </c>
      <c r="G27" s="21">
        <f t="shared" ref="G27:I27" si="6">F27*1.05</f>
        <v>165375</v>
      </c>
      <c r="H27" s="21">
        <f t="shared" si="6"/>
        <v>173643.75</v>
      </c>
      <c r="I27" s="21">
        <f t="shared" si="6"/>
        <v>182325.9375</v>
      </c>
    </row>
    <row r="28" spans="1:9" ht="15" customHeight="1" x14ac:dyDescent="0.3">
      <c r="B28" s="4" t="s">
        <v>19</v>
      </c>
      <c r="C28" s="15" t="s">
        <v>11</v>
      </c>
      <c r="D28" s="19"/>
      <c r="E28" s="21">
        <v>60000</v>
      </c>
      <c r="F28" s="21">
        <f>E28*1.03</f>
        <v>61800</v>
      </c>
      <c r="G28" s="21">
        <f t="shared" ref="G28:I28" si="7">F28*1.03</f>
        <v>63654</v>
      </c>
      <c r="H28" s="21">
        <f t="shared" si="7"/>
        <v>65563.62</v>
      </c>
      <c r="I28" s="21">
        <f t="shared" si="7"/>
        <v>67530.528599999991</v>
      </c>
    </row>
    <row r="29" spans="1:9" ht="15" customHeight="1" x14ac:dyDescent="0.3">
      <c r="B29" s="4" t="s">
        <v>18</v>
      </c>
      <c r="C29" s="15" t="s">
        <v>11</v>
      </c>
      <c r="D29" s="19"/>
      <c r="E29" s="21">
        <v>10000</v>
      </c>
      <c r="F29" s="21">
        <f>E29*1.05</f>
        <v>10500</v>
      </c>
      <c r="G29" s="21">
        <f t="shared" ref="G29:I30" si="8">F29*1.05</f>
        <v>11025</v>
      </c>
      <c r="H29" s="21">
        <f t="shared" si="8"/>
        <v>11576.25</v>
      </c>
      <c r="I29" s="21">
        <f t="shared" si="8"/>
        <v>12155.0625</v>
      </c>
    </row>
    <row r="30" spans="1:9" ht="15" customHeight="1" x14ac:dyDescent="0.3">
      <c r="B30" s="4" t="s">
        <v>20</v>
      </c>
      <c r="C30" s="15" t="s">
        <v>11</v>
      </c>
      <c r="D30" s="19"/>
      <c r="E30" s="21">
        <v>5000</v>
      </c>
      <c r="F30" s="21">
        <f>E30*1.05</f>
        <v>5250</v>
      </c>
      <c r="G30" s="21">
        <f t="shared" si="8"/>
        <v>5512.5</v>
      </c>
      <c r="H30" s="21">
        <f t="shared" si="8"/>
        <v>5788.125</v>
      </c>
      <c r="I30" s="21">
        <f t="shared" si="8"/>
        <v>6077.53125</v>
      </c>
    </row>
    <row r="31" spans="1:9" ht="15" customHeight="1" x14ac:dyDescent="0.25">
      <c r="D31" s="17"/>
      <c r="E31" s="17"/>
      <c r="F31" s="17"/>
      <c r="G31" s="17"/>
      <c r="H31" s="17"/>
      <c r="I31" s="17"/>
    </row>
    <row r="32" spans="1:9" ht="15" customHeight="1" x14ac:dyDescent="0.3">
      <c r="B32" s="5" t="s">
        <v>33</v>
      </c>
      <c r="D32" s="17"/>
      <c r="E32" s="17"/>
      <c r="F32" s="17"/>
      <c r="G32" s="17"/>
      <c r="H32" s="17"/>
      <c r="I32" s="17"/>
    </row>
    <row r="33" spans="1:9" ht="15" customHeight="1" x14ac:dyDescent="0.3">
      <c r="B33" s="4" t="s">
        <v>22</v>
      </c>
      <c r="C33" s="15" t="s">
        <v>23</v>
      </c>
      <c r="D33" s="19"/>
      <c r="E33" s="23">
        <v>-0.05</v>
      </c>
      <c r="F33" s="23">
        <f>E33+0.25%</f>
        <v>-4.7500000000000001E-2</v>
      </c>
      <c r="G33" s="23">
        <f t="shared" ref="G33:I33" si="9">F33+0.25%</f>
        <v>-4.4999999999999998E-2</v>
      </c>
      <c r="H33" s="23">
        <f t="shared" si="9"/>
        <v>-4.2499999999999996E-2</v>
      </c>
      <c r="I33" s="23">
        <f t="shared" si="9"/>
        <v>-3.9999999999999994E-2</v>
      </c>
    </row>
    <row r="34" spans="1:9" ht="15" customHeight="1" x14ac:dyDescent="0.25">
      <c r="D34" s="17"/>
      <c r="E34" s="17"/>
      <c r="F34" s="17"/>
      <c r="G34" s="17"/>
      <c r="H34" s="17"/>
      <c r="I34" s="17"/>
    </row>
    <row r="35" spans="1:9" s="8" customFormat="1" ht="15" customHeight="1" x14ac:dyDescent="0.3">
      <c r="A35" s="7" t="s">
        <v>0</v>
      </c>
      <c r="B35" s="7" t="s">
        <v>55</v>
      </c>
      <c r="D35" s="18"/>
      <c r="E35" s="18"/>
      <c r="F35" s="18"/>
      <c r="G35" s="18"/>
      <c r="H35" s="18"/>
      <c r="I35" s="18"/>
    </row>
    <row r="36" spans="1:9" ht="15" customHeight="1" x14ac:dyDescent="0.25">
      <c r="D36" s="17"/>
      <c r="E36" s="17"/>
      <c r="F36" s="17"/>
      <c r="G36" s="17"/>
      <c r="H36" s="17"/>
      <c r="I36" s="17"/>
    </row>
    <row r="37" spans="1:9" ht="15" customHeight="1" x14ac:dyDescent="0.3">
      <c r="B37" s="4" t="s">
        <v>82</v>
      </c>
      <c r="C37" s="15" t="s">
        <v>23</v>
      </c>
      <c r="D37" s="19"/>
      <c r="E37" s="38">
        <f>E33</f>
        <v>-0.05</v>
      </c>
      <c r="F37" s="23">
        <f t="shared" ref="F37:I37" si="10">F33</f>
        <v>-4.7500000000000001E-2</v>
      </c>
      <c r="G37" s="23">
        <f t="shared" si="10"/>
        <v>-4.4999999999999998E-2</v>
      </c>
      <c r="H37" s="23">
        <f t="shared" si="10"/>
        <v>-4.2499999999999996E-2</v>
      </c>
      <c r="I37" s="23">
        <f t="shared" si="10"/>
        <v>-3.9999999999999994E-2</v>
      </c>
    </row>
    <row r="38" spans="1:9" ht="15" customHeight="1" x14ac:dyDescent="0.3">
      <c r="B38" s="4" t="s">
        <v>54</v>
      </c>
      <c r="C38" s="15" t="s">
        <v>23</v>
      </c>
      <c r="D38" s="19"/>
      <c r="E38" s="38">
        <v>-0.01</v>
      </c>
      <c r="F38" s="23">
        <v>-0.01</v>
      </c>
      <c r="G38" s="23">
        <v>-0.01</v>
      </c>
      <c r="H38" s="23">
        <v>-0.01</v>
      </c>
      <c r="I38" s="23">
        <v>-0.01</v>
      </c>
    </row>
    <row r="39" spans="1:9" ht="15" customHeight="1" x14ac:dyDescent="0.3">
      <c r="B39" s="4" t="s">
        <v>38</v>
      </c>
      <c r="C39" s="15" t="s">
        <v>1</v>
      </c>
      <c r="D39" s="19"/>
      <c r="E39" s="23">
        <v>0.6</v>
      </c>
      <c r="F39" s="23">
        <v>0.6</v>
      </c>
      <c r="G39" s="23">
        <v>0.6</v>
      </c>
      <c r="H39" s="23">
        <v>0.6</v>
      </c>
      <c r="I39" s="23">
        <v>0.6</v>
      </c>
    </row>
    <row r="40" spans="1:9" ht="15" customHeight="1" x14ac:dyDescent="0.25">
      <c r="D40" s="17"/>
      <c r="E40" s="17"/>
      <c r="F40" s="17"/>
      <c r="G40" s="17"/>
      <c r="H40" s="17"/>
      <c r="I40" s="17"/>
    </row>
    <row r="41" spans="1:9" s="8" customFormat="1" ht="15" customHeight="1" x14ac:dyDescent="0.3">
      <c r="A41" s="7" t="s">
        <v>0</v>
      </c>
      <c r="B41" s="7" t="s">
        <v>56</v>
      </c>
      <c r="D41" s="18"/>
      <c r="E41" s="18"/>
      <c r="F41" s="18"/>
      <c r="G41" s="18"/>
      <c r="H41" s="18"/>
      <c r="I41" s="18"/>
    </row>
    <row r="42" spans="1:9" ht="15" customHeight="1" x14ac:dyDescent="0.25">
      <c r="D42" s="17"/>
      <c r="E42" s="17"/>
      <c r="F42" s="17"/>
      <c r="G42" s="17"/>
      <c r="H42" s="17"/>
      <c r="I42" s="17"/>
    </row>
    <row r="43" spans="1:9" ht="15" customHeight="1" x14ac:dyDescent="0.3">
      <c r="B43" s="4" t="s">
        <v>2</v>
      </c>
      <c r="C43" s="15" t="s">
        <v>1</v>
      </c>
      <c r="D43" s="19"/>
      <c r="E43" s="23">
        <v>0.21</v>
      </c>
      <c r="F43" s="23">
        <v>0.21</v>
      </c>
      <c r="G43" s="23">
        <v>0.21</v>
      </c>
      <c r="H43" s="23">
        <v>0.21</v>
      </c>
      <c r="I43" s="23">
        <v>0.21</v>
      </c>
    </row>
    <row r="44" spans="1:9" ht="15" customHeight="1" x14ac:dyDescent="0.3">
      <c r="B44" s="4" t="s">
        <v>24</v>
      </c>
      <c r="C44" s="15" t="s">
        <v>1</v>
      </c>
      <c r="D44" s="19"/>
      <c r="E44" s="23">
        <v>0.04</v>
      </c>
      <c r="F44" s="23">
        <v>0.04</v>
      </c>
      <c r="G44" s="23">
        <v>0.04</v>
      </c>
      <c r="H44" s="23">
        <v>0.04</v>
      </c>
      <c r="I44" s="23">
        <v>0.04</v>
      </c>
    </row>
    <row r="45" spans="1:9" ht="15" customHeight="1" x14ac:dyDescent="0.3">
      <c r="B45" s="4" t="s">
        <v>27</v>
      </c>
      <c r="C45" s="15" t="s">
        <v>1</v>
      </c>
      <c r="D45" s="19"/>
      <c r="E45" s="23">
        <v>0.01</v>
      </c>
      <c r="F45" s="23">
        <v>0.01</v>
      </c>
      <c r="G45" s="23">
        <v>0.01</v>
      </c>
      <c r="H45" s="23">
        <v>0.01</v>
      </c>
      <c r="I45" s="23">
        <v>0.01</v>
      </c>
    </row>
    <row r="46" spans="1:9" ht="15" customHeight="1" x14ac:dyDescent="0.25">
      <c r="D46" s="17"/>
      <c r="E46" s="17"/>
      <c r="F46" s="17"/>
      <c r="G46" s="17"/>
      <c r="H46" s="17"/>
      <c r="I46" s="17"/>
    </row>
    <row r="47" spans="1:9" s="3" customFormat="1" ht="15" customHeight="1" x14ac:dyDescent="0.3">
      <c r="A47" s="2" t="s">
        <v>0</v>
      </c>
      <c r="B47" s="2" t="s">
        <v>37</v>
      </c>
    </row>
  </sheetData>
  <pageMargins left="0.7" right="0.7" top="0.75" bottom="0.75" header="0.3" footer="0.3"/>
  <pageSetup paperSize="9" scale="18" orientation="portrait" horizontalDpi="4294967293"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0E03D-7D26-4B8A-A98A-DAB185F246B3}">
  <dimension ref="A1:J39"/>
  <sheetViews>
    <sheetView showGridLines="0" zoomScaleNormal="100" zoomScaleSheetLayoutView="70" workbookViewId="0">
      <pane xSplit="3" ySplit="3" topLeftCell="E20" activePane="bottomRight" state="frozenSplit"/>
      <selection pane="topRight" activeCell="C1" sqref="C1"/>
      <selection pane="bottomLeft" activeCell="A3" sqref="A3"/>
      <selection pane="bottomRight" activeCell="E28" sqref="E28:I28"/>
    </sheetView>
  </sheetViews>
  <sheetFormatPr defaultColWidth="20.6328125" defaultRowHeight="15" customHeight="1" outlineLevelCol="1" x14ac:dyDescent="0.25"/>
  <cols>
    <col min="1" max="1" width="2.6328125" style="4" customWidth="1"/>
    <col min="2" max="2" width="36" style="4" bestFit="1" customWidth="1"/>
    <col min="3" max="3" width="23.36328125" style="4" bestFit="1" customWidth="1"/>
    <col min="4" max="4" width="23.36328125" style="4" hidden="1" customWidth="1" outlineLevel="1"/>
    <col min="5" max="5" width="23.36328125" style="4" bestFit="1" customWidth="1" collapsed="1"/>
    <col min="6" max="9" width="23.36328125" style="4" bestFit="1" customWidth="1"/>
    <col min="10" max="10" width="1.6328125" style="4" customWidth="1"/>
    <col min="11" max="16384" width="20.6328125" style="4"/>
  </cols>
  <sheetData>
    <row r="1" spans="2:9" s="1" customFormat="1" ht="35.25" customHeight="1" x14ac:dyDescent="0.4">
      <c r="B1" s="6" t="s">
        <v>57</v>
      </c>
      <c r="C1" s="2"/>
      <c r="D1" s="2"/>
      <c r="E1" s="2"/>
    </row>
    <row r="3" spans="2:9" ht="15" customHeight="1" x14ac:dyDescent="0.3">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25">
      <c r="D4" s="17"/>
      <c r="E4" s="17"/>
      <c r="F4" s="17"/>
      <c r="G4" s="17"/>
      <c r="H4" s="17"/>
      <c r="I4" s="17"/>
    </row>
    <row r="5" spans="2:9" ht="15" customHeight="1" x14ac:dyDescent="0.25">
      <c r="B5" s="32" t="s">
        <v>58</v>
      </c>
      <c r="C5" s="33" t="s">
        <v>11</v>
      </c>
      <c r="E5" s="30">
        <f>'Forecast Assumptions'!E8*'Forecast Assumptions'!E9</f>
        <v>400000</v>
      </c>
      <c r="F5" s="30">
        <f>'Forecast Assumptions'!F8*'Forecast Assumptions'!F9</f>
        <v>457600.00000000006</v>
      </c>
      <c r="G5" s="30">
        <f>'Forecast Assumptions'!G8*'Forecast Assumptions'!G9</f>
        <v>518735.36000000016</v>
      </c>
      <c r="H5" s="30">
        <f>'Forecast Assumptions'!H8*'Forecast Assumptions'!H9</f>
        <v>582643.55635200022</v>
      </c>
      <c r="I5" s="30">
        <f>'Forecast Assumptions'!I8*'Forecast Assumptions'!I9</f>
        <v>648365.74950850604</v>
      </c>
    </row>
    <row r="6" spans="2:9" ht="15" customHeight="1" x14ac:dyDescent="0.25">
      <c r="B6" s="32" t="s">
        <v>59</v>
      </c>
      <c r="C6" s="33" t="s">
        <v>11</v>
      </c>
      <c r="E6" s="30">
        <f>'Forecast Assumptions'!E12*'Forecast Assumptions'!E13</f>
        <v>180000</v>
      </c>
      <c r="F6" s="30">
        <f>'Forecast Assumptions'!F12*'Forecast Assumptions'!F13</f>
        <v>205920</v>
      </c>
      <c r="G6" s="30">
        <f>'Forecast Assumptions'!G12*'Forecast Assumptions'!G13</f>
        <v>233430.91200000001</v>
      </c>
      <c r="H6" s="30">
        <f>'Forecast Assumptions'!H12*'Forecast Assumptions'!H13</f>
        <v>262189.60035840009</v>
      </c>
      <c r="I6" s="30">
        <f>'Forecast Assumptions'!I12*'Forecast Assumptions'!I13</f>
        <v>291764.58727882762</v>
      </c>
    </row>
    <row r="7" spans="2:9" ht="15" customHeight="1" x14ac:dyDescent="0.25">
      <c r="B7" s="32" t="s">
        <v>60</v>
      </c>
      <c r="C7" s="33" t="s">
        <v>11</v>
      </c>
      <c r="E7" s="30">
        <f>'Forecast Assumptions'!E16*'Forecast Assumptions'!E17</f>
        <v>125000</v>
      </c>
      <c r="F7" s="30">
        <f>'Forecast Assumptions'!F16*'Forecast Assumptions'!F17</f>
        <v>143000.00000000003</v>
      </c>
      <c r="G7" s="30">
        <f>'Forecast Assumptions'!G16*'Forecast Assumptions'!G17</f>
        <v>162104.80000000005</v>
      </c>
      <c r="H7" s="30">
        <f>'Forecast Assumptions'!H16*'Forecast Assumptions'!H17</f>
        <v>182076.1113600001</v>
      </c>
      <c r="I7" s="30">
        <f>'Forecast Assumptions'!I16*'Forecast Assumptions'!I17</f>
        <v>202614.29672140814</v>
      </c>
    </row>
    <row r="8" spans="2:9" ht="15" customHeight="1" x14ac:dyDescent="0.3">
      <c r="B8" s="24" t="s">
        <v>61</v>
      </c>
      <c r="C8" s="25" t="s">
        <v>11</v>
      </c>
      <c r="D8" s="26"/>
      <c r="E8" s="39">
        <f t="shared" ref="E8:I8" si="1">SUM(E5:E7)</f>
        <v>705000</v>
      </c>
      <c r="F8" s="31">
        <f t="shared" si="1"/>
        <v>806520</v>
      </c>
      <c r="G8" s="31">
        <f t="shared" si="1"/>
        <v>914271.07200000016</v>
      </c>
      <c r="H8" s="31">
        <f t="shared" si="1"/>
        <v>1026909.2680704003</v>
      </c>
      <c r="I8" s="31">
        <f t="shared" si="1"/>
        <v>1142744.6335087419</v>
      </c>
    </row>
    <row r="9" spans="2:9" ht="15" customHeight="1" x14ac:dyDescent="0.3">
      <c r="B9" s="27" t="s">
        <v>62</v>
      </c>
      <c r="C9" s="15" t="s">
        <v>1</v>
      </c>
      <c r="E9" s="28"/>
      <c r="F9" s="29">
        <f t="shared" ref="F9:I9" si="2">F8/E8-1</f>
        <v>0.14399999999999991</v>
      </c>
      <c r="G9" s="29">
        <f t="shared" si="2"/>
        <v>0.13360000000000016</v>
      </c>
      <c r="H9" s="29">
        <f t="shared" si="2"/>
        <v>0.1232000000000002</v>
      </c>
      <c r="I9" s="29">
        <f t="shared" si="2"/>
        <v>0.11280000000000023</v>
      </c>
    </row>
    <row r="11" spans="2:9" ht="15" customHeight="1" x14ac:dyDescent="0.25">
      <c r="B11" s="32" t="s">
        <v>63</v>
      </c>
      <c r="C11" s="33" t="s">
        <v>11</v>
      </c>
      <c r="E11" s="30">
        <f>-'Forecast Assumptions'!E8*'Forecast Assumptions'!E22</f>
        <v>-150000</v>
      </c>
      <c r="F11" s="30">
        <f>-'Forecast Assumptions'!F8*'Forecast Assumptions'!F22</f>
        <v>-168300.00000000003</v>
      </c>
      <c r="G11" s="30">
        <f>-'Forecast Assumptions'!G8*'Forecast Assumptions'!G22</f>
        <v>-187115.94000000003</v>
      </c>
      <c r="H11" s="30">
        <f>-'Forecast Assumptions'!H8*'Forecast Assumptions'!H22</f>
        <v>-206126.91950400008</v>
      </c>
      <c r="I11" s="30">
        <f>-'Forecast Assumptions'!I8*'Forecast Assumptions'!I22</f>
        <v>-224966.9199466657</v>
      </c>
    </row>
    <row r="12" spans="2:9" ht="15" customHeight="1" x14ac:dyDescent="0.25">
      <c r="B12" s="32" t="s">
        <v>64</v>
      </c>
      <c r="C12" s="33" t="s">
        <v>11</v>
      </c>
      <c r="E12" s="30">
        <f>-'Forecast Assumptions'!E12*'Forecast Assumptions'!E23</f>
        <v>-48000</v>
      </c>
      <c r="F12" s="30">
        <f>-'Forecast Assumptions'!F12*'Forecast Assumptions'!F23</f>
        <v>-53856.000000000007</v>
      </c>
      <c r="G12" s="30">
        <f>-'Forecast Assumptions'!G12*'Forecast Assumptions'!G23</f>
        <v>-59877.100800000007</v>
      </c>
      <c r="H12" s="30">
        <f>-'Forecast Assumptions'!H12*'Forecast Assumptions'!H23</f>
        <v>-65960.614241280025</v>
      </c>
      <c r="I12" s="30">
        <f>-'Forecast Assumptions'!I12*'Forecast Assumptions'!I23</f>
        <v>-71989.414382933013</v>
      </c>
    </row>
    <row r="13" spans="2:9" ht="15" customHeight="1" x14ac:dyDescent="0.25">
      <c r="B13" s="32" t="s">
        <v>65</v>
      </c>
      <c r="C13" s="33" t="s">
        <v>11</v>
      </c>
      <c r="E13" s="30">
        <f>-'Forecast Assumptions'!E16*'Forecast Assumptions'!E24</f>
        <v>-55000.000000000007</v>
      </c>
      <c r="F13" s="30">
        <f>-'Forecast Assumptions'!F16*'Forecast Assumptions'!F24</f>
        <v>-61710.000000000015</v>
      </c>
      <c r="G13" s="30">
        <f>-'Forecast Assumptions'!G16*'Forecast Assumptions'!G24</f>
        <v>-68609.178000000029</v>
      </c>
      <c r="H13" s="30">
        <f>-'Forecast Assumptions'!H16*'Forecast Assumptions'!H24</f>
        <v>-75579.870484800034</v>
      </c>
      <c r="I13" s="30">
        <f>-'Forecast Assumptions'!I16*'Forecast Assumptions'!I24</f>
        <v>-82487.870647110773</v>
      </c>
    </row>
    <row r="14" spans="2:9" ht="15" customHeight="1" x14ac:dyDescent="0.3">
      <c r="B14" s="24" t="s">
        <v>66</v>
      </c>
      <c r="C14" s="25" t="s">
        <v>11</v>
      </c>
      <c r="D14" s="26"/>
      <c r="E14" s="31">
        <f>SUM(E8,E11:E13)</f>
        <v>452000</v>
      </c>
      <c r="F14" s="31">
        <f t="shared" ref="F14:I14" si="3">SUM(F8,F11:F13)</f>
        <v>522654</v>
      </c>
      <c r="G14" s="31">
        <f t="shared" si="3"/>
        <v>598668.85320000001</v>
      </c>
      <c r="H14" s="31">
        <f t="shared" si="3"/>
        <v>679241.86384032015</v>
      </c>
      <c r="I14" s="31">
        <f t="shared" si="3"/>
        <v>763300.42853203241</v>
      </c>
    </row>
    <row r="15" spans="2:9" ht="15" customHeight="1" x14ac:dyDescent="0.3">
      <c r="B15" s="27" t="s">
        <v>67</v>
      </c>
      <c r="C15" s="15" t="s">
        <v>1</v>
      </c>
      <c r="E15" s="29">
        <f>E14/E$8</f>
        <v>0.64113475177304968</v>
      </c>
      <c r="F15" s="29">
        <f t="shared" ref="F15:I15" si="4">F14/F$8</f>
        <v>0.64803600654664484</v>
      </c>
      <c r="G15" s="29">
        <f t="shared" si="4"/>
        <v>0.65480454488228623</v>
      </c>
      <c r="H15" s="29">
        <f t="shared" si="4"/>
        <v>0.6614429190191653</v>
      </c>
      <c r="I15" s="29">
        <f t="shared" si="4"/>
        <v>0.66795363211495073</v>
      </c>
    </row>
    <row r="17" spans="2:10" ht="15" customHeight="1" x14ac:dyDescent="0.25">
      <c r="B17" s="32" t="s">
        <v>17</v>
      </c>
      <c r="C17" s="33" t="s">
        <v>11</v>
      </c>
      <c r="E17" s="30">
        <f>-'Forecast Assumptions'!E27</f>
        <v>-150000</v>
      </c>
      <c r="F17" s="30">
        <f>-'Forecast Assumptions'!F27</f>
        <v>-157500</v>
      </c>
      <c r="G17" s="30">
        <f>-'Forecast Assumptions'!G27</f>
        <v>-165375</v>
      </c>
      <c r="H17" s="30">
        <f>-'Forecast Assumptions'!H27</f>
        <v>-173643.75</v>
      </c>
      <c r="I17" s="30">
        <f>-'Forecast Assumptions'!I27</f>
        <v>-182325.9375</v>
      </c>
    </row>
    <row r="18" spans="2:10" ht="15" customHeight="1" x14ac:dyDescent="0.25">
      <c r="B18" s="32" t="s">
        <v>19</v>
      </c>
      <c r="C18" s="33" t="s">
        <v>11</v>
      </c>
      <c r="E18" s="30">
        <f>-'Forecast Assumptions'!E28</f>
        <v>-60000</v>
      </c>
      <c r="F18" s="30">
        <f>-'Forecast Assumptions'!F28</f>
        <v>-61800</v>
      </c>
      <c r="G18" s="30">
        <f>-'Forecast Assumptions'!G28</f>
        <v>-63654</v>
      </c>
      <c r="H18" s="30">
        <f>-'Forecast Assumptions'!H28</f>
        <v>-65563.62</v>
      </c>
      <c r="I18" s="30">
        <f>-'Forecast Assumptions'!I28</f>
        <v>-67530.528599999991</v>
      </c>
    </row>
    <row r="19" spans="2:10" ht="15" customHeight="1" x14ac:dyDescent="0.25">
      <c r="B19" s="32" t="s">
        <v>18</v>
      </c>
      <c r="C19" s="33" t="s">
        <v>11</v>
      </c>
      <c r="E19" s="30">
        <f>-'Forecast Assumptions'!E29</f>
        <v>-10000</v>
      </c>
      <c r="F19" s="30">
        <f>-'Forecast Assumptions'!F29</f>
        <v>-10500</v>
      </c>
      <c r="G19" s="30">
        <f>-'Forecast Assumptions'!G29</f>
        <v>-11025</v>
      </c>
      <c r="H19" s="30">
        <f>-'Forecast Assumptions'!H29</f>
        <v>-11576.25</v>
      </c>
      <c r="I19" s="30">
        <f>-'Forecast Assumptions'!I29</f>
        <v>-12155.0625</v>
      </c>
    </row>
    <row r="20" spans="2:10" ht="15" customHeight="1" x14ac:dyDescent="0.25">
      <c r="B20" s="32" t="s">
        <v>20</v>
      </c>
      <c r="C20" s="33" t="s">
        <v>11</v>
      </c>
      <c r="E20" s="30">
        <f>-'Forecast Assumptions'!E30</f>
        <v>-5000</v>
      </c>
      <c r="F20" s="30">
        <f>-'Forecast Assumptions'!F30</f>
        <v>-5250</v>
      </c>
      <c r="G20" s="30">
        <f>-'Forecast Assumptions'!G30</f>
        <v>-5512.5</v>
      </c>
      <c r="H20" s="30">
        <f>-'Forecast Assumptions'!H30</f>
        <v>-5788.125</v>
      </c>
      <c r="I20" s="30">
        <f>-'Forecast Assumptions'!I30</f>
        <v>-6077.53125</v>
      </c>
    </row>
    <row r="21" spans="2:10" ht="15" customHeight="1" x14ac:dyDescent="0.3">
      <c r="B21" s="24" t="s">
        <v>4</v>
      </c>
      <c r="C21" s="25" t="s">
        <v>11</v>
      </c>
      <c r="D21" s="26"/>
      <c r="E21" s="31">
        <f t="shared" ref="E21:I21" si="5">SUM(E14,E17:E20)</f>
        <v>227000</v>
      </c>
      <c r="F21" s="31">
        <f t="shared" si="5"/>
        <v>287604</v>
      </c>
      <c r="G21" s="31">
        <f>SUM(G14,G17:G20)</f>
        <v>353102.35320000001</v>
      </c>
      <c r="H21" s="31">
        <f t="shared" si="5"/>
        <v>422670.11884032015</v>
      </c>
      <c r="I21" s="31">
        <f t="shared" si="5"/>
        <v>495211.36868203245</v>
      </c>
    </row>
    <row r="22" spans="2:10" ht="15" customHeight="1" x14ac:dyDescent="0.3">
      <c r="B22" s="27" t="s">
        <v>67</v>
      </c>
      <c r="C22" s="15" t="s">
        <v>1</v>
      </c>
      <c r="E22" s="29">
        <f>E21/E$8</f>
        <v>0.3219858156028369</v>
      </c>
      <c r="F22" s="29">
        <f t="shared" ref="F22:I22" si="6">F21/F$8</f>
        <v>0.35659872042850765</v>
      </c>
      <c r="G22" s="29">
        <f t="shared" si="6"/>
        <v>0.38621188399582213</v>
      </c>
      <c r="H22" s="29">
        <f t="shared" si="6"/>
        <v>0.41159441440676897</v>
      </c>
      <c r="I22" s="29">
        <f t="shared" si="6"/>
        <v>0.43335260928901498</v>
      </c>
    </row>
    <row r="24" spans="2:10" ht="15" customHeight="1" x14ac:dyDescent="0.25">
      <c r="B24" s="32" t="s">
        <v>68</v>
      </c>
      <c r="C24" s="33" t="s">
        <v>11</v>
      </c>
      <c r="E24" s="30">
        <f>'Forecast Assumptions'!E33*E8</f>
        <v>-35250</v>
      </c>
      <c r="F24" s="30">
        <f>'Forecast Assumptions'!F33*F8</f>
        <v>-38309.699999999997</v>
      </c>
      <c r="G24" s="30">
        <f>'Forecast Assumptions'!G33*G8</f>
        <v>-41142.198240000005</v>
      </c>
      <c r="H24" s="30">
        <f>'Forecast Assumptions'!H33*H8</f>
        <v>-43643.643892992011</v>
      </c>
      <c r="I24" s="30">
        <f>'Forecast Assumptions'!I33*I8</f>
        <v>-45709.78534034967</v>
      </c>
      <c r="J24" s="32"/>
    </row>
    <row r="25" spans="2:10" ht="15" customHeight="1" x14ac:dyDescent="0.3">
      <c r="B25" s="24" t="s">
        <v>69</v>
      </c>
      <c r="C25" s="25" t="s">
        <v>11</v>
      </c>
      <c r="D25" s="26"/>
      <c r="E25" s="31">
        <f t="shared" ref="E25:I25" si="7">SUM(E21,E24)</f>
        <v>191750</v>
      </c>
      <c r="F25" s="31">
        <f>SUM(F21,F24)</f>
        <v>249294.3</v>
      </c>
      <c r="G25" s="31">
        <f t="shared" si="7"/>
        <v>311960.15496000001</v>
      </c>
      <c r="H25" s="31">
        <f t="shared" si="7"/>
        <v>379026.47494732816</v>
      </c>
      <c r="I25" s="31">
        <f t="shared" si="7"/>
        <v>449501.5833416828</v>
      </c>
      <c r="J25" s="32"/>
    </row>
    <row r="26" spans="2:10" ht="15" customHeight="1" x14ac:dyDescent="0.3">
      <c r="B26" s="27" t="s">
        <v>67</v>
      </c>
      <c r="C26" s="15" t="s">
        <v>1</v>
      </c>
      <c r="E26" s="29">
        <f>E25/E$8</f>
        <v>0.27198581560283686</v>
      </c>
      <c r="F26" s="29">
        <f t="shared" ref="F26:I26" si="8">F25/F$8</f>
        <v>0.30909872042850767</v>
      </c>
      <c r="G26" s="29">
        <f t="shared" si="8"/>
        <v>0.34121188399582214</v>
      </c>
      <c r="H26" s="29">
        <f t="shared" si="8"/>
        <v>0.36909441440676899</v>
      </c>
      <c r="I26" s="29">
        <f t="shared" si="8"/>
        <v>0.393352609289015</v>
      </c>
      <c r="J26" s="32"/>
    </row>
    <row r="28" spans="2:10" ht="15" customHeight="1" x14ac:dyDescent="0.25">
      <c r="B28" s="4" t="s">
        <v>70</v>
      </c>
      <c r="C28" s="15" t="s">
        <v>11</v>
      </c>
      <c r="E28" s="40">
        <f ca="1">(E34*'Forecast Assumptions'!E64)-('Forecast Assumptions'!E63*'Cash Flow Forecast'!E40)</f>
        <v>-15850</v>
      </c>
      <c r="F28" s="40">
        <f ca="1">(F34*'Forecast Assumptions'!F64)-('Forecast Assumptions'!F63*'Cash Flow Forecast'!F40)</f>
        <v>-14342.28</v>
      </c>
      <c r="G28" s="40">
        <f ca="1">(G34*'Forecast Assumptions'!G64)-('Forecast Assumptions'!G63*'Cash Flow Forecast'!G40)</f>
        <v>-12087.499248</v>
      </c>
      <c r="H28" s="40">
        <f ca="1">(H34*'Forecast Assumptions'!H64)-('Forecast Assumptions'!H63*'Cash Flow Forecast'!H40)</f>
        <v>-8993.5312880256006</v>
      </c>
      <c r="I28" s="40">
        <f ca="1">(I34*'Forecast Assumptions'!I64)-('Forecast Assumptions'!I63*'Cash Flow Forecast'!I40)</f>
        <v>-4973.1416034405565</v>
      </c>
    </row>
    <row r="29" spans="2:10" ht="15" customHeight="1" x14ac:dyDescent="0.3">
      <c r="B29" s="24" t="s">
        <v>71</v>
      </c>
      <c r="C29" s="25" t="s">
        <v>11</v>
      </c>
      <c r="D29" s="26"/>
      <c r="E29" s="26">
        <f t="shared" ref="E29" ca="1" si="9">SUM(E25,E28)</f>
        <v>191750</v>
      </c>
      <c r="F29" s="26">
        <f ca="1">SUM(F25,F28)</f>
        <v>249294.3</v>
      </c>
      <c r="G29" s="26">
        <f t="shared" ref="G29:I29" ca="1" si="10">SUM(G25,G28)</f>
        <v>311960.15496000001</v>
      </c>
      <c r="H29" s="26">
        <f t="shared" ca="1" si="10"/>
        <v>379026.47494732816</v>
      </c>
      <c r="I29" s="26">
        <f t="shared" ca="1" si="10"/>
        <v>449501.5833416828</v>
      </c>
    </row>
    <row r="30" spans="2:10" ht="15" customHeight="1" x14ac:dyDescent="0.3">
      <c r="B30" s="27" t="s">
        <v>67</v>
      </c>
      <c r="C30" s="15" t="s">
        <v>1</v>
      </c>
      <c r="E30" s="28">
        <f ca="1">E29/E$8</f>
        <v>0.27198581560283686</v>
      </c>
      <c r="F30" s="28">
        <f t="shared" ref="F30:I30" ca="1" si="11">F29/F$8</f>
        <v>0.30909872042850767</v>
      </c>
      <c r="G30" s="28">
        <f t="shared" ca="1" si="11"/>
        <v>0.34121188399582214</v>
      </c>
      <c r="H30" s="28">
        <f t="shared" ca="1" si="11"/>
        <v>0.36909441440676899</v>
      </c>
      <c r="I30" s="28">
        <f t="shared" ca="1" si="11"/>
        <v>0.393352609289015</v>
      </c>
    </row>
    <row r="32" spans="2:10" ht="15" customHeight="1" x14ac:dyDescent="0.25">
      <c r="B32" s="32" t="s">
        <v>72</v>
      </c>
      <c r="C32" s="33" t="s">
        <v>11</v>
      </c>
      <c r="E32" s="30">
        <f ca="1">-'Forecast Assumptions'!E43*'P&amp;L Forecast'!E29</f>
        <v>-40267.5</v>
      </c>
      <c r="F32" s="30">
        <f ca="1">-'Forecast Assumptions'!F43*'P&amp;L Forecast'!F29</f>
        <v>-52351.802999999993</v>
      </c>
      <c r="G32" s="30">
        <f ca="1">-'Forecast Assumptions'!G43*'P&amp;L Forecast'!G29</f>
        <v>-65511.632541600004</v>
      </c>
      <c r="H32" s="30">
        <f ca="1">-'Forecast Assumptions'!H43*'P&amp;L Forecast'!H29</f>
        <v>-79595.559738938915</v>
      </c>
      <c r="I32" s="30">
        <f ca="1">-'Forecast Assumptions'!I43*'P&amp;L Forecast'!I29</f>
        <v>-94395.332501753379</v>
      </c>
    </row>
    <row r="33" spans="1:9" ht="15" customHeight="1" x14ac:dyDescent="0.3">
      <c r="B33" s="24" t="s">
        <v>73</v>
      </c>
      <c r="C33" s="25" t="s">
        <v>11</v>
      </c>
      <c r="D33" s="26"/>
      <c r="E33" s="31">
        <f t="shared" ref="E33" ca="1" si="12">SUM(E29,E32)</f>
        <v>151482.5</v>
      </c>
      <c r="F33" s="31">
        <f ca="1">SUM(F29,F32)</f>
        <v>196942.497</v>
      </c>
      <c r="G33" s="31">
        <f t="shared" ref="G33:I33" ca="1" si="13">SUM(G29,G32)</f>
        <v>246448.52241840001</v>
      </c>
      <c r="H33" s="31">
        <f t="shared" ca="1" si="13"/>
        <v>299430.91520838923</v>
      </c>
      <c r="I33" s="31">
        <f t="shared" ca="1" si="13"/>
        <v>355106.25083992945</v>
      </c>
    </row>
    <row r="34" spans="1:9" ht="15" customHeight="1" x14ac:dyDescent="0.3">
      <c r="B34" s="27" t="s">
        <v>67</v>
      </c>
      <c r="C34" s="15" t="s">
        <v>1</v>
      </c>
      <c r="E34" s="29">
        <f ca="1">E33/E$8</f>
        <v>0.21486879432624115</v>
      </c>
      <c r="F34" s="29">
        <f t="shared" ref="F34:I34" ca="1" si="14">F33/F$8</f>
        <v>0.24418798913852105</v>
      </c>
      <c r="G34" s="29">
        <f t="shared" ca="1" si="14"/>
        <v>0.26955738835669951</v>
      </c>
      <c r="H34" s="29">
        <f t="shared" ca="1" si="14"/>
        <v>0.29158458738134746</v>
      </c>
      <c r="I34" s="29">
        <f t="shared" ca="1" si="14"/>
        <v>0.3107485613383219</v>
      </c>
    </row>
    <row r="36" spans="1:9" ht="15" customHeight="1" x14ac:dyDescent="0.25">
      <c r="B36" s="32" t="s">
        <v>38</v>
      </c>
      <c r="C36" s="33" t="s">
        <v>1</v>
      </c>
      <c r="E36" s="34">
        <f>'Forecast Assumptions'!E39</f>
        <v>0.6</v>
      </c>
      <c r="F36" s="34">
        <f>'Forecast Assumptions'!F39</f>
        <v>0.6</v>
      </c>
      <c r="G36" s="34">
        <f>'Forecast Assumptions'!G39</f>
        <v>0.6</v>
      </c>
      <c r="H36" s="34">
        <f>'Forecast Assumptions'!H39</f>
        <v>0.6</v>
      </c>
      <c r="I36" s="34">
        <f>'Forecast Assumptions'!I39</f>
        <v>0.6</v>
      </c>
    </row>
    <row r="37" spans="1:9" ht="15" customHeight="1" x14ac:dyDescent="0.3">
      <c r="B37" s="24" t="s">
        <v>74</v>
      </c>
      <c r="C37" s="25" t="s">
        <v>11</v>
      </c>
      <c r="D37" s="26"/>
      <c r="E37" s="31">
        <f t="shared" ref="E37:I37" ca="1" si="15">E33*E36</f>
        <v>90889.5</v>
      </c>
      <c r="F37" s="31">
        <f t="shared" ca="1" si="15"/>
        <v>118165.4982</v>
      </c>
      <c r="G37" s="31">
        <f t="shared" ca="1" si="15"/>
        <v>147869.11345104</v>
      </c>
      <c r="H37" s="31">
        <f t="shared" ca="1" si="15"/>
        <v>179658.54912503352</v>
      </c>
      <c r="I37" s="31">
        <f t="shared" ca="1" si="15"/>
        <v>213063.75050395765</v>
      </c>
    </row>
    <row r="38" spans="1:9" ht="15" customHeight="1" x14ac:dyDescent="0.25">
      <c r="D38" s="17"/>
      <c r="E38" s="17"/>
      <c r="F38" s="17"/>
      <c r="G38" s="17"/>
      <c r="H38" s="17"/>
      <c r="I38" s="17"/>
    </row>
    <row r="39" spans="1:9" s="3" customFormat="1" ht="15" customHeight="1" x14ac:dyDescent="0.3">
      <c r="A39" s="2" t="s">
        <v>0</v>
      </c>
      <c r="B39" s="2" t="s">
        <v>37</v>
      </c>
    </row>
  </sheetData>
  <pageMargins left="0.7" right="0.7" top="0.75" bottom="0.75" header="0.3" footer="0.3"/>
  <pageSetup paperSize="9" scale="18" orientation="portrait" horizontalDpi="4294967293"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F0793-C004-4F13-B500-3BCA275926A4}">
  <dimension ref="A1:I25"/>
  <sheetViews>
    <sheetView showGridLines="0" tabSelected="1" zoomScaleNormal="100" zoomScaleSheetLayoutView="70" workbookViewId="0">
      <pane xSplit="3" ySplit="3" topLeftCell="E11" activePane="bottomRight" state="frozenSplit"/>
      <selection pane="topRight" activeCell="C1" sqref="C1"/>
      <selection pane="bottomLeft" activeCell="A3" sqref="A3"/>
      <selection pane="bottomRight" activeCell="F12" sqref="F12"/>
    </sheetView>
  </sheetViews>
  <sheetFormatPr defaultColWidth="20.6328125" defaultRowHeight="15" customHeight="1" outlineLevelCol="1" x14ac:dyDescent="0.25"/>
  <cols>
    <col min="1" max="1" width="2.6328125" style="4" customWidth="1"/>
    <col min="2" max="2" width="36" style="4" bestFit="1" customWidth="1"/>
    <col min="3" max="3" width="23.36328125" style="4" bestFit="1" customWidth="1"/>
    <col min="4" max="4" width="23.36328125" style="4" customWidth="1" outlineLevel="1"/>
    <col min="5" max="9" width="23.36328125" style="4" bestFit="1" customWidth="1"/>
    <col min="10" max="10" width="1.6328125" style="4" customWidth="1"/>
    <col min="11" max="16384" width="20.6328125" style="4"/>
  </cols>
  <sheetData>
    <row r="1" spans="2:9" s="1" customFormat="1" ht="35.25" customHeight="1" x14ac:dyDescent="0.4">
      <c r="B1" s="6" t="s">
        <v>75</v>
      </c>
      <c r="C1" s="2"/>
      <c r="D1" s="2"/>
      <c r="E1" s="2"/>
    </row>
    <row r="3" spans="2:9" ht="15" customHeight="1" x14ac:dyDescent="0.3">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25">
      <c r="D4" s="17"/>
      <c r="E4" s="17"/>
      <c r="F4" s="17"/>
      <c r="G4" s="17"/>
      <c r="H4" s="17"/>
      <c r="I4" s="17"/>
    </row>
    <row r="5" spans="2:9" ht="15" customHeight="1" x14ac:dyDescent="0.25">
      <c r="B5" s="32" t="s">
        <v>4</v>
      </c>
      <c r="C5" s="33" t="s">
        <v>11</v>
      </c>
      <c r="E5" s="30">
        <v>227000</v>
      </c>
      <c r="F5" s="30">
        <v>287604</v>
      </c>
      <c r="G5" s="30">
        <v>353102.35320000001</v>
      </c>
      <c r="H5" s="30">
        <v>422670.11884032015</v>
      </c>
      <c r="I5" s="30">
        <v>495211.36868203245</v>
      </c>
    </row>
    <row r="6" spans="2:9" ht="15" customHeight="1" x14ac:dyDescent="0.25">
      <c r="B6" s="32" t="s">
        <v>88</v>
      </c>
      <c r="C6" s="33" t="s">
        <v>11</v>
      </c>
      <c r="E6" s="30">
        <v>-40267.5</v>
      </c>
      <c r="F6" s="30">
        <v>-52351.802999999993</v>
      </c>
      <c r="G6" s="30">
        <v>-65511.632541600004</v>
      </c>
      <c r="H6" s="30">
        <v>-79595.559738938915</v>
      </c>
      <c r="I6" s="30">
        <v>-94395.332501753379</v>
      </c>
    </row>
    <row r="7" spans="2:9" ht="15" customHeight="1" x14ac:dyDescent="0.25">
      <c r="B7" s="32" t="s">
        <v>89</v>
      </c>
      <c r="C7" s="33" t="s">
        <v>11</v>
      </c>
      <c r="E7" s="40">
        <f ca="1">'P&amp;L Forecast'!E37*-1</f>
        <v>-90889.5</v>
      </c>
      <c r="F7" s="40">
        <f ca="1">'P&amp;L Forecast'!F37*-1</f>
        <v>-118165.4982</v>
      </c>
      <c r="G7" s="40">
        <f ca="1">'P&amp;L Forecast'!G37*-1</f>
        <v>-147869.11345104</v>
      </c>
      <c r="H7" s="40">
        <f ca="1">'P&amp;L Forecast'!H37*-1</f>
        <v>-179658.54912503352</v>
      </c>
      <c r="I7" s="40">
        <f ca="1">'P&amp;L Forecast'!I37*-1</f>
        <v>-213063.75050395765</v>
      </c>
    </row>
    <row r="8" spans="2:9" ht="15" customHeight="1" x14ac:dyDescent="0.25">
      <c r="B8" s="32" t="s">
        <v>90</v>
      </c>
      <c r="C8" s="33" t="s">
        <v>11</v>
      </c>
      <c r="E8" s="30">
        <f>'Forecast Assumptions'!E38*'P&amp;L Forecast'!E8</f>
        <v>-7050</v>
      </c>
      <c r="F8" s="30">
        <f>'Forecast Assumptions'!F38*'P&amp;L Forecast'!F8</f>
        <v>-8065.2</v>
      </c>
      <c r="G8" s="30">
        <f>'Forecast Assumptions'!G38*'P&amp;L Forecast'!G8</f>
        <v>-9142.7107200000009</v>
      </c>
      <c r="H8" s="30">
        <f>'Forecast Assumptions'!H38*'P&amp;L Forecast'!H8</f>
        <v>-10269.092680704003</v>
      </c>
      <c r="I8" s="30">
        <f>'Forecast Assumptions'!I38*'P&amp;L Forecast'!I8</f>
        <v>-11427.446335087419</v>
      </c>
    </row>
    <row r="9" spans="2:9" ht="15" customHeight="1" x14ac:dyDescent="0.25">
      <c r="B9" s="32" t="s">
        <v>70</v>
      </c>
      <c r="C9" s="33" t="s">
        <v>11</v>
      </c>
      <c r="E9" s="40">
        <f>(E15*'Forecast Assumptions'!E45)-('Forecast Assumptions'!E44*'Cash Flow Forecast'!E21)</f>
        <v>-15850</v>
      </c>
      <c r="F9" s="40">
        <f ca="1">(F15*'Forecast Assumptions'!F45)-('Forecast Assumptions'!F44*'Cash Flow Forecast'!F21)</f>
        <v>-14342.28</v>
      </c>
      <c r="G9" s="40">
        <f ca="1">(G15*'Forecast Assumptions'!G45)-('Forecast Assumptions'!G44*'Cash Flow Forecast'!G21)</f>
        <v>-12087.499248</v>
      </c>
      <c r="H9" s="40">
        <f ca="1">(H15*'Forecast Assumptions'!H45)-('Forecast Assumptions'!H44*'Cash Flow Forecast'!H21)</f>
        <v>-8993.5312880256006</v>
      </c>
      <c r="I9" s="40">
        <f ca="1">(I15*'Forecast Assumptions'!I45)-('Forecast Assumptions'!I44*'Cash Flow Forecast'!I21)</f>
        <v>-4973.1416034405565</v>
      </c>
    </row>
    <row r="10" spans="2:9" ht="15" customHeight="1" x14ac:dyDescent="0.25">
      <c r="B10" s="32" t="s">
        <v>91</v>
      </c>
      <c r="C10" s="33" t="s">
        <v>11</v>
      </c>
      <c r="E10" s="30">
        <f>'Forecast Assumptions'!E37*'P&amp;L Forecast'!E8</f>
        <v>-35250</v>
      </c>
      <c r="F10" s="30">
        <f>'Forecast Assumptions'!F37*'P&amp;L Forecast'!F8</f>
        <v>-38309.699999999997</v>
      </c>
      <c r="G10" s="30">
        <f>'Forecast Assumptions'!G37*'P&amp;L Forecast'!G8</f>
        <v>-41142.198240000005</v>
      </c>
      <c r="H10" s="30">
        <f>'Forecast Assumptions'!H37*'P&amp;L Forecast'!H8</f>
        <v>-43643.643892992011</v>
      </c>
      <c r="I10" s="30">
        <f>'Forecast Assumptions'!I37*'P&amp;L Forecast'!I8</f>
        <v>-45709.78534034967</v>
      </c>
    </row>
    <row r="11" spans="2:9" ht="15" customHeight="1" x14ac:dyDescent="0.3">
      <c r="B11" s="24" t="s">
        <v>76</v>
      </c>
      <c r="C11" s="25" t="s">
        <v>11</v>
      </c>
      <c r="D11" s="24"/>
      <c r="E11" s="37">
        <f ca="1">SUM(E5:E10)</f>
        <v>37693</v>
      </c>
      <c r="F11" s="37">
        <f t="shared" ref="F11:I11" ca="1" si="1">SUM(F5:F10)</f>
        <v>56369.51880000002</v>
      </c>
      <c r="G11" s="37">
        <f t="shared" ca="1" si="1"/>
        <v>77349.198999359971</v>
      </c>
      <c r="H11" s="37">
        <f t="shared" ca="1" si="1"/>
        <v>100509.74211462609</v>
      </c>
      <c r="I11" s="37">
        <f t="shared" ca="1" si="1"/>
        <v>125641.9123974438</v>
      </c>
    </row>
    <row r="12" spans="2:9" ht="15" customHeight="1" x14ac:dyDescent="0.3">
      <c r="B12" s="4" t="s">
        <v>81</v>
      </c>
      <c r="C12" s="15" t="s">
        <v>11</v>
      </c>
      <c r="D12" s="11"/>
      <c r="E12" s="41">
        <f ca="1">IF(E21&gt;E11,-E11,-E21)</f>
        <v>-37693</v>
      </c>
      <c r="F12" s="41">
        <f t="shared" ref="F12:I12" ca="1" si="2">IF(F21&gt;F11,-F11,-F21)</f>
        <v>-56369.51880000002</v>
      </c>
      <c r="G12" s="41">
        <f t="shared" ca="1" si="2"/>
        <v>-77349.198999359971</v>
      </c>
      <c r="H12" s="41">
        <f t="shared" ca="1" si="2"/>
        <v>-100509.74211462609</v>
      </c>
      <c r="I12" s="41">
        <f t="shared" ca="1" si="2"/>
        <v>-125641.9123974438</v>
      </c>
    </row>
    <row r="13" spans="2:9" ht="15" customHeight="1" x14ac:dyDescent="0.3">
      <c r="B13" s="24" t="s">
        <v>83</v>
      </c>
      <c r="C13" s="25" t="s">
        <v>11</v>
      </c>
      <c r="D13" s="24"/>
      <c r="E13" s="36">
        <f ca="1">SUM(E11:E12)</f>
        <v>0</v>
      </c>
      <c r="F13" s="36">
        <f t="shared" ref="F13:I13" ca="1" si="3">SUM(F11:F12)</f>
        <v>0</v>
      </c>
      <c r="G13" s="36">
        <f t="shared" ca="1" si="3"/>
        <v>0</v>
      </c>
      <c r="H13" s="36">
        <f t="shared" ca="1" si="3"/>
        <v>0</v>
      </c>
      <c r="I13" s="36">
        <f t="shared" ca="1" si="3"/>
        <v>0</v>
      </c>
    </row>
    <row r="15" spans="2:9" ht="15" customHeight="1" x14ac:dyDescent="0.25">
      <c r="B15" s="4" t="s">
        <v>79</v>
      </c>
      <c r="C15" s="15" t="s">
        <v>11</v>
      </c>
      <c r="E15" s="41">
        <f>D17</f>
        <v>15000</v>
      </c>
      <c r="F15" s="41">
        <f t="shared" ref="F15:I15" ca="1" si="4">E17</f>
        <v>15000</v>
      </c>
      <c r="G15" s="41">
        <f t="shared" ca="1" si="4"/>
        <v>15000</v>
      </c>
      <c r="H15" s="41">
        <f t="shared" ca="1" si="4"/>
        <v>15000</v>
      </c>
      <c r="I15" s="41">
        <f t="shared" ca="1" si="4"/>
        <v>15000</v>
      </c>
    </row>
    <row r="16" spans="2:9" ht="15" customHeight="1" x14ac:dyDescent="0.25">
      <c r="B16" s="4" t="s">
        <v>83</v>
      </c>
      <c r="C16" s="15" t="s">
        <v>11</v>
      </c>
      <c r="E16" s="41">
        <f ca="1">E13</f>
        <v>0</v>
      </c>
      <c r="F16" s="41">
        <f t="shared" ref="F16:I16" ca="1" si="5">F13</f>
        <v>0</v>
      </c>
      <c r="G16" s="41">
        <f t="shared" ca="1" si="5"/>
        <v>0</v>
      </c>
      <c r="H16" s="41">
        <f t="shared" ca="1" si="5"/>
        <v>0</v>
      </c>
      <c r="I16" s="41">
        <f t="shared" ca="1" si="5"/>
        <v>0</v>
      </c>
    </row>
    <row r="17" spans="1:9" ht="15" customHeight="1" x14ac:dyDescent="0.3">
      <c r="B17" s="24" t="s">
        <v>80</v>
      </c>
      <c r="C17" s="25" t="s">
        <v>11</v>
      </c>
      <c r="D17" s="35">
        <v>15000</v>
      </c>
      <c r="E17" s="37">
        <f ca="1">SUM(E15:E16)</f>
        <v>15000</v>
      </c>
      <c r="F17" s="37">
        <f t="shared" ref="F17:I17" ca="1" si="6">SUM(F15:F16)</f>
        <v>15000</v>
      </c>
      <c r="G17" s="37">
        <f t="shared" ca="1" si="6"/>
        <v>15000</v>
      </c>
      <c r="H17" s="37">
        <f t="shared" ca="1" si="6"/>
        <v>15000</v>
      </c>
      <c r="I17" s="37">
        <f t="shared" ca="1" si="6"/>
        <v>15000</v>
      </c>
    </row>
    <row r="18" spans="1:9" ht="15" customHeight="1" x14ac:dyDescent="0.25">
      <c r="D18" s="17"/>
      <c r="E18" s="17"/>
      <c r="F18" s="17"/>
      <c r="G18" s="17"/>
      <c r="H18" s="17"/>
      <c r="I18" s="17"/>
    </row>
    <row r="19" spans="1:9" s="8" customFormat="1" ht="15" customHeight="1" x14ac:dyDescent="0.3">
      <c r="A19" s="7" t="s">
        <v>0</v>
      </c>
      <c r="B19" s="7" t="s">
        <v>77</v>
      </c>
      <c r="D19" s="18"/>
      <c r="E19" s="18"/>
      <c r="F19" s="18"/>
      <c r="G19" s="18"/>
      <c r="H19" s="18"/>
      <c r="I19" s="18"/>
    </row>
    <row r="20" spans="1:9" ht="15" customHeight="1" x14ac:dyDescent="0.25">
      <c r="D20" s="17"/>
      <c r="E20" s="17"/>
      <c r="F20" s="17"/>
      <c r="G20" s="17"/>
      <c r="H20" s="17"/>
      <c r="I20" s="17"/>
    </row>
    <row r="21" spans="1:9" ht="15" customHeight="1" x14ac:dyDescent="0.25">
      <c r="B21" s="4" t="s">
        <v>78</v>
      </c>
      <c r="C21" s="15" t="s">
        <v>11</v>
      </c>
      <c r="E21" s="41">
        <f>D23</f>
        <v>400000</v>
      </c>
      <c r="F21" s="41">
        <f t="shared" ref="F21:I21" ca="1" si="7">E23</f>
        <v>362307</v>
      </c>
      <c r="G21" s="41">
        <f t="shared" ca="1" si="7"/>
        <v>305937.48119999998</v>
      </c>
      <c r="H21" s="41">
        <f t="shared" ca="1" si="7"/>
        <v>228588.28220064001</v>
      </c>
      <c r="I21" s="41">
        <f t="shared" ca="1" si="7"/>
        <v>128078.54008601392</v>
      </c>
    </row>
    <row r="22" spans="1:9" ht="15" customHeight="1" x14ac:dyDescent="0.25">
      <c r="B22" s="4" t="s">
        <v>81</v>
      </c>
      <c r="C22" s="15" t="s">
        <v>11</v>
      </c>
      <c r="E22" s="41">
        <f ca="1">E12</f>
        <v>-37693</v>
      </c>
      <c r="F22" s="41">
        <f t="shared" ref="F22:I22" ca="1" si="8">F12</f>
        <v>-56369.51880000002</v>
      </c>
      <c r="G22" s="41">
        <f t="shared" ca="1" si="8"/>
        <v>-77349.198999359971</v>
      </c>
      <c r="H22" s="41">
        <f t="shared" ca="1" si="8"/>
        <v>-100509.74211462609</v>
      </c>
      <c r="I22" s="41">
        <f t="shared" ca="1" si="8"/>
        <v>-125641.9123974438</v>
      </c>
    </row>
    <row r="23" spans="1:9" ht="15" customHeight="1" x14ac:dyDescent="0.3">
      <c r="B23" s="24" t="s">
        <v>84</v>
      </c>
      <c r="C23" s="25" t="s">
        <v>11</v>
      </c>
      <c r="D23" s="35">
        <v>400000</v>
      </c>
      <c r="E23" s="37">
        <f ca="1">SUM(E21:E22)</f>
        <v>362307</v>
      </c>
      <c r="F23" s="37">
        <f t="shared" ref="F23:I23" ca="1" si="9">SUM(F21:F22)</f>
        <v>305937.48119999998</v>
      </c>
      <c r="G23" s="37">
        <f t="shared" ca="1" si="9"/>
        <v>228588.28220064001</v>
      </c>
      <c r="H23" s="37">
        <f t="shared" ca="1" si="9"/>
        <v>128078.54008601392</v>
      </c>
      <c r="I23" s="37">
        <f t="shared" ca="1" si="9"/>
        <v>2436.6276885701227</v>
      </c>
    </row>
    <row r="24" spans="1:9" ht="15" customHeight="1" x14ac:dyDescent="0.25">
      <c r="D24" s="17"/>
      <c r="E24" s="17"/>
      <c r="F24" s="17"/>
      <c r="G24" s="17"/>
      <c r="H24" s="17"/>
      <c r="I24" s="17"/>
    </row>
    <row r="25" spans="1:9" s="3" customFormat="1" ht="15" customHeight="1" x14ac:dyDescent="0.3">
      <c r="A25" s="2" t="s">
        <v>0</v>
      </c>
      <c r="B25" s="2" t="s">
        <v>37</v>
      </c>
    </row>
  </sheetData>
  <pageMargins left="0.7" right="0.7" top="0.75" bottom="0.75" header="0.3" footer="0.3"/>
  <pageSetup paperSize="9" scale="18" orientation="portrait" horizontalDpi="4294967293"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Glossary</vt:lpstr>
      <vt:lpstr>Forecast Assumptions</vt:lpstr>
      <vt:lpstr>P&amp;L Forecast</vt:lpstr>
      <vt:lpstr>Cash Flow Forecast</vt:lpstr>
      <vt:lpstr>'Cash Flow Forecast'!Print_Area</vt:lpstr>
      <vt:lpstr>'Forecast Assumptions'!Print_Area</vt:lpstr>
      <vt:lpstr>Glossary!Print_Area</vt:lpstr>
      <vt:lpstr>'P&amp;L Forecast'!Print_Area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TUSHAR SINGH</cp:lastModifiedBy>
  <dcterms:created xsi:type="dcterms:W3CDTF">2020-07-20T11:12:49Z</dcterms:created>
  <dcterms:modified xsi:type="dcterms:W3CDTF">2024-06-09T16:54:27Z</dcterms:modified>
</cp:coreProperties>
</file>